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9C8D" lockStructure="1" lockWindows="1"/>
  <bookViews>
    <workbookView xWindow="540" yWindow="480" windowWidth="21075" windowHeight="9675" tabRatio="928"/>
  </bookViews>
  <sheets>
    <sheet name="3" sheetId="145" r:id="rId1"/>
    <sheet name="4" sheetId="168" r:id="rId2"/>
    <sheet name="5" sheetId="169" r:id="rId3"/>
    <sheet name="6" sheetId="170" r:id="rId4"/>
    <sheet name="7" sheetId="87" r:id="rId5"/>
    <sheet name="8" sheetId="3" r:id="rId6"/>
    <sheet name="9" sheetId="50" r:id="rId7"/>
    <sheet name="10 " sheetId="144" r:id="rId8"/>
    <sheet name="11" sheetId="4" r:id="rId9"/>
    <sheet name="12" sheetId="5" r:id="rId10"/>
    <sheet name="13" sheetId="51" r:id="rId11"/>
    <sheet name="14" sheetId="52" r:id="rId12"/>
    <sheet name="15" sheetId="6" r:id="rId13"/>
    <sheet name="16" sheetId="7" r:id="rId14"/>
    <sheet name="17" sheetId="55" r:id="rId15"/>
    <sheet name="18" sheetId="69" r:id="rId16"/>
    <sheet name="19" sheetId="53" r:id="rId17"/>
    <sheet name="20" sheetId="54" r:id="rId18"/>
    <sheet name="21" sheetId="171" r:id="rId19"/>
    <sheet name="22" sheetId="172" r:id="rId20"/>
    <sheet name="23" sheetId="173" r:id="rId21"/>
    <sheet name="24" sheetId="174" r:id="rId22"/>
    <sheet name="25" sheetId="175" r:id="rId23"/>
    <sheet name="26" sheetId="94" r:id="rId24"/>
    <sheet name="27" sheetId="64" r:id="rId25"/>
    <sheet name="28" sheetId="10" r:id="rId26"/>
    <sheet name="29" sheetId="105" r:id="rId27"/>
    <sheet name="30" sheetId="109" r:id="rId28"/>
    <sheet name="31" sheetId="137" r:id="rId29"/>
    <sheet name="32" sheetId="76" r:id="rId30"/>
    <sheet name="33" sheetId="143" r:id="rId31"/>
    <sheet name="34" sheetId="73" r:id="rId32"/>
    <sheet name="35" sheetId="11" r:id="rId33"/>
    <sheet name="36" sheetId="12" r:id="rId34"/>
    <sheet name="37" sheetId="57" r:id="rId35"/>
    <sheet name="38" sheetId="110" r:id="rId36"/>
    <sheet name="39" sheetId="111" r:id="rId37"/>
    <sheet name="40" sheetId="112" r:id="rId38"/>
    <sheet name="41" sheetId="113" r:id="rId39"/>
    <sheet name="42" sheetId="114" r:id="rId40"/>
    <sheet name="43" sheetId="115" r:id="rId41"/>
    <sheet name="44" sheetId="116" r:id="rId42"/>
    <sheet name="45" sheetId="119" r:id="rId43"/>
    <sheet name="46" sheetId="117" r:id="rId44"/>
    <sheet name="47" sheetId="118" r:id="rId45"/>
    <sheet name="48" sheetId="77" r:id="rId46"/>
    <sheet name="49" sheetId="140" r:id="rId47"/>
    <sheet name="50" sheetId="120" r:id="rId48"/>
    <sheet name="51" sheetId="124" r:id="rId49"/>
    <sheet name="52" sheetId="122" r:id="rId50"/>
    <sheet name="53" sheetId="123" r:id="rId51"/>
    <sheet name="54" sheetId="21" r:id="rId52"/>
    <sheet name="55" sheetId="177" r:id="rId53"/>
    <sheet name="56" sheetId="178" r:id="rId54"/>
    <sheet name="57" sheetId="126" r:id="rId55"/>
    <sheet name="58" sheetId="127" r:id="rId56"/>
    <sheet name="59" sheetId="19" r:id="rId57"/>
    <sheet name="60" sheetId="128" r:id="rId58"/>
    <sheet name="61" sheetId="14" r:id="rId59"/>
    <sheet name="62" sheetId="74" r:id="rId60"/>
    <sheet name="63" sheetId="16" r:id="rId61"/>
    <sheet name="64" sheetId="15" r:id="rId62"/>
    <sheet name="65" sheetId="62" r:id="rId63"/>
    <sheet name="66" sheetId="26" r:id="rId64"/>
    <sheet name="67" sheetId="27" r:id="rId65"/>
    <sheet name="68" sheetId="28" r:id="rId66"/>
    <sheet name="69" sheetId="190" r:id="rId67"/>
    <sheet name="70" sheetId="129" r:id="rId68"/>
    <sheet name="71" sheetId="130" r:id="rId69"/>
    <sheet name="72" sheetId="131" r:id="rId70"/>
    <sheet name="73" sheetId="132" r:id="rId71"/>
    <sheet name="74" sheetId="179" r:id="rId72"/>
    <sheet name="75" sheetId="180" r:id="rId73"/>
    <sheet name="76" sheetId="181" r:id="rId74"/>
    <sheet name="77" sheetId="182" r:id="rId75"/>
    <sheet name="78" sheetId="183" r:id="rId76"/>
    <sheet name="79" sheetId="184" r:id="rId77"/>
    <sheet name="82" sheetId="185" r:id="rId78"/>
    <sheet name="83" sheetId="186" r:id="rId79"/>
    <sheet name="84" sheetId="187" r:id="rId80"/>
    <sheet name="85" sheetId="188" r:id="rId81"/>
    <sheet name="86" sheetId="189" r:id="rId82"/>
    <sheet name="1.A" sheetId="81" r:id="rId83"/>
    <sheet name="2.A" sheetId="82" r:id="rId84"/>
    <sheet name="A.10.1" sheetId="146" r:id="rId85"/>
    <sheet name="A.10.2" sheetId="149" r:id="rId86"/>
    <sheet name="A.10.3" sheetId="150" r:id="rId87"/>
    <sheet name="A.10.4" sheetId="151" r:id="rId88"/>
    <sheet name="A.10.5" sheetId="152" r:id="rId89"/>
    <sheet name="A.10.6" sheetId="153" r:id="rId90"/>
    <sheet name="A.10.7" sheetId="155" r:id="rId91"/>
    <sheet name="A.10.8" sheetId="156" r:id="rId92"/>
    <sheet name="A.10.9" sheetId="157" r:id="rId93"/>
    <sheet name="A.10.10" sheetId="158" r:id="rId94"/>
    <sheet name="A.10.11" sheetId="159" r:id="rId95"/>
    <sheet name="A.10.12" sheetId="160" r:id="rId96"/>
    <sheet name="A.10.13" sheetId="161" r:id="rId97"/>
    <sheet name="A.10.14" sheetId="162" r:id="rId98"/>
    <sheet name="A.10.15" sheetId="163" r:id="rId99"/>
    <sheet name="A.10.16" sheetId="164" r:id="rId100"/>
    <sheet name="A.10.17" sheetId="165" r:id="rId101"/>
    <sheet name="A.10.18" sheetId="166" r:id="rId102"/>
    <sheet name="A.10.19" sheetId="167" r:id="rId103"/>
  </sheets>
  <externalReferences>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s>
  <definedNames>
    <definedName name="_Toc112550195" localSheetId="16">'19'!$A$1</definedName>
    <definedName name="_Toc112550196" localSheetId="16">'19'!$A$2</definedName>
    <definedName name="_Toc112550197" localSheetId="16">'19'!$A$3</definedName>
    <definedName name="_Toc113334951" localSheetId="7">'10 '!$A$1</definedName>
    <definedName name="_Toc113334951" localSheetId="46">'49'!$A$1</definedName>
    <definedName name="_Toc113334951" localSheetId="51">'54'!$A$1</definedName>
    <definedName name="_Toc113334951" localSheetId="56">'59'!$A$1</definedName>
    <definedName name="_Toc113334951" localSheetId="62">'65'!$A$1</definedName>
    <definedName name="_Toc113334952" localSheetId="7">'10 '!$A$2</definedName>
    <definedName name="_Toc113334952" localSheetId="46">'49'!$A$2</definedName>
    <definedName name="_Toc113334952" localSheetId="51">'54'!$A$2</definedName>
    <definedName name="_Toc113334952" localSheetId="56">'59'!$A$2</definedName>
    <definedName name="_Toc113334952" localSheetId="62">'65'!$A$2</definedName>
    <definedName name="_Toc113334953" localSheetId="7">'10 '!$A$3</definedName>
    <definedName name="_Toc113334953" localSheetId="46">'49'!$A$3</definedName>
    <definedName name="_Toc113334953" localSheetId="51">'54'!$A$3</definedName>
    <definedName name="_Toc113334953" localSheetId="56">'59'!$A$3</definedName>
    <definedName name="_Toc113334953" localSheetId="62">'65'!$A$3</definedName>
    <definedName name="_Toc302660368" localSheetId="67">'70'!$A$1</definedName>
    <definedName name="_Toc320716536" localSheetId="75">'78'!$A$1</definedName>
    <definedName name="_Toc385941950" localSheetId="47">'50'!$A$1</definedName>
    <definedName name="_Toc431305241" localSheetId="48">'51'!$A$1</definedName>
    <definedName name="_Toc431305242" localSheetId="49">'52'!$A$1</definedName>
    <definedName name="_Toc431305243" localSheetId="50">'53'!$A$1</definedName>
    <definedName name="_Toc431305247" localSheetId="53">'56'!$A$1</definedName>
    <definedName name="_Toc431305251" localSheetId="49">'52'!$A$1</definedName>
    <definedName name="_Toc431305262" localSheetId="68">'71'!$A$1</definedName>
    <definedName name="_Toc447096884" localSheetId="18">'21'!$A$1</definedName>
    <definedName name="_Toc447096885" localSheetId="19">'22'!$A$1</definedName>
    <definedName name="_Toc447096886" localSheetId="20">'23'!$A$1</definedName>
    <definedName name="_Toc447096887" localSheetId="21">'24'!$A$1</definedName>
    <definedName name="_Toc447096888" localSheetId="22">'25'!$A$1</definedName>
    <definedName name="_Toc447096918" localSheetId="52">'55'!$A$1</definedName>
    <definedName name="_Toc447096932" localSheetId="66">'69'!$A$1</definedName>
    <definedName name="_Toc447096942" localSheetId="76">'79'!$A$1</definedName>
    <definedName name="_Toc447096945" localSheetId="77">'82'!$A$1</definedName>
    <definedName name="_Toc447096946" localSheetId="78">'83'!$A$1</definedName>
    <definedName name="_Toc447096947" localSheetId="79">'84'!$A$1</definedName>
    <definedName name="_Toc447096948" localSheetId="80">'85'!$A$1</definedName>
    <definedName name="_Toc447096949" localSheetId="81">'86'!$A$1</definedName>
    <definedName name="_xlnm.Print_Area" localSheetId="14">'17'!$A$1:$D$36</definedName>
    <definedName name="_xlnm.Print_Area" localSheetId="33">'36'!$A$1:$C$12</definedName>
    <definedName name="_xlnm.Print_Area" localSheetId="34">'37'!$A$1:$E$12</definedName>
    <definedName name="_xlnm.Print_Area" localSheetId="58">'61'!$A$1:$M$13</definedName>
    <definedName name="_xlnm.Print_Area" localSheetId="59">'62'!$A$1:$O$13</definedName>
    <definedName name="_xlnm.Print_Area" localSheetId="61">'64'!$A$6:$P$18</definedName>
    <definedName name="_xlnm.Print_Area" localSheetId="62">'65'!$A$1:$E$17</definedName>
    <definedName name="_xlnm.Print_Area" localSheetId="64">'67'!$A$1:$D$23</definedName>
    <definedName name="_xlnm.Print_Area" localSheetId="74">'77'!$A$1:$E$20</definedName>
    <definedName name="_xlnm.Print_Area" localSheetId="5">'8'!$A$1:$D$50</definedName>
  </definedNames>
  <calcPr calcId="145621"/>
</workbook>
</file>

<file path=xl/calcChain.xml><?xml version="1.0" encoding="utf-8"?>
<calcChain xmlns="http://schemas.openxmlformats.org/spreadsheetml/2006/main">
  <c r="M7" i="182" l="1"/>
  <c r="N7" i="182"/>
  <c r="O7" i="182"/>
  <c r="M8" i="182"/>
  <c r="N8" i="182"/>
  <c r="O8" i="182"/>
  <c r="M9" i="182"/>
  <c r="N9" i="182"/>
  <c r="O9" i="182"/>
  <c r="M10" i="182"/>
  <c r="N10" i="182"/>
  <c r="O10" i="182"/>
  <c r="M11" i="182"/>
  <c r="N11" i="182"/>
  <c r="O11" i="182"/>
  <c r="M12" i="182"/>
  <c r="N12" i="182"/>
  <c r="O12" i="182"/>
  <c r="M13" i="182"/>
  <c r="N13" i="182"/>
  <c r="O13" i="182"/>
  <c r="M14" i="182"/>
  <c r="N14" i="182"/>
  <c r="O14" i="182"/>
  <c r="M15" i="182"/>
  <c r="N15" i="182"/>
  <c r="O15" i="182"/>
  <c r="M16" i="182"/>
  <c r="N16" i="182"/>
  <c r="O16" i="182"/>
  <c r="M17" i="182"/>
  <c r="N17" i="182"/>
  <c r="O17" i="182"/>
  <c r="C17" i="182" l="1"/>
  <c r="D57" i="182"/>
  <c r="C57" i="182"/>
  <c r="B57" i="182"/>
  <c r="D17" i="182"/>
  <c r="B17" i="182"/>
  <c r="D16" i="182"/>
  <c r="C16" i="182"/>
  <c r="B16" i="182"/>
  <c r="D15" i="182"/>
  <c r="C15" i="182"/>
  <c r="B15" i="182"/>
  <c r="D14" i="182"/>
  <c r="C14" i="182"/>
  <c r="B14" i="182"/>
  <c r="D13" i="182"/>
  <c r="C13" i="182"/>
  <c r="B13" i="182"/>
  <c r="B12" i="182"/>
  <c r="D12" i="182"/>
  <c r="C12" i="182"/>
  <c r="D11" i="182"/>
  <c r="C11" i="182"/>
  <c r="B11" i="182"/>
  <c r="D10" i="182"/>
  <c r="C10" i="182"/>
  <c r="B10" i="182"/>
  <c r="C9" i="182"/>
  <c r="D9" i="182"/>
  <c r="B9" i="182"/>
  <c r="C8" i="182"/>
  <c r="B8" i="182"/>
  <c r="D8" i="182"/>
  <c r="B7" i="182"/>
  <c r="D7" i="182"/>
  <c r="C7" i="182"/>
  <c r="A3" i="182"/>
  <c r="D9" i="181"/>
  <c r="D8" i="181"/>
  <c r="B8" i="181"/>
  <c r="F7" i="181"/>
  <c r="A3" i="181"/>
  <c r="D13" i="180"/>
  <c r="D17" i="180" s="1"/>
  <c r="F12" i="180"/>
  <c r="B11" i="180"/>
  <c r="F10" i="180"/>
  <c r="B9" i="180"/>
  <c r="D8" i="180"/>
  <c r="B8" i="180"/>
  <c r="B7" i="180"/>
  <c r="F7" i="180" s="1"/>
  <c r="A3" i="180"/>
  <c r="D12" i="179"/>
  <c r="B12" i="179"/>
  <c r="D11" i="179"/>
  <c r="D13" i="179" s="1"/>
  <c r="B11" i="179"/>
  <c r="F10" i="179"/>
  <c r="F9" i="179"/>
  <c r="F8" i="179"/>
  <c r="F7" i="179"/>
  <c r="A3" i="179"/>
  <c r="O13" i="143"/>
  <c r="O12" i="143"/>
  <c r="O11" i="143"/>
  <c r="B38" i="170"/>
  <c r="B9" i="170"/>
  <c r="B12" i="170" s="1"/>
  <c r="B6" i="170"/>
  <c r="A3" i="170"/>
  <c r="C7" i="169"/>
  <c r="C8" i="169" s="1"/>
  <c r="C9" i="169" s="1"/>
  <c r="C10" i="169" s="1"/>
  <c r="C11" i="169" s="1"/>
  <c r="C12" i="169" s="1"/>
  <c r="C13" i="169" s="1"/>
  <c r="C14" i="169" s="1"/>
  <c r="C15" i="169" s="1"/>
  <c r="C16" i="169" s="1"/>
  <c r="C17" i="169" s="1"/>
  <c r="C18" i="169" s="1"/>
  <c r="A3" i="169"/>
  <c r="B11" i="168"/>
  <c r="B10" i="168" s="1"/>
  <c r="B6" i="168"/>
  <c r="A3" i="168"/>
  <c r="B15" i="168" l="1"/>
  <c r="E16" i="182"/>
  <c r="E11" i="182"/>
  <c r="E15" i="182"/>
  <c r="E17" i="182"/>
  <c r="D18" i="182"/>
  <c r="E12" i="182"/>
  <c r="E13" i="182"/>
  <c r="E14" i="182"/>
  <c r="E9" i="182"/>
  <c r="E8" i="182"/>
  <c r="E7" i="182"/>
  <c r="E10" i="182"/>
  <c r="B18" i="182"/>
  <c r="C18" i="182"/>
  <c r="B9" i="181"/>
  <c r="F9" i="181" s="1"/>
  <c r="F8" i="181"/>
  <c r="D12" i="181"/>
  <c r="B13" i="180"/>
  <c r="C9" i="180"/>
  <c r="C11" i="180"/>
  <c r="F11" i="180"/>
  <c r="C7" i="180"/>
  <c r="F9" i="180"/>
  <c r="F8" i="180"/>
  <c r="C12" i="180"/>
  <c r="B17" i="180"/>
  <c r="E12" i="180"/>
  <c r="E7" i="180"/>
  <c r="E10" i="180"/>
  <c r="B13" i="179"/>
  <c r="E10" i="179" s="1"/>
  <c r="F12" i="179"/>
  <c r="C11" i="179"/>
  <c r="E8" i="179"/>
  <c r="C7" i="179"/>
  <c r="C8" i="179"/>
  <c r="F13" i="179"/>
  <c r="F11" i="179"/>
  <c r="C12" i="179"/>
  <c r="B40" i="170"/>
  <c r="E18" i="182" l="1"/>
  <c r="E7" i="181"/>
  <c r="E9" i="181" s="1"/>
  <c r="B12" i="181"/>
  <c r="C7" i="181"/>
  <c r="C9" i="181" s="1"/>
  <c r="E8" i="181"/>
  <c r="C8" i="181"/>
  <c r="E11" i="180"/>
  <c r="E9" i="180"/>
  <c r="E8" i="180"/>
  <c r="C10" i="180"/>
  <c r="F13" i="180"/>
  <c r="C8" i="180"/>
  <c r="E13" i="180"/>
  <c r="E12" i="179"/>
  <c r="E9" i="179"/>
  <c r="E7" i="179"/>
  <c r="E13" i="179" s="1"/>
  <c r="C9" i="179"/>
  <c r="E11" i="179"/>
  <c r="C10" i="179"/>
  <c r="C13" i="179"/>
  <c r="C13" i="180" l="1"/>
  <c r="AQ18" i="167" l="1"/>
  <c r="AQ17" i="167"/>
  <c r="AQ16" i="167"/>
  <c r="AQ15" i="167"/>
  <c r="AQ14" i="167"/>
  <c r="AQ13" i="167"/>
  <c r="AQ12" i="167"/>
  <c r="AQ11" i="167"/>
  <c r="AQ10" i="167"/>
  <c r="AQ9" i="167"/>
  <c r="AQ8" i="167"/>
  <c r="AN18" i="167"/>
  <c r="AN17" i="167"/>
  <c r="AN16" i="167"/>
  <c r="AN15" i="167"/>
  <c r="AN14" i="167"/>
  <c r="AN13" i="167"/>
  <c r="AN12" i="167"/>
  <c r="AN11" i="167"/>
  <c r="AN10" i="167"/>
  <c r="AN9" i="167"/>
  <c r="AN8" i="167"/>
  <c r="AH9" i="167"/>
  <c r="AH10" i="167"/>
  <c r="AH14" i="167"/>
  <c r="AE18" i="167"/>
  <c r="AE17" i="167"/>
  <c r="AE16" i="167"/>
  <c r="AE15" i="167"/>
  <c r="AE14" i="167"/>
  <c r="AE13" i="167"/>
  <c r="AE12" i="167"/>
  <c r="AE11" i="167"/>
  <c r="AE10" i="167"/>
  <c r="AE9" i="167"/>
  <c r="AE8" i="167"/>
  <c r="AB18" i="167"/>
  <c r="AB17" i="167"/>
  <c r="AB16" i="167"/>
  <c r="AB15" i="167"/>
  <c r="AB14" i="167"/>
  <c r="AB13" i="167"/>
  <c r="AB12" i="167"/>
  <c r="AB11" i="167"/>
  <c r="AB10" i="167"/>
  <c r="AB9" i="167"/>
  <c r="AB8" i="167"/>
  <c r="Y18" i="167"/>
  <c r="Y17" i="167"/>
  <c r="Y16" i="167"/>
  <c r="Y15" i="167"/>
  <c r="Y14" i="167"/>
  <c r="Y13" i="167"/>
  <c r="Y12" i="167"/>
  <c r="Y11" i="167"/>
  <c r="Y10" i="167"/>
  <c r="Y9" i="167"/>
  <c r="Y8" i="167"/>
  <c r="V18" i="167"/>
  <c r="V17" i="167"/>
  <c r="V16" i="167"/>
  <c r="V15" i="167"/>
  <c r="V14" i="167"/>
  <c r="V13" i="167"/>
  <c r="V12" i="167"/>
  <c r="V11" i="167"/>
  <c r="V10" i="167"/>
  <c r="V9" i="167"/>
  <c r="V8" i="167"/>
  <c r="S18" i="167"/>
  <c r="S17" i="167"/>
  <c r="S16" i="167"/>
  <c r="S15" i="167"/>
  <c r="S14" i="167"/>
  <c r="S13" i="167"/>
  <c r="S12" i="167"/>
  <c r="S11" i="167"/>
  <c r="S10" i="167"/>
  <c r="S9" i="167"/>
  <c r="S8" i="167"/>
  <c r="P18" i="167"/>
  <c r="P17" i="167"/>
  <c r="P16" i="167"/>
  <c r="P15" i="167"/>
  <c r="P14" i="167"/>
  <c r="P13" i="167"/>
  <c r="P12" i="167"/>
  <c r="P11" i="167"/>
  <c r="P10" i="167"/>
  <c r="P9" i="167"/>
  <c r="P8" i="167"/>
  <c r="AP18" i="167" l="1"/>
  <c r="AO18" i="167"/>
  <c r="AM18" i="167"/>
  <c r="AL18" i="167"/>
  <c r="M18" i="167"/>
  <c r="J18" i="167"/>
  <c r="G18" i="167"/>
  <c r="D18" i="167"/>
  <c r="AP17" i="167"/>
  <c r="AO17" i="167"/>
  <c r="AM17" i="167"/>
  <c r="AL17" i="167"/>
  <c r="M17" i="167"/>
  <c r="J17" i="167"/>
  <c r="G17" i="167"/>
  <c r="D17" i="167"/>
  <c r="AP16" i="167"/>
  <c r="AO16" i="167"/>
  <c r="AM16" i="167"/>
  <c r="AL16" i="167"/>
  <c r="M16" i="167"/>
  <c r="J16" i="167"/>
  <c r="G16" i="167"/>
  <c r="D16" i="167"/>
  <c r="AP15" i="167"/>
  <c r="AM15" i="167"/>
  <c r="AL15" i="167"/>
  <c r="AK15" i="167"/>
  <c r="AC15" i="167"/>
  <c r="K15" i="167"/>
  <c r="AO15" i="167" s="1"/>
  <c r="J15" i="167"/>
  <c r="G15" i="167"/>
  <c r="D15" i="167"/>
  <c r="AP14" i="167"/>
  <c r="AO14" i="167"/>
  <c r="AM14" i="167"/>
  <c r="AL14" i="167"/>
  <c r="M14" i="167"/>
  <c r="J14" i="167"/>
  <c r="G14" i="167"/>
  <c r="D14" i="167"/>
  <c r="AP13" i="167"/>
  <c r="AO13" i="167"/>
  <c r="AM13" i="167"/>
  <c r="AL13" i="167"/>
  <c r="W13" i="167"/>
  <c r="M13" i="167"/>
  <c r="J13" i="167"/>
  <c r="G13" i="167"/>
  <c r="D13" i="167"/>
  <c r="AP12" i="167"/>
  <c r="AO12" i="167"/>
  <c r="AM12" i="167"/>
  <c r="AL12" i="167"/>
  <c r="M12" i="167"/>
  <c r="J12" i="167"/>
  <c r="G12" i="167"/>
  <c r="D12" i="167"/>
  <c r="AP11" i="167"/>
  <c r="AO11" i="167"/>
  <c r="AM11" i="167"/>
  <c r="AL11" i="167"/>
  <c r="M11" i="167"/>
  <c r="J11" i="167"/>
  <c r="G11" i="167"/>
  <c r="D11" i="167"/>
  <c r="AP10" i="167"/>
  <c r="AO10" i="167"/>
  <c r="AM10" i="167"/>
  <c r="AK10" i="167"/>
  <c r="N10" i="167"/>
  <c r="AL10" i="167" s="1"/>
  <c r="K10" i="167"/>
  <c r="M10" i="167" s="1"/>
  <c r="J10" i="167"/>
  <c r="G10" i="167"/>
  <c r="D10" i="167"/>
  <c r="AP9" i="167"/>
  <c r="AO9" i="167"/>
  <c r="AM9" i="167"/>
  <c r="AL9" i="167"/>
  <c r="AK9" i="167"/>
  <c r="AC9" i="167"/>
  <c r="W9" i="167"/>
  <c r="M9" i="167"/>
  <c r="J9" i="167"/>
  <c r="G9" i="167"/>
  <c r="D9" i="167"/>
  <c r="AP8" i="167"/>
  <c r="AO8" i="167"/>
  <c r="AM8" i="167"/>
  <c r="AL8" i="167"/>
  <c r="Q8" i="167"/>
  <c r="M8" i="167"/>
  <c r="J8" i="167"/>
  <c r="G8" i="167"/>
  <c r="D8" i="167"/>
  <c r="M15" i="167" l="1"/>
  <c r="C38" i="166"/>
  <c r="B38" i="166"/>
  <c r="B50" i="166" s="1"/>
  <c r="C34" i="166"/>
  <c r="B34" i="166"/>
  <c r="C29" i="166"/>
  <c r="B29" i="166"/>
  <c r="C14" i="166"/>
  <c r="C50" i="166" s="1"/>
  <c r="B14" i="166"/>
  <c r="C32" i="165"/>
  <c r="B32" i="165"/>
  <c r="C9" i="165"/>
  <c r="C8" i="165" s="1"/>
  <c r="C40" i="165" s="1"/>
  <c r="B9" i="165"/>
  <c r="B8" i="165" s="1"/>
  <c r="B40" i="165" s="1"/>
  <c r="C21" i="164"/>
  <c r="C20" i="164" s="1"/>
  <c r="B21" i="164"/>
  <c r="B20" i="164" s="1"/>
  <c r="C10" i="164"/>
  <c r="B10" i="164"/>
  <c r="B38" i="164" s="1"/>
  <c r="B41" i="164" s="1"/>
  <c r="C21" i="163"/>
  <c r="B21" i="163"/>
  <c r="C20" i="163"/>
  <c r="C37" i="163" s="1"/>
  <c r="C40" i="163" s="1"/>
  <c r="B20" i="163"/>
  <c r="B37" i="163" s="1"/>
  <c r="C10" i="163"/>
  <c r="B10" i="163"/>
  <c r="C20" i="162"/>
  <c r="B20" i="162"/>
  <c r="C17" i="162"/>
  <c r="C25" i="162" s="1"/>
  <c r="B17" i="162"/>
  <c r="B25" i="162" s="1"/>
  <c r="C14" i="162"/>
  <c r="C13" i="162" s="1"/>
  <c r="B14" i="162"/>
  <c r="B24" i="162" s="1"/>
  <c r="B23" i="162" s="1"/>
  <c r="B13" i="162"/>
  <c r="B10" i="162" s="1"/>
  <c r="C11" i="162"/>
  <c r="B11" i="162"/>
  <c r="C7" i="162"/>
  <c r="B7" i="162"/>
  <c r="F15" i="161"/>
  <c r="F14" i="161"/>
  <c r="F13" i="161"/>
  <c r="F12" i="161"/>
  <c r="F11" i="161"/>
  <c r="F10" i="161"/>
  <c r="F9" i="161"/>
  <c r="F8" i="161"/>
  <c r="D7" i="161"/>
  <c r="D16" i="161" s="1"/>
  <c r="B7" i="161"/>
  <c r="B16" i="161" s="1"/>
  <c r="A3" i="161"/>
  <c r="B9" i="160"/>
  <c r="F8" i="160"/>
  <c r="D7" i="160"/>
  <c r="B7" i="160"/>
  <c r="A3" i="160"/>
  <c r="F48" i="159"/>
  <c r="B47" i="159"/>
  <c r="F47" i="159" s="1"/>
  <c r="D46" i="159"/>
  <c r="B46" i="159"/>
  <c r="F46" i="159" s="1"/>
  <c r="F45" i="159"/>
  <c r="F44" i="159"/>
  <c r="F43" i="159"/>
  <c r="F42" i="159"/>
  <c r="F41" i="159"/>
  <c r="D41" i="159"/>
  <c r="D40" i="159"/>
  <c r="D49" i="159" s="1"/>
  <c r="B40" i="159"/>
  <c r="B49" i="159" s="1"/>
  <c r="F39" i="159"/>
  <c r="F38" i="159"/>
  <c r="F37" i="159"/>
  <c r="F36" i="159"/>
  <c r="F35" i="159"/>
  <c r="F34" i="159"/>
  <c r="F33" i="159"/>
  <c r="F32" i="159"/>
  <c r="F31" i="159"/>
  <c r="F30" i="159"/>
  <c r="F29" i="159"/>
  <c r="F28" i="159"/>
  <c r="F27" i="159"/>
  <c r="F26" i="159"/>
  <c r="F25" i="159"/>
  <c r="F24" i="159"/>
  <c r="F23" i="159"/>
  <c r="F22" i="159"/>
  <c r="F21" i="159"/>
  <c r="F20" i="159"/>
  <c r="F19" i="159"/>
  <c r="F18" i="159"/>
  <c r="F17" i="159"/>
  <c r="F16" i="159"/>
  <c r="F15" i="159"/>
  <c r="F14" i="159"/>
  <c r="F13" i="159"/>
  <c r="F12" i="159"/>
  <c r="F11" i="159"/>
  <c r="F10" i="159"/>
  <c r="F9" i="159"/>
  <c r="F8" i="159"/>
  <c r="F7" i="159"/>
  <c r="A3" i="159"/>
  <c r="D12" i="158"/>
  <c r="F12" i="158" s="1"/>
  <c r="B12" i="158"/>
  <c r="D11" i="158"/>
  <c r="D13" i="158" s="1"/>
  <c r="B11" i="158"/>
  <c r="B13" i="158" s="1"/>
  <c r="F10" i="158"/>
  <c r="F9" i="158"/>
  <c r="F8" i="158"/>
  <c r="F7" i="158"/>
  <c r="A3" i="158"/>
  <c r="F12" i="157"/>
  <c r="B11" i="157"/>
  <c r="F11" i="157" s="1"/>
  <c r="F10" i="157"/>
  <c r="B9" i="157"/>
  <c r="F9" i="157" s="1"/>
  <c r="D8" i="157"/>
  <c r="F8" i="157" s="1"/>
  <c r="B8" i="157"/>
  <c r="B7" i="157"/>
  <c r="B13" i="157" s="1"/>
  <c r="A3" i="157"/>
  <c r="F17" i="156"/>
  <c r="F16" i="156"/>
  <c r="F15" i="156"/>
  <c r="F14" i="156"/>
  <c r="F13" i="156"/>
  <c r="F12" i="156"/>
  <c r="F11" i="156"/>
  <c r="F10" i="156"/>
  <c r="F9" i="156"/>
  <c r="D8" i="156"/>
  <c r="F8" i="156" s="1"/>
  <c r="B8" i="156"/>
  <c r="B18" i="156" s="1"/>
  <c r="F7" i="156"/>
  <c r="C38" i="164" l="1"/>
  <c r="C41" i="164" s="1"/>
  <c r="C10" i="162"/>
  <c r="C24" i="162"/>
  <c r="C23" i="162" s="1"/>
  <c r="F16" i="161"/>
  <c r="F20" i="161" s="1"/>
  <c r="D20" i="161"/>
  <c r="E13" i="161"/>
  <c r="C12" i="161"/>
  <c r="E9" i="161"/>
  <c r="C8" i="161"/>
  <c r="C14" i="161"/>
  <c r="E11" i="161"/>
  <c r="C10" i="161"/>
  <c r="B20" i="161"/>
  <c r="C15" i="161"/>
  <c r="E12" i="161"/>
  <c r="C11" i="161"/>
  <c r="E8" i="161"/>
  <c r="E14" i="161"/>
  <c r="C13" i="161"/>
  <c r="E10" i="161"/>
  <c r="C9" i="161"/>
  <c r="E15" i="161"/>
  <c r="E7" i="161"/>
  <c r="F7" i="161"/>
  <c r="C7" i="161"/>
  <c r="D10" i="160"/>
  <c r="F9" i="160"/>
  <c r="F7" i="160"/>
  <c r="B10" i="160"/>
  <c r="E43" i="159"/>
  <c r="C42" i="159"/>
  <c r="C41" i="159"/>
  <c r="C39" i="159"/>
  <c r="E36" i="159"/>
  <c r="C35" i="159"/>
  <c r="E32" i="159"/>
  <c r="C31" i="159"/>
  <c r="E28" i="159"/>
  <c r="C27" i="159"/>
  <c r="E24" i="159"/>
  <c r="C23" i="159"/>
  <c r="E20" i="159"/>
  <c r="C19" i="159"/>
  <c r="E16" i="159"/>
  <c r="C15" i="159"/>
  <c r="E12" i="159"/>
  <c r="C11" i="159"/>
  <c r="E8" i="159"/>
  <c r="C7" i="159"/>
  <c r="C12" i="159"/>
  <c r="E47" i="159"/>
  <c r="E46" i="159"/>
  <c r="E44" i="159"/>
  <c r="C43" i="159"/>
  <c r="E37" i="159"/>
  <c r="C36" i="159"/>
  <c r="E33" i="159"/>
  <c r="C32" i="159"/>
  <c r="E29" i="159"/>
  <c r="C28" i="159"/>
  <c r="E25" i="159"/>
  <c r="C24" i="159"/>
  <c r="E21" i="159"/>
  <c r="C20" i="159"/>
  <c r="E17" i="159"/>
  <c r="C16" i="159"/>
  <c r="E48" i="159"/>
  <c r="E45" i="159"/>
  <c r="C44" i="159"/>
  <c r="E38" i="159"/>
  <c r="C37" i="159"/>
  <c r="E34" i="159"/>
  <c r="C33" i="159"/>
  <c r="E30" i="159"/>
  <c r="C29" i="159"/>
  <c r="E26" i="159"/>
  <c r="C25" i="159"/>
  <c r="E22" i="159"/>
  <c r="C21" i="159"/>
  <c r="E18" i="159"/>
  <c r="C17" i="159"/>
  <c r="E14" i="159"/>
  <c r="C13" i="159"/>
  <c r="E10" i="159"/>
  <c r="C9" i="159"/>
  <c r="C48" i="159"/>
  <c r="C46" i="159"/>
  <c r="C45" i="159"/>
  <c r="E42" i="159"/>
  <c r="E39" i="159"/>
  <c r="C38" i="159"/>
  <c r="E35" i="159"/>
  <c r="C34" i="159"/>
  <c r="E31" i="159"/>
  <c r="C30" i="159"/>
  <c r="E27" i="159"/>
  <c r="C26" i="159"/>
  <c r="E23" i="159"/>
  <c r="C22" i="159"/>
  <c r="E19" i="159"/>
  <c r="C18" i="159"/>
  <c r="E15" i="159"/>
  <c r="C14" i="159"/>
  <c r="E11" i="159"/>
  <c r="C10" i="159"/>
  <c r="E7" i="159"/>
  <c r="E49" i="159" s="1"/>
  <c r="E13" i="159"/>
  <c r="E9" i="159"/>
  <c r="C8" i="159"/>
  <c r="F49" i="159"/>
  <c r="E41" i="159"/>
  <c r="E40" i="159"/>
  <c r="C47" i="159"/>
  <c r="F40" i="159"/>
  <c r="C40" i="159"/>
  <c r="E10" i="158"/>
  <c r="C9" i="158"/>
  <c r="C11" i="158"/>
  <c r="C10" i="158"/>
  <c r="E7" i="158"/>
  <c r="E8" i="158"/>
  <c r="C7" i="158"/>
  <c r="B16" i="158"/>
  <c r="E11" i="158"/>
  <c r="E9" i="158"/>
  <c r="C8" i="158"/>
  <c r="F13" i="158"/>
  <c r="F16" i="158" s="1"/>
  <c r="D16" i="158"/>
  <c r="C12" i="158"/>
  <c r="F11" i="158"/>
  <c r="E12" i="158"/>
  <c r="B17" i="157"/>
  <c r="C12" i="157"/>
  <c r="E11" i="157"/>
  <c r="E10" i="157"/>
  <c r="E7" i="157"/>
  <c r="C11" i="157"/>
  <c r="C7" i="157"/>
  <c r="E9" i="157"/>
  <c r="E12" i="157"/>
  <c r="C10" i="157"/>
  <c r="C8" i="157"/>
  <c r="D13" i="157"/>
  <c r="F7" i="157"/>
  <c r="E8" i="157"/>
  <c r="C9" i="157"/>
  <c r="E15" i="156"/>
  <c r="C14" i="156"/>
  <c r="E11" i="156"/>
  <c r="C10" i="156"/>
  <c r="E17" i="156"/>
  <c r="E9" i="156"/>
  <c r="C18" i="156"/>
  <c r="E14" i="156"/>
  <c r="C13" i="156"/>
  <c r="C7" i="156"/>
  <c r="E16" i="156"/>
  <c r="C15" i="156"/>
  <c r="E12" i="156"/>
  <c r="C11" i="156"/>
  <c r="C16" i="156"/>
  <c r="E13" i="156"/>
  <c r="C12" i="156"/>
  <c r="E7" i="156"/>
  <c r="C17" i="156"/>
  <c r="E10" i="156"/>
  <c r="C9" i="156"/>
  <c r="C8" i="156"/>
  <c r="E8" i="156"/>
  <c r="D18" i="156"/>
  <c r="F18" i="156" s="1"/>
  <c r="E16" i="161" l="1"/>
  <c r="E20" i="161" s="1"/>
  <c r="C16" i="161"/>
  <c r="C20" i="161" s="1"/>
  <c r="B14" i="160"/>
  <c r="E9" i="160"/>
  <c r="E8" i="160"/>
  <c r="C10" i="160"/>
  <c r="C14" i="160" s="1"/>
  <c r="C8" i="160"/>
  <c r="C7" i="160"/>
  <c r="C9" i="160"/>
  <c r="E7" i="160"/>
  <c r="F10" i="160"/>
  <c r="F14" i="160" s="1"/>
  <c r="D14" i="160"/>
  <c r="C49" i="159"/>
  <c r="E13" i="158"/>
  <c r="E16" i="158" s="1"/>
  <c r="C13" i="158"/>
  <c r="C16" i="158" s="1"/>
  <c r="D17" i="157"/>
  <c r="F13" i="157"/>
  <c r="F17" i="157" s="1"/>
  <c r="C13" i="157"/>
  <c r="C17" i="157" s="1"/>
  <c r="E13" i="157"/>
  <c r="E17" i="157" s="1"/>
  <c r="E18" i="156"/>
  <c r="E10" i="160" l="1"/>
  <c r="E14" i="160" s="1"/>
  <c r="F732" i="155" l="1"/>
  <c r="A3" i="155"/>
  <c r="M17" i="153"/>
  <c r="L17" i="153"/>
  <c r="K17" i="153"/>
  <c r="J17" i="153"/>
  <c r="I17" i="153"/>
  <c r="H17" i="153"/>
  <c r="G17" i="153"/>
  <c r="F17" i="153"/>
  <c r="E17" i="153"/>
  <c r="D17" i="153"/>
  <c r="C17" i="153"/>
  <c r="B17" i="153"/>
  <c r="O16" i="153"/>
  <c r="N16" i="153"/>
  <c r="O15" i="153"/>
  <c r="N15" i="153"/>
  <c r="O14" i="153"/>
  <c r="N14" i="153"/>
  <c r="O13" i="153"/>
  <c r="N13" i="153"/>
  <c r="O12" i="153"/>
  <c r="N12" i="153"/>
  <c r="O11" i="153"/>
  <c r="N11" i="153"/>
  <c r="O10" i="153"/>
  <c r="N10" i="153"/>
  <c r="O9" i="153"/>
  <c r="O17" i="153" s="1"/>
  <c r="N9" i="153"/>
  <c r="O8" i="153"/>
  <c r="N8" i="153"/>
  <c r="N17" i="153" s="1"/>
  <c r="A3" i="153"/>
  <c r="D168" i="152"/>
  <c r="C168" i="152"/>
  <c r="A3" i="152"/>
  <c r="D73" i="151"/>
  <c r="C73" i="151"/>
  <c r="A3" i="151"/>
  <c r="D76" i="150"/>
  <c r="C76" i="150"/>
  <c r="A3" i="150"/>
  <c r="D412" i="149"/>
  <c r="C412" i="149"/>
  <c r="A3" i="149"/>
  <c r="D45" i="146"/>
  <c r="C45" i="146"/>
  <c r="F36" i="145" l="1"/>
  <c r="C36" i="145"/>
  <c r="C35" i="145"/>
  <c r="C34" i="145"/>
  <c r="C32" i="145" s="1"/>
  <c r="F33" i="145"/>
  <c r="C33" i="145"/>
  <c r="F32" i="145"/>
  <c r="D32" i="145"/>
  <c r="B32" i="145"/>
  <c r="F30" i="145"/>
  <c r="D30" i="145"/>
  <c r="C30" i="145"/>
  <c r="B30" i="145"/>
  <c r="F28" i="145"/>
  <c r="F27" i="145" s="1"/>
  <c r="C28" i="145"/>
  <c r="D27" i="145"/>
  <c r="C27" i="145"/>
  <c r="B27" i="145"/>
  <c r="F23" i="145"/>
  <c r="D23" i="145"/>
  <c r="C23" i="145"/>
  <c r="B23" i="145"/>
  <c r="F22" i="145"/>
  <c r="D22" i="145"/>
  <c r="C22" i="145"/>
  <c r="B22" i="145"/>
  <c r="B21" i="145"/>
  <c r="C20" i="145"/>
  <c r="C16" i="145" s="1"/>
  <c r="B20" i="145"/>
  <c r="C17" i="145"/>
  <c r="F16" i="145"/>
  <c r="D16" i="145"/>
  <c r="D37" i="145" s="1"/>
  <c r="B16" i="145"/>
  <c r="F15" i="145"/>
  <c r="C14" i="145"/>
  <c r="F12" i="145"/>
  <c r="F8" i="145" s="1"/>
  <c r="F37" i="145" s="1"/>
  <c r="F11" i="145"/>
  <c r="C11" i="145"/>
  <c r="B11" i="145"/>
  <c r="F10" i="145"/>
  <c r="C10" i="145"/>
  <c r="C8" i="145" s="1"/>
  <c r="F9" i="145"/>
  <c r="D8" i="145"/>
  <c r="B8" i="145"/>
  <c r="B37" i="145" s="1"/>
  <c r="A3" i="145"/>
  <c r="E35" i="145" l="1"/>
  <c r="E31" i="145"/>
  <c r="E30" i="145" s="1"/>
  <c r="E28" i="145"/>
  <c r="E27" i="145" s="1"/>
  <c r="E25" i="145"/>
  <c r="E21" i="145"/>
  <c r="E14" i="145"/>
  <c r="E12" i="145"/>
  <c r="E33" i="145"/>
  <c r="E24" i="145"/>
  <c r="E19" i="145"/>
  <c r="E9" i="145"/>
  <c r="E8" i="145" s="1"/>
  <c r="E18" i="145"/>
  <c r="E13" i="145"/>
  <c r="E11" i="145"/>
  <c r="E23" i="145"/>
  <c r="E17" i="145"/>
  <c r="E15" i="145"/>
  <c r="E36" i="145"/>
  <c r="E34" i="145"/>
  <c r="E29" i="145"/>
  <c r="E20" i="145"/>
  <c r="E10" i="145"/>
  <c r="E26" i="145"/>
  <c r="C37" i="145"/>
  <c r="E22" i="145" l="1"/>
  <c r="E16" i="145"/>
  <c r="E37" i="145" s="1"/>
  <c r="E32" i="145"/>
  <c r="B13" i="144" l="1"/>
  <c r="B10" i="144"/>
  <c r="B9" i="144"/>
  <c r="D8" i="144"/>
  <c r="B8" i="144"/>
  <c r="D7" i="144"/>
  <c r="D15" i="144" s="1"/>
  <c r="B7" i="144"/>
  <c r="A3" i="144"/>
  <c r="B15" i="144" l="1"/>
  <c r="C9" i="144" s="1"/>
  <c r="E14" i="144"/>
  <c r="E9" i="144"/>
  <c r="E8" i="144"/>
  <c r="E12" i="144"/>
  <c r="E10" i="144"/>
  <c r="E13" i="144"/>
  <c r="E11" i="144"/>
  <c r="E7" i="144"/>
  <c r="C12" i="144"/>
  <c r="C8" i="144"/>
  <c r="C13" i="144" l="1"/>
  <c r="C11" i="144"/>
  <c r="E15" i="144"/>
  <c r="C7" i="144"/>
  <c r="C10" i="144"/>
  <c r="C14" i="144"/>
  <c r="H16" i="143"/>
  <c r="J13" i="143"/>
  <c r="J16" i="143" s="1"/>
  <c r="H13" i="143"/>
  <c r="F13" i="143"/>
  <c r="G9" i="143" s="1"/>
  <c r="B13" i="143"/>
  <c r="B16" i="143" s="1"/>
  <c r="N12" i="143"/>
  <c r="K12" i="143"/>
  <c r="I12" i="143"/>
  <c r="C12" i="143"/>
  <c r="N11" i="143"/>
  <c r="I11" i="143"/>
  <c r="G11" i="143"/>
  <c r="N10" i="143"/>
  <c r="I10" i="143"/>
  <c r="G10" i="143"/>
  <c r="N9" i="143"/>
  <c r="K9" i="143"/>
  <c r="I9" i="143"/>
  <c r="I13" i="143" s="1"/>
  <c r="C9" i="143"/>
  <c r="L8" i="143"/>
  <c r="L13" i="143" s="1"/>
  <c r="I8" i="143"/>
  <c r="G8" i="143"/>
  <c r="F8" i="143"/>
  <c r="D8" i="143"/>
  <c r="D13" i="143" s="1"/>
  <c r="C8" i="143"/>
  <c r="A3" i="143"/>
  <c r="C15" i="144" l="1"/>
  <c r="E10" i="143"/>
  <c r="E9" i="143"/>
  <c r="E8" i="143"/>
  <c r="E13" i="143" s="1"/>
  <c r="E12" i="143"/>
  <c r="D16" i="143"/>
  <c r="E11" i="143"/>
  <c r="M10" i="143"/>
  <c r="L16" i="143"/>
  <c r="M9" i="143"/>
  <c r="M12" i="143"/>
  <c r="M11" i="143"/>
  <c r="M8" i="143"/>
  <c r="C13" i="143"/>
  <c r="F16" i="143"/>
  <c r="K8" i="143"/>
  <c r="C10" i="143"/>
  <c r="K10" i="143"/>
  <c r="G12" i="143"/>
  <c r="G13" i="143" s="1"/>
  <c r="N8" i="143"/>
  <c r="C11" i="143"/>
  <c r="K11" i="143"/>
  <c r="N13" i="143" l="1"/>
  <c r="K13" i="143"/>
  <c r="M13" i="143"/>
  <c r="O9" i="143" l="1"/>
  <c r="O8" i="143"/>
  <c r="N16" i="143"/>
  <c r="O10" i="143"/>
  <c r="B25" i="140" l="1"/>
  <c r="D22" i="140"/>
  <c r="F23" i="140" s="1"/>
  <c r="D21" i="140"/>
  <c r="B21" i="140"/>
  <c r="D19" i="140"/>
  <c r="B19" i="140"/>
  <c r="F18" i="140"/>
  <c r="D16" i="140"/>
  <c r="B16" i="140"/>
  <c r="F15" i="140"/>
  <c r="D13" i="140"/>
  <c r="B13" i="140"/>
  <c r="F12" i="140"/>
  <c r="D10" i="140"/>
  <c r="B10" i="140"/>
  <c r="D9" i="140"/>
  <c r="D26" i="140" s="1"/>
  <c r="B9" i="140"/>
  <c r="D8" i="140"/>
  <c r="D25" i="140" s="1"/>
  <c r="D7" i="140"/>
  <c r="B7" i="140"/>
  <c r="B24" i="140" s="1"/>
  <c r="A3" i="140"/>
  <c r="C17" i="140" l="1"/>
  <c r="C12" i="140"/>
  <c r="C11" i="140"/>
  <c r="C10" i="140" s="1"/>
  <c r="C8" i="140"/>
  <c r="B32" i="140"/>
  <c r="C22" i="140"/>
  <c r="C14" i="140"/>
  <c r="C23" i="140"/>
  <c r="C18" i="140"/>
  <c r="C20" i="140"/>
  <c r="C19" i="140" s="1"/>
  <c r="C15" i="140"/>
  <c r="C25" i="140"/>
  <c r="E25" i="140"/>
  <c r="D24" i="140"/>
  <c r="D31" i="140"/>
  <c r="C9" i="140"/>
  <c r="B26" i="140"/>
  <c r="C26" i="140" s="1"/>
  <c r="C7" i="140" l="1"/>
  <c r="C13" i="140"/>
  <c r="C16" i="140"/>
  <c r="B31" i="140"/>
  <c r="D32" i="140"/>
  <c r="E14" i="140"/>
  <c r="E13" i="140" s="1"/>
  <c r="E8" i="140"/>
  <c r="E20" i="140"/>
  <c r="E19" i="140" s="1"/>
  <c r="E23" i="140"/>
  <c r="E18" i="140"/>
  <c r="E11" i="140"/>
  <c r="E15" i="140"/>
  <c r="E9" i="140"/>
  <c r="E22" i="140"/>
  <c r="E21" i="140" s="1"/>
  <c r="E17" i="140"/>
  <c r="E12" i="140"/>
  <c r="C21" i="140"/>
  <c r="E26" i="140" l="1"/>
  <c r="C24" i="140"/>
  <c r="E16" i="140"/>
  <c r="E10" i="140"/>
  <c r="E7" i="140"/>
  <c r="E24" i="140" l="1"/>
  <c r="D9" i="137" l="1"/>
  <c r="D13" i="137" s="1"/>
  <c r="B9" i="137"/>
  <c r="C7" i="137" s="1"/>
  <c r="E7" i="137"/>
  <c r="A3" i="137"/>
  <c r="C8" i="137" l="1"/>
  <c r="C9" i="137" s="1"/>
  <c r="E8" i="137"/>
  <c r="E9" i="137" s="1"/>
  <c r="C8" i="94"/>
  <c r="D18" i="105" l="1"/>
  <c r="D17" i="105"/>
  <c r="D16" i="105"/>
  <c r="D15" i="105"/>
  <c r="D14" i="105"/>
  <c r="D13" i="105"/>
  <c r="D12" i="105"/>
  <c r="D11" i="105"/>
  <c r="D10" i="105"/>
  <c r="D9" i="105"/>
  <c r="D8" i="105"/>
  <c r="D7" i="105"/>
  <c r="C10" i="132" l="1"/>
  <c r="B10" i="132"/>
  <c r="D7" i="132" s="1"/>
  <c r="C19" i="131"/>
  <c r="B19" i="131"/>
  <c r="D17" i="131" s="1"/>
  <c r="D15" i="131"/>
  <c r="D14" i="131"/>
  <c r="D12" i="131"/>
  <c r="D10" i="131"/>
  <c r="D8" i="131"/>
  <c r="D7" i="131"/>
  <c r="D4" i="131"/>
  <c r="C10" i="130"/>
  <c r="B10" i="130"/>
  <c r="D9" i="130" s="1"/>
  <c r="D7" i="130"/>
  <c r="D6" i="130"/>
  <c r="C12" i="129"/>
  <c r="B12" i="129"/>
  <c r="D9" i="129" s="1"/>
  <c r="D4" i="129"/>
  <c r="E16" i="128"/>
  <c r="C16" i="128"/>
  <c r="E14" i="128"/>
  <c r="C14" i="128"/>
  <c r="D14" i="128" s="1"/>
  <c r="E4" i="128"/>
  <c r="C4" i="128"/>
  <c r="C22" i="128" s="1"/>
  <c r="C11" i="127"/>
  <c r="C8" i="127"/>
  <c r="C6" i="127"/>
  <c r="F34" i="126"/>
  <c r="F33" i="126"/>
  <c r="F32" i="126"/>
  <c r="F31" i="126"/>
  <c r="F30" i="126"/>
  <c r="F29" i="126"/>
  <c r="F28" i="126"/>
  <c r="F27" i="126"/>
  <c r="F26" i="126"/>
  <c r="F25" i="126"/>
  <c r="F24" i="126"/>
  <c r="F23" i="126"/>
  <c r="F22" i="126"/>
  <c r="F21" i="126"/>
  <c r="C21" i="126"/>
  <c r="F20" i="126"/>
  <c r="F19" i="126"/>
  <c r="F18" i="126"/>
  <c r="F17" i="126"/>
  <c r="F16" i="126"/>
  <c r="F15" i="126"/>
  <c r="F14" i="126"/>
  <c r="F13" i="126"/>
  <c r="F12" i="126"/>
  <c r="C12" i="126"/>
  <c r="F11" i="126"/>
  <c r="F10" i="126"/>
  <c r="F9" i="126"/>
  <c r="F8" i="126"/>
  <c r="F7" i="126"/>
  <c r="F6" i="126"/>
  <c r="C6" i="126"/>
  <c r="E13" i="124"/>
  <c r="F12" i="124"/>
  <c r="D12" i="124"/>
  <c r="F11" i="124"/>
  <c r="D11" i="124"/>
  <c r="F10" i="124"/>
  <c r="D10" i="124"/>
  <c r="F9" i="124"/>
  <c r="D9" i="124"/>
  <c r="F8" i="124"/>
  <c r="D8" i="124"/>
  <c r="F7" i="124"/>
  <c r="E7" i="124"/>
  <c r="D7" i="124"/>
  <c r="C7" i="124"/>
  <c r="F6" i="124"/>
  <c r="D6" i="124"/>
  <c r="F5" i="124"/>
  <c r="D5" i="124"/>
  <c r="F4" i="124"/>
  <c r="F13" i="124" s="1"/>
  <c r="E4" i="124"/>
  <c r="D4" i="124"/>
  <c r="D13" i="124" s="1"/>
  <c r="C4" i="124"/>
  <c r="E32" i="122"/>
  <c r="C32" i="122"/>
  <c r="E29" i="122"/>
  <c r="C29" i="122"/>
  <c r="E22" i="122"/>
  <c r="C22" i="122"/>
  <c r="E16" i="122"/>
  <c r="C16" i="122"/>
  <c r="E9" i="122"/>
  <c r="C9" i="122"/>
  <c r="E6" i="122"/>
  <c r="C6" i="122"/>
  <c r="E3" i="122"/>
  <c r="E35" i="122" s="1"/>
  <c r="C3" i="122"/>
  <c r="C35" i="122" s="1"/>
  <c r="H12" i="119"/>
  <c r="F12" i="119"/>
  <c r="D12" i="119"/>
  <c r="B12" i="119"/>
  <c r="B25" i="118"/>
  <c r="C24" i="118"/>
  <c r="C23" i="118"/>
  <c r="C22" i="118"/>
  <c r="C21" i="118"/>
  <c r="C20" i="118"/>
  <c r="C19" i="118"/>
  <c r="C18" i="118"/>
  <c r="C25" i="118" s="1"/>
  <c r="A3" i="118"/>
  <c r="B7" i="117"/>
  <c r="B6" i="117"/>
  <c r="A3" i="117"/>
  <c r="E11" i="116"/>
  <c r="D11" i="116"/>
  <c r="C11" i="116"/>
  <c r="G10" i="116"/>
  <c r="F9" i="116"/>
  <c r="G9" i="116" s="1"/>
  <c r="F8" i="116"/>
  <c r="B8" i="116"/>
  <c r="B11" i="116" s="1"/>
  <c r="F7" i="116"/>
  <c r="A3" i="116"/>
  <c r="H12" i="115"/>
  <c r="F12" i="115"/>
  <c r="D12" i="115"/>
  <c r="K11" i="115"/>
  <c r="I11" i="115"/>
  <c r="G11" i="115"/>
  <c r="E11" i="115"/>
  <c r="B11" i="115"/>
  <c r="L11" i="115" s="1"/>
  <c r="J10" i="115"/>
  <c r="L10" i="115" s="1"/>
  <c r="I10" i="115"/>
  <c r="G10" i="115"/>
  <c r="E10" i="115"/>
  <c r="C10" i="115"/>
  <c r="J9" i="115"/>
  <c r="I9" i="115"/>
  <c r="G9" i="115"/>
  <c r="E9" i="115"/>
  <c r="B9" i="115"/>
  <c r="L9" i="115" s="1"/>
  <c r="J8" i="115"/>
  <c r="L8" i="115" s="1"/>
  <c r="I8" i="115"/>
  <c r="G8" i="115"/>
  <c r="E8" i="115"/>
  <c r="C8" i="115"/>
  <c r="A3" i="115"/>
  <c r="D8" i="114"/>
  <c r="B8" i="114"/>
  <c r="D7" i="114"/>
  <c r="D9" i="114" s="1"/>
  <c r="B7" i="114"/>
  <c r="A3" i="114"/>
  <c r="C10" i="113"/>
  <c r="E10" i="113" s="1"/>
  <c r="B10" i="113"/>
  <c r="C9" i="113"/>
  <c r="E9" i="113" s="1"/>
  <c r="B9" i="113"/>
  <c r="C8" i="113"/>
  <c r="E8" i="113" s="1"/>
  <c r="B8" i="113"/>
  <c r="A3" i="113"/>
  <c r="B11" i="112"/>
  <c r="B10" i="112" s="1"/>
  <c r="C10" i="112"/>
  <c r="B9" i="112"/>
  <c r="C8" i="112"/>
  <c r="C7" i="112" s="1"/>
  <c r="B8" i="112"/>
  <c r="A3" i="112"/>
  <c r="A3" i="111"/>
  <c r="F9" i="111"/>
  <c r="B10" i="111"/>
  <c r="C10" i="111"/>
  <c r="D10" i="111"/>
  <c r="D9" i="111" s="1"/>
  <c r="B11" i="111"/>
  <c r="C11" i="111"/>
  <c r="F12" i="111"/>
  <c r="B13" i="111"/>
  <c r="C13" i="111"/>
  <c r="D13" i="111"/>
  <c r="B14" i="111"/>
  <c r="C14" i="111"/>
  <c r="D14" i="111"/>
  <c r="E12" i="110"/>
  <c r="F9" i="110" s="1"/>
  <c r="C12" i="110"/>
  <c r="F11" i="110"/>
  <c r="D11" i="110"/>
  <c r="D10" i="110"/>
  <c r="D9" i="110"/>
  <c r="D8" i="110"/>
  <c r="D12" i="110" s="1"/>
  <c r="D6" i="132" l="1"/>
  <c r="D8" i="132"/>
  <c r="D4" i="132"/>
  <c r="D18" i="131"/>
  <c r="D6" i="131"/>
  <c r="D11" i="131"/>
  <c r="D16" i="131"/>
  <c r="D4" i="130"/>
  <c r="D8" i="130"/>
  <c r="D5" i="130"/>
  <c r="D6" i="129"/>
  <c r="D8" i="129"/>
  <c r="D10" i="129"/>
  <c r="C13" i="127"/>
  <c r="D10" i="127" s="1"/>
  <c r="F4" i="128"/>
  <c r="F14" i="128"/>
  <c r="D6" i="126"/>
  <c r="D22" i="128"/>
  <c r="D19" i="128"/>
  <c r="D7" i="128"/>
  <c r="D20" i="128"/>
  <c r="D18" i="128"/>
  <c r="D15" i="128"/>
  <c r="D12" i="128"/>
  <c r="D10" i="128"/>
  <c r="D8" i="128"/>
  <c r="D6" i="128"/>
  <c r="D21" i="128"/>
  <c r="D9" i="128"/>
  <c r="D17" i="128"/>
  <c r="D13" i="128"/>
  <c r="D11" i="128"/>
  <c r="D5" i="128"/>
  <c r="D16" i="128"/>
  <c r="E22" i="128"/>
  <c r="C34" i="126"/>
  <c r="D21" i="126" s="1"/>
  <c r="D4" i="128"/>
  <c r="D7" i="129"/>
  <c r="D11" i="129"/>
  <c r="D5" i="132"/>
  <c r="D9" i="132"/>
  <c r="D5" i="129"/>
  <c r="D12" i="129" s="1"/>
  <c r="D5" i="131"/>
  <c r="D9" i="131"/>
  <c r="D13" i="131"/>
  <c r="D29" i="122"/>
  <c r="F6" i="122"/>
  <c r="F16" i="122"/>
  <c r="D16" i="122"/>
  <c r="D9" i="122"/>
  <c r="D6" i="122"/>
  <c r="D34" i="122"/>
  <c r="D31" i="122"/>
  <c r="D28" i="122"/>
  <c r="D26" i="122"/>
  <c r="D24" i="122"/>
  <c r="D21" i="122"/>
  <c r="D19" i="122"/>
  <c r="D17" i="122"/>
  <c r="D14" i="122"/>
  <c r="D12" i="122"/>
  <c r="D10" i="122"/>
  <c r="D7" i="122"/>
  <c r="D4" i="122"/>
  <c r="D33" i="122"/>
  <c r="D30" i="122"/>
  <c r="D27" i="122"/>
  <c r="D25" i="122"/>
  <c r="D23" i="122"/>
  <c r="D20" i="122"/>
  <c r="D18" i="122"/>
  <c r="D15" i="122"/>
  <c r="D13" i="122"/>
  <c r="D11" i="122"/>
  <c r="D8" i="122"/>
  <c r="D5" i="122"/>
  <c r="D3" i="122"/>
  <c r="D22" i="122"/>
  <c r="D32" i="122"/>
  <c r="F34" i="122"/>
  <c r="F32" i="122"/>
  <c r="F31" i="122"/>
  <c r="F29" i="122"/>
  <c r="F28" i="122"/>
  <c r="F26" i="122"/>
  <c r="F24" i="122"/>
  <c r="F22" i="122"/>
  <c r="F21" i="122"/>
  <c r="F19" i="122"/>
  <c r="F17" i="122"/>
  <c r="F14" i="122"/>
  <c r="F12" i="122"/>
  <c r="F7" i="122"/>
  <c r="F4" i="122"/>
  <c r="F33" i="122"/>
  <c r="F30" i="122"/>
  <c r="F27" i="122"/>
  <c r="F25" i="122"/>
  <c r="F23" i="122"/>
  <c r="F20" i="122"/>
  <c r="F18" i="122"/>
  <c r="F15" i="122"/>
  <c r="F13" i="122"/>
  <c r="F11" i="122"/>
  <c r="F8" i="122"/>
  <c r="F5" i="122"/>
  <c r="F10" i="122"/>
  <c r="F9" i="122"/>
  <c r="F3" i="122"/>
  <c r="G8" i="116"/>
  <c r="F11" i="116"/>
  <c r="G7" i="116"/>
  <c r="G12" i="115"/>
  <c r="I12" i="115"/>
  <c r="E12" i="115"/>
  <c r="L12" i="115"/>
  <c r="B12" i="115"/>
  <c r="C9" i="115" s="1"/>
  <c r="J12" i="115"/>
  <c r="E8" i="114"/>
  <c r="E7" i="114"/>
  <c r="C8" i="114"/>
  <c r="B9" i="114"/>
  <c r="C7" i="114" s="1"/>
  <c r="C9" i="114" s="1"/>
  <c r="E7" i="113"/>
  <c r="C7" i="113"/>
  <c r="D10" i="113" s="1"/>
  <c r="B7" i="113"/>
  <c r="D8" i="113"/>
  <c r="B7" i="112"/>
  <c r="D12" i="112"/>
  <c r="D9" i="112"/>
  <c r="D11" i="112"/>
  <c r="D8" i="112"/>
  <c r="C9" i="111"/>
  <c r="B12" i="111"/>
  <c r="B9" i="111"/>
  <c r="D12" i="111"/>
  <c r="C12" i="111"/>
  <c r="F8" i="110"/>
  <c r="F10" i="110"/>
  <c r="D10" i="132" l="1"/>
  <c r="D19" i="131"/>
  <c r="D10" i="130"/>
  <c r="D6" i="127"/>
  <c r="D13" i="127" s="1"/>
  <c r="D8" i="127"/>
  <c r="D11" i="127"/>
  <c r="D12" i="127"/>
  <c r="D7" i="127"/>
  <c r="D9" i="127"/>
  <c r="F20" i="128"/>
  <c r="F18" i="128"/>
  <c r="F15" i="128"/>
  <c r="F12" i="128"/>
  <c r="F10" i="128"/>
  <c r="F8" i="128"/>
  <c r="F6" i="128"/>
  <c r="F22" i="128"/>
  <c r="F21" i="128"/>
  <c r="F19" i="128"/>
  <c r="F17" i="128"/>
  <c r="F13" i="128"/>
  <c r="F11" i="128"/>
  <c r="F9" i="128"/>
  <c r="F7" i="128"/>
  <c r="F5" i="128"/>
  <c r="E13" i="127"/>
  <c r="F8" i="127" s="1"/>
  <c r="D33" i="126"/>
  <c r="D31" i="126"/>
  <c r="D29" i="126"/>
  <c r="D27" i="126"/>
  <c r="D25" i="126"/>
  <c r="D23" i="126"/>
  <c r="D10" i="126"/>
  <c r="D8" i="126"/>
  <c r="D16" i="126"/>
  <c r="D19" i="126"/>
  <c r="D17" i="126"/>
  <c r="D15" i="126"/>
  <c r="D13" i="126"/>
  <c r="D20" i="126"/>
  <c r="D14" i="126"/>
  <c r="D32" i="126"/>
  <c r="D30" i="126"/>
  <c r="D28" i="126"/>
  <c r="D26" i="126"/>
  <c r="D24" i="126"/>
  <c r="D22" i="126"/>
  <c r="D11" i="126"/>
  <c r="D9" i="126"/>
  <c r="D7" i="126"/>
  <c r="D18" i="126"/>
  <c r="D12" i="126"/>
  <c r="D34" i="126" s="1"/>
  <c r="F16" i="128"/>
  <c r="F35" i="122"/>
  <c r="D35" i="122"/>
  <c r="G11" i="116"/>
  <c r="K10" i="115"/>
  <c r="K9" i="115"/>
  <c r="M11" i="115"/>
  <c r="M8" i="115"/>
  <c r="M10" i="115"/>
  <c r="M9" i="115"/>
  <c r="C11" i="115"/>
  <c r="C12" i="115" s="1"/>
  <c r="K8" i="115"/>
  <c r="E9" i="114"/>
  <c r="D9" i="113"/>
  <c r="D7" i="113" s="1"/>
  <c r="D10" i="112"/>
  <c r="D7" i="112"/>
  <c r="E10" i="111"/>
  <c r="E14" i="111"/>
  <c r="E11" i="111"/>
  <c r="E13" i="111"/>
  <c r="F12" i="110"/>
  <c r="F13" i="127" l="1"/>
  <c r="F7" i="127"/>
  <c r="F10" i="127"/>
  <c r="F6" i="127"/>
  <c r="F9" i="127"/>
  <c r="F12" i="127"/>
  <c r="F11" i="127"/>
  <c r="M12" i="115"/>
  <c r="K12" i="115"/>
  <c r="E12" i="111"/>
  <c r="E9" i="111"/>
  <c r="A3" i="109" l="1"/>
  <c r="C18" i="105" l="1"/>
  <c r="B18" i="105"/>
  <c r="A3" i="105"/>
  <c r="B13" i="6" l="1"/>
  <c r="B18" i="94" l="1"/>
  <c r="C15" i="94" s="1"/>
  <c r="E17" i="94"/>
  <c r="E16" i="94"/>
  <c r="E15" i="94"/>
  <c r="E14" i="94"/>
  <c r="C14" i="94"/>
  <c r="E13" i="94"/>
  <c r="E12" i="94"/>
  <c r="E11" i="94"/>
  <c r="D10" i="94"/>
  <c r="E10" i="94" s="1"/>
  <c r="D9" i="94"/>
  <c r="D18" i="94" s="1"/>
  <c r="E8" i="94"/>
  <c r="E7" i="94"/>
  <c r="A3" i="94"/>
  <c r="L7" i="73"/>
  <c r="E18" i="94" l="1"/>
  <c r="C7" i="94"/>
  <c r="E9" i="94"/>
  <c r="C17" i="94"/>
  <c r="B22" i="94"/>
  <c r="C12" i="94"/>
  <c r="C16" i="94"/>
  <c r="C13" i="94"/>
  <c r="C9" i="94"/>
  <c r="C10" i="94"/>
  <c r="C11" i="94"/>
  <c r="F17" i="94" l="1"/>
  <c r="F13" i="94"/>
  <c r="F7" i="94"/>
  <c r="F11" i="94"/>
  <c r="F14" i="94"/>
  <c r="F10" i="94"/>
  <c r="F9" i="94"/>
  <c r="F8" i="94"/>
  <c r="F15" i="94"/>
  <c r="F16" i="94"/>
  <c r="F12" i="94"/>
  <c r="F18" i="94" l="1"/>
  <c r="B47" i="3" l="1"/>
  <c r="E23" i="87"/>
  <c r="D23" i="87"/>
  <c r="C23" i="87"/>
  <c r="B23" i="87"/>
  <c r="G21" i="87"/>
  <c r="G20" i="87"/>
  <c r="G19" i="87"/>
  <c r="G18" i="87"/>
  <c r="G17" i="87"/>
  <c r="G16" i="87"/>
  <c r="G15" i="87"/>
  <c r="G14" i="87"/>
  <c r="G13" i="87"/>
  <c r="G12" i="87"/>
  <c r="G11" i="87"/>
  <c r="G10" i="87"/>
  <c r="G9" i="87"/>
  <c r="G8" i="87"/>
  <c r="G7" i="87"/>
  <c r="G6" i="87"/>
  <c r="A3" i="87"/>
  <c r="G22" i="87" l="1"/>
  <c r="G23" i="87"/>
  <c r="G18" i="82" l="1"/>
  <c r="F18" i="82"/>
  <c r="E18" i="82"/>
  <c r="D18" i="82"/>
  <c r="C18" i="82"/>
  <c r="B17" i="82"/>
  <c r="H17" i="82" s="1"/>
  <c r="B16" i="82"/>
  <c r="H16" i="82" s="1"/>
  <c r="B15" i="82"/>
  <c r="H15" i="82" s="1"/>
  <c r="B14" i="82"/>
  <c r="H14" i="82" s="1"/>
  <c r="B13" i="82"/>
  <c r="H13" i="82" s="1"/>
  <c r="B12" i="82"/>
  <c r="H12" i="82" s="1"/>
  <c r="H11" i="82"/>
  <c r="B11" i="82"/>
  <c r="H10" i="82"/>
  <c r="B10" i="82"/>
  <c r="H9" i="82"/>
  <c r="B9" i="82"/>
  <c r="B8" i="82"/>
  <c r="H8" i="82" s="1"/>
  <c r="B7" i="82"/>
  <c r="H7" i="82" s="1"/>
  <c r="A3" i="82"/>
  <c r="G18" i="81"/>
  <c r="F18" i="81"/>
  <c r="E18" i="81"/>
  <c r="D18" i="81"/>
  <c r="C18" i="81"/>
  <c r="B17" i="81"/>
  <c r="H17" i="81" s="1"/>
  <c r="B16" i="81"/>
  <c r="H16" i="81" s="1"/>
  <c r="B15" i="81"/>
  <c r="H15" i="81" s="1"/>
  <c r="B14" i="81"/>
  <c r="H14" i="81" s="1"/>
  <c r="B13" i="81"/>
  <c r="H13" i="81" s="1"/>
  <c r="B12" i="81"/>
  <c r="H12" i="81" s="1"/>
  <c r="H11" i="81"/>
  <c r="H10" i="81"/>
  <c r="B9" i="81"/>
  <c r="H9" i="81" s="1"/>
  <c r="B8" i="81"/>
  <c r="H8" i="81" s="1"/>
  <c r="B7" i="81"/>
  <c r="H7" i="81" s="1"/>
  <c r="A3" i="81"/>
  <c r="F43" i="77"/>
  <c r="D43" i="77"/>
  <c r="E41" i="77" s="1"/>
  <c r="G42" i="77"/>
  <c r="G41" i="77"/>
  <c r="G40" i="77"/>
  <c r="E40" i="77"/>
  <c r="G39" i="77"/>
  <c r="E39" i="77"/>
  <c r="G38" i="77"/>
  <c r="E38" i="77"/>
  <c r="G37" i="77"/>
  <c r="E37" i="77"/>
  <c r="G36" i="77"/>
  <c r="E36" i="77"/>
  <c r="G35" i="77"/>
  <c r="E35" i="77"/>
  <c r="G34" i="77"/>
  <c r="E34" i="77"/>
  <c r="G33" i="77"/>
  <c r="E33" i="77"/>
  <c r="G32" i="77"/>
  <c r="E32" i="77"/>
  <c r="G31" i="77"/>
  <c r="E31" i="77"/>
  <c r="E30" i="77"/>
  <c r="G29" i="77"/>
  <c r="E29" i="77"/>
  <c r="G28" i="77"/>
  <c r="E28" i="77"/>
  <c r="G27" i="77"/>
  <c r="E27" i="77"/>
  <c r="G26" i="77"/>
  <c r="E26" i="77"/>
  <c r="G25" i="77"/>
  <c r="E25" i="77"/>
  <c r="G24" i="77"/>
  <c r="E24" i="77"/>
  <c r="G23" i="77"/>
  <c r="E23" i="77"/>
  <c r="G22" i="77"/>
  <c r="E22" i="77"/>
  <c r="G21" i="77"/>
  <c r="E21" i="77"/>
  <c r="G20" i="77"/>
  <c r="E20" i="77"/>
  <c r="G19" i="77"/>
  <c r="E19" i="77"/>
  <c r="E18" i="77"/>
  <c r="G17" i="77"/>
  <c r="E17" i="77"/>
  <c r="G16" i="77"/>
  <c r="E16" i="77"/>
  <c r="G15" i="77"/>
  <c r="E15" i="77"/>
  <c r="G14" i="77"/>
  <c r="E14" i="77"/>
  <c r="G13" i="77"/>
  <c r="E13" i="77"/>
  <c r="G12" i="77"/>
  <c r="E12" i="77"/>
  <c r="G11" i="77"/>
  <c r="E11" i="77"/>
  <c r="G10" i="77"/>
  <c r="E10" i="77"/>
  <c r="G9" i="77"/>
  <c r="G8" i="77"/>
  <c r="E8" i="77"/>
  <c r="G7" i="77"/>
  <c r="E7" i="77"/>
  <c r="A3" i="77"/>
  <c r="B12" i="76"/>
  <c r="A3" i="76"/>
  <c r="B8" i="50"/>
  <c r="M11" i="74"/>
  <c r="L11" i="74"/>
  <c r="K11" i="74"/>
  <c r="J11" i="74"/>
  <c r="I11" i="74"/>
  <c r="H11" i="74"/>
  <c r="G11" i="74"/>
  <c r="F11" i="74"/>
  <c r="E11" i="74"/>
  <c r="D11" i="74"/>
  <c r="M10" i="74"/>
  <c r="E10" i="74"/>
  <c r="C10" i="74"/>
  <c r="O10" i="74" s="1"/>
  <c r="B10" i="74"/>
  <c r="N10" i="74" s="1"/>
  <c r="N9" i="74"/>
  <c r="C9" i="74"/>
  <c r="O9" i="74" s="1"/>
  <c r="B9" i="74"/>
  <c r="O8" i="74"/>
  <c r="N8" i="74"/>
  <c r="C8" i="74"/>
  <c r="B8" i="74"/>
  <c r="O7" i="74"/>
  <c r="C7" i="74"/>
  <c r="B7" i="74"/>
  <c r="B11" i="74" s="1"/>
  <c r="A3" i="74"/>
  <c r="J12" i="73"/>
  <c r="J16" i="73" s="1"/>
  <c r="H12" i="73"/>
  <c r="I9" i="73" s="1"/>
  <c r="I11" i="73"/>
  <c r="D11" i="73"/>
  <c r="B11" i="73"/>
  <c r="N11" i="73" s="1"/>
  <c r="N10" i="73"/>
  <c r="K10" i="73"/>
  <c r="B10" i="73"/>
  <c r="N9" i="73"/>
  <c r="K9" i="73"/>
  <c r="B9" i="73"/>
  <c r="I8" i="73"/>
  <c r="B8" i="73"/>
  <c r="N8" i="73" s="1"/>
  <c r="L12" i="73"/>
  <c r="I7" i="73"/>
  <c r="F7" i="73"/>
  <c r="F12" i="73" s="1"/>
  <c r="D7" i="73"/>
  <c r="D12" i="73" s="1"/>
  <c r="B7" i="73"/>
  <c r="B12" i="73" s="1"/>
  <c r="A3" i="73"/>
  <c r="B8" i="55"/>
  <c r="D18" i="69"/>
  <c r="B18" i="69"/>
  <c r="B23" i="69" s="1"/>
  <c r="E17" i="69"/>
  <c r="C17" i="69"/>
  <c r="E16" i="69"/>
  <c r="C16" i="69"/>
  <c r="E15" i="69"/>
  <c r="C15" i="69"/>
  <c r="E14" i="69"/>
  <c r="C14" i="69"/>
  <c r="E13" i="69"/>
  <c r="C13" i="69"/>
  <c r="E12" i="69"/>
  <c r="C12" i="69"/>
  <c r="E11" i="69"/>
  <c r="C11" i="69"/>
  <c r="E10" i="69"/>
  <c r="C10" i="69"/>
  <c r="E9" i="69"/>
  <c r="C9" i="69"/>
  <c r="E8" i="69"/>
  <c r="C8" i="69"/>
  <c r="E7" i="69"/>
  <c r="E18" i="69" s="1"/>
  <c r="C7" i="69"/>
  <c r="C18" i="69" s="1"/>
  <c r="A3" i="69"/>
  <c r="B18" i="64"/>
  <c r="C17" i="64" s="1"/>
  <c r="C14" i="64"/>
  <c r="C10" i="64"/>
  <c r="A3" i="64"/>
  <c r="H18" i="82" l="1"/>
  <c r="I7" i="82"/>
  <c r="I15" i="82"/>
  <c r="I12" i="82"/>
  <c r="I13" i="82"/>
  <c r="B18" i="82"/>
  <c r="I9" i="81"/>
  <c r="I12" i="81"/>
  <c r="H18" i="81"/>
  <c r="I11" i="81" s="1"/>
  <c r="I13" i="81"/>
  <c r="I8" i="81"/>
  <c r="B18" i="81"/>
  <c r="C10" i="76"/>
  <c r="C7" i="76"/>
  <c r="C9" i="76"/>
  <c r="C8" i="76"/>
  <c r="C11" i="74"/>
  <c r="O11" i="74"/>
  <c r="N7" i="74"/>
  <c r="N11" i="74" s="1"/>
  <c r="D16" i="73"/>
  <c r="E10" i="73"/>
  <c r="E11" i="73"/>
  <c r="E8" i="73"/>
  <c r="E9" i="73"/>
  <c r="E7" i="73"/>
  <c r="G11" i="73"/>
  <c r="G8" i="73"/>
  <c r="G7" i="73"/>
  <c r="G9" i="73"/>
  <c r="G10" i="73"/>
  <c r="F16" i="73"/>
  <c r="I12" i="73"/>
  <c r="C7" i="73"/>
  <c r="B16" i="73"/>
  <c r="C10" i="73"/>
  <c r="C9" i="73"/>
  <c r="C8" i="73"/>
  <c r="C11" i="73"/>
  <c r="L16" i="73"/>
  <c r="M10" i="73"/>
  <c r="M8" i="73"/>
  <c r="M7" i="73"/>
  <c r="M11" i="73"/>
  <c r="M9" i="73"/>
  <c r="N7" i="73"/>
  <c r="N12" i="73" s="1"/>
  <c r="K7" i="73"/>
  <c r="K8" i="73"/>
  <c r="I10" i="73"/>
  <c r="K11" i="73"/>
  <c r="H16" i="73"/>
  <c r="C11" i="64"/>
  <c r="C15" i="64"/>
  <c r="C7" i="64"/>
  <c r="C12" i="64"/>
  <c r="C16" i="64"/>
  <c r="C9" i="64"/>
  <c r="C13" i="64"/>
  <c r="D14" i="62"/>
  <c r="E7" i="62" s="1"/>
  <c r="B14" i="62"/>
  <c r="C13" i="62"/>
  <c r="E12" i="62"/>
  <c r="C12" i="62"/>
  <c r="C11" i="62"/>
  <c r="E10" i="62"/>
  <c r="C10" i="62"/>
  <c r="C9" i="62"/>
  <c r="E8" i="62"/>
  <c r="C8" i="62"/>
  <c r="C14" i="62" s="1"/>
  <c r="C7" i="62"/>
  <c r="A3" i="62"/>
  <c r="D10" i="57"/>
  <c r="B10" i="57"/>
  <c r="E9" i="57"/>
  <c r="E10" i="57" s="1"/>
  <c r="C9" i="57"/>
  <c r="E8" i="57"/>
  <c r="E7" i="57"/>
  <c r="C7" i="57"/>
  <c r="E6" i="57"/>
  <c r="C6" i="57"/>
  <c r="C10" i="57" s="1"/>
  <c r="A3" i="57"/>
  <c r="B13" i="55"/>
  <c r="B7" i="55"/>
  <c r="B33" i="55" s="1"/>
  <c r="A3" i="55"/>
  <c r="B18" i="54"/>
  <c r="C17" i="54" s="1"/>
  <c r="C14" i="54"/>
  <c r="C10" i="54"/>
  <c r="A3" i="54"/>
  <c r="B14" i="53"/>
  <c r="B10" i="53"/>
  <c r="C9" i="53" s="1"/>
  <c r="C8" i="53"/>
  <c r="A3" i="53"/>
  <c r="B18" i="52"/>
  <c r="C16" i="52" s="1"/>
  <c r="C17" i="52"/>
  <c r="C15" i="52"/>
  <c r="C14" i="52"/>
  <c r="C13" i="52"/>
  <c r="C11" i="52"/>
  <c r="C10" i="52"/>
  <c r="C8" i="52"/>
  <c r="A3" i="52"/>
  <c r="B35" i="51"/>
  <c r="B29" i="51"/>
  <c r="B26" i="51"/>
  <c r="B22" i="51"/>
  <c r="B7" i="51"/>
  <c r="B43" i="51" s="1"/>
  <c r="A3" i="51"/>
  <c r="B18" i="50"/>
  <c r="C17" i="50" s="1"/>
  <c r="C10" i="50"/>
  <c r="A3" i="50"/>
  <c r="M12" i="73" l="1"/>
  <c r="I16" i="82"/>
  <c r="I10" i="82"/>
  <c r="I17" i="82"/>
  <c r="I9" i="82"/>
  <c r="I14" i="82"/>
  <c r="I14" i="81"/>
  <c r="I17" i="81"/>
  <c r="I7" i="81"/>
  <c r="I16" i="81"/>
  <c r="I15" i="81"/>
  <c r="I10" i="81"/>
  <c r="O9" i="73"/>
  <c r="O10" i="73"/>
  <c r="O8" i="73"/>
  <c r="O7" i="73"/>
  <c r="N16" i="73"/>
  <c r="O11" i="73"/>
  <c r="C12" i="73"/>
  <c r="G12" i="73"/>
  <c r="E12" i="73"/>
  <c r="K12" i="73"/>
  <c r="C14" i="50"/>
  <c r="E11" i="62"/>
  <c r="E13" i="62"/>
  <c r="C14" i="55"/>
  <c r="C8" i="55"/>
  <c r="C32" i="55"/>
  <c r="C30" i="55"/>
  <c r="C28" i="55"/>
  <c r="C26" i="55"/>
  <c r="C24" i="55"/>
  <c r="C22" i="55"/>
  <c r="C20" i="55"/>
  <c r="C18" i="55"/>
  <c r="C16" i="55"/>
  <c r="C12" i="55"/>
  <c r="C10" i="55"/>
  <c r="C15" i="55"/>
  <c r="C31" i="55"/>
  <c r="C29" i="55"/>
  <c r="C27" i="55"/>
  <c r="C23" i="55"/>
  <c r="C21" i="55"/>
  <c r="C19" i="55"/>
  <c r="C17" i="55"/>
  <c r="C11" i="55"/>
  <c r="C9" i="55"/>
  <c r="C25" i="55"/>
  <c r="C11" i="54"/>
  <c r="C15" i="54"/>
  <c r="C7" i="54"/>
  <c r="C12" i="54"/>
  <c r="C16" i="54"/>
  <c r="B21" i="54"/>
  <c r="C8" i="54"/>
  <c r="C13" i="54"/>
  <c r="C10" i="53"/>
  <c r="C7" i="52"/>
  <c r="C18" i="52" s="1"/>
  <c r="C12" i="52"/>
  <c r="C42" i="51"/>
  <c r="C40" i="51"/>
  <c r="C33" i="51"/>
  <c r="C31" i="51"/>
  <c r="C29" i="51"/>
  <c r="C25" i="51"/>
  <c r="C23" i="51"/>
  <c r="C19" i="51"/>
  <c r="C15" i="51"/>
  <c r="C8" i="51"/>
  <c r="C38" i="51"/>
  <c r="C36" i="51"/>
  <c r="C27" i="51"/>
  <c r="C20" i="51"/>
  <c r="C18" i="51"/>
  <c r="C16" i="51"/>
  <c r="C14" i="51"/>
  <c r="C12" i="51"/>
  <c r="C10" i="51"/>
  <c r="C21" i="51"/>
  <c r="C17" i="51"/>
  <c r="C13" i="51"/>
  <c r="C41" i="51"/>
  <c r="C39" i="51"/>
  <c r="C34" i="51"/>
  <c r="C32" i="51"/>
  <c r="C30" i="51"/>
  <c r="C24" i="51"/>
  <c r="C37" i="51"/>
  <c r="C28" i="51"/>
  <c r="C11" i="51"/>
  <c r="C11" i="50"/>
  <c r="C15" i="50"/>
  <c r="C7" i="50"/>
  <c r="C12" i="50"/>
  <c r="C16" i="50"/>
  <c r="C9" i="50"/>
  <c r="C13" i="50"/>
  <c r="D13" i="28"/>
  <c r="C13" i="28"/>
  <c r="D7" i="28"/>
  <c r="D18" i="28" s="1"/>
  <c r="C7" i="28"/>
  <c r="C18" i="28" s="1"/>
  <c r="C20" i="28" s="1"/>
  <c r="A3" i="28"/>
  <c r="C26" i="27"/>
  <c r="D23" i="27"/>
  <c r="D26" i="27" s="1"/>
  <c r="C23" i="27"/>
  <c r="A3" i="27"/>
  <c r="K16" i="26"/>
  <c r="J16" i="26"/>
  <c r="I16" i="26"/>
  <c r="H16" i="26"/>
  <c r="G16" i="26"/>
  <c r="F16" i="26"/>
  <c r="E16" i="26"/>
  <c r="D16" i="26"/>
  <c r="M15" i="26"/>
  <c r="L15" i="26"/>
  <c r="C15" i="26"/>
  <c r="B15" i="26"/>
  <c r="C14" i="26"/>
  <c r="M14" i="26" s="1"/>
  <c r="B14" i="26"/>
  <c r="L14" i="26" s="1"/>
  <c r="M13" i="26"/>
  <c r="L13" i="26"/>
  <c r="C13" i="26"/>
  <c r="B13" i="26"/>
  <c r="C12" i="26"/>
  <c r="M12" i="26" s="1"/>
  <c r="B12" i="26"/>
  <c r="L12" i="26" s="1"/>
  <c r="M11" i="26"/>
  <c r="L11" i="26"/>
  <c r="C11" i="26"/>
  <c r="B11" i="26"/>
  <c r="C10" i="26"/>
  <c r="M10" i="26" s="1"/>
  <c r="B10" i="26"/>
  <c r="L10" i="26" s="1"/>
  <c r="M9" i="26"/>
  <c r="L9" i="26"/>
  <c r="L16" i="26" s="1"/>
  <c r="C9" i="26"/>
  <c r="B9" i="26"/>
  <c r="A3" i="26"/>
  <c r="I18" i="81" l="1"/>
  <c r="O12" i="73"/>
  <c r="C7" i="55"/>
  <c r="C33" i="55" s="1"/>
  <c r="C13" i="55"/>
  <c r="C18" i="54"/>
  <c r="C35" i="51"/>
  <c r="C43" i="51" s="1"/>
  <c r="L18" i="26"/>
  <c r="M16" i="26"/>
  <c r="B16" i="26"/>
  <c r="C16" i="26"/>
  <c r="D9" i="21"/>
  <c r="B9" i="21"/>
  <c r="C8" i="21" s="1"/>
  <c r="E8" i="21"/>
  <c r="E7" i="21"/>
  <c r="E9" i="21" s="1"/>
  <c r="C7" i="21"/>
  <c r="C9" i="21" s="1"/>
  <c r="A3" i="21"/>
  <c r="D9" i="19"/>
  <c r="E8" i="19" s="1"/>
  <c r="B9" i="19"/>
  <c r="C8" i="19" s="1"/>
  <c r="E7" i="19"/>
  <c r="E9" i="19" s="1"/>
  <c r="C7" i="19"/>
  <c r="A3" i="19"/>
  <c r="D45" i="16"/>
  <c r="C45" i="16"/>
  <c r="C47" i="16" s="1"/>
  <c r="B45" i="16"/>
  <c r="A3" i="16"/>
  <c r="D16" i="15"/>
  <c r="C16" i="15"/>
  <c r="B16" i="15"/>
  <c r="A3" i="15"/>
  <c r="K11" i="14"/>
  <c r="J11" i="14"/>
  <c r="I11" i="14"/>
  <c r="H11" i="14"/>
  <c r="G11" i="14"/>
  <c r="F11" i="14"/>
  <c r="E11" i="14"/>
  <c r="D11" i="14"/>
  <c r="C10" i="14"/>
  <c r="M10" i="14" s="1"/>
  <c r="B10" i="14"/>
  <c r="L10" i="14" s="1"/>
  <c r="L9" i="14"/>
  <c r="C9" i="14"/>
  <c r="M9" i="14" s="1"/>
  <c r="B9" i="14"/>
  <c r="M8" i="14"/>
  <c r="L8" i="14"/>
  <c r="C8" i="14"/>
  <c r="B8" i="14"/>
  <c r="M7" i="14"/>
  <c r="C7" i="14"/>
  <c r="C11" i="14" s="1"/>
  <c r="B7" i="14"/>
  <c r="L7" i="14" s="1"/>
  <c r="A3" i="14"/>
  <c r="C11" i="12"/>
  <c r="C10" i="12"/>
  <c r="C9" i="12"/>
  <c r="C8" i="12"/>
  <c r="C7" i="12"/>
  <c r="C6" i="12"/>
  <c r="A3" i="12"/>
  <c r="C17" i="11"/>
  <c r="D17" i="11" s="1"/>
  <c r="B17" i="11"/>
  <c r="D16" i="11"/>
  <c r="D15" i="11"/>
  <c r="D14" i="11"/>
  <c r="D13" i="11"/>
  <c r="D12" i="11"/>
  <c r="D11" i="11"/>
  <c r="D10" i="11"/>
  <c r="D9" i="11"/>
  <c r="D8" i="11"/>
  <c r="D7" i="11"/>
  <c r="D6" i="11"/>
  <c r="A3" i="11"/>
  <c r="C18" i="10"/>
  <c r="B17" i="10"/>
  <c r="D17" i="10" s="1"/>
  <c r="B16" i="10"/>
  <c r="D16" i="10" s="1"/>
  <c r="B15" i="10"/>
  <c r="D15" i="10" s="1"/>
  <c r="B14" i="10"/>
  <c r="D14" i="10" s="1"/>
  <c r="B13" i="10"/>
  <c r="D13" i="10" s="1"/>
  <c r="B12" i="10"/>
  <c r="D12" i="10" s="1"/>
  <c r="B11" i="10"/>
  <c r="D11" i="10" s="1"/>
  <c r="B10" i="10"/>
  <c r="D10" i="10" s="1"/>
  <c r="B9" i="10"/>
  <c r="D9" i="10" s="1"/>
  <c r="B8" i="10"/>
  <c r="B7" i="10"/>
  <c r="D7" i="10" s="1"/>
  <c r="A3" i="10"/>
  <c r="B18" i="10" l="1"/>
  <c r="D18" i="10" s="1"/>
  <c r="C9" i="19"/>
  <c r="L11" i="14"/>
  <c r="M11" i="14"/>
  <c r="B11" i="14"/>
  <c r="D8" i="10"/>
  <c r="B18" i="7" l="1"/>
  <c r="C17" i="7" s="1"/>
  <c r="C14" i="7"/>
  <c r="C10" i="7"/>
  <c r="A3" i="7"/>
  <c r="B7" i="6"/>
  <c r="B14" i="6" s="1"/>
  <c r="A3" i="6"/>
  <c r="B18" i="5"/>
  <c r="C15" i="5" s="1"/>
  <c r="A3" i="5"/>
  <c r="C24" i="4"/>
  <c r="B24" i="4"/>
  <c r="C23" i="4"/>
  <c r="C22" i="4"/>
  <c r="C21" i="4"/>
  <c r="C20" i="4"/>
  <c r="C19" i="4"/>
  <c r="C18" i="4"/>
  <c r="C17" i="4"/>
  <c r="C16" i="4"/>
  <c r="C15" i="4"/>
  <c r="C14" i="4"/>
  <c r="C13" i="4"/>
  <c r="C12" i="4"/>
  <c r="C11" i="4"/>
  <c r="C10" i="4"/>
  <c r="C9" i="4"/>
  <c r="C8" i="4"/>
  <c r="C7" i="4"/>
  <c r="A3" i="4"/>
  <c r="C9" i="6" l="1"/>
  <c r="C13" i="6"/>
  <c r="C8" i="6"/>
  <c r="C11" i="6"/>
  <c r="C10" i="6"/>
  <c r="C7" i="7"/>
  <c r="C11" i="7"/>
  <c r="C15" i="7"/>
  <c r="C8" i="7"/>
  <c r="C12" i="7"/>
  <c r="C16" i="7"/>
  <c r="C9" i="7"/>
  <c r="C13" i="7"/>
  <c r="C7" i="5"/>
  <c r="C11" i="5"/>
  <c r="C8" i="5"/>
  <c r="C12" i="5"/>
  <c r="C16" i="5"/>
  <c r="C9" i="5"/>
  <c r="C13" i="5"/>
  <c r="C17" i="5"/>
  <c r="C10" i="5"/>
  <c r="C14" i="5"/>
  <c r="B43" i="3"/>
  <c r="B30" i="3"/>
  <c r="B29" i="3"/>
  <c r="B20" i="3"/>
  <c r="B16" i="3"/>
  <c r="B15" i="3"/>
  <c r="B10" i="3"/>
  <c r="B8" i="3"/>
  <c r="B7" i="3" s="1"/>
  <c r="A3" i="3"/>
  <c r="C7" i="6" l="1"/>
  <c r="C14" i="6" s="1"/>
  <c r="B48" i="3"/>
  <c r="C13" i="3" s="1"/>
  <c r="C18" i="7"/>
  <c r="C18" i="5"/>
  <c r="C18" i="3"/>
  <c r="C39" i="3"/>
  <c r="C31" i="3"/>
  <c r="C22" i="3"/>
  <c r="C44" i="3"/>
  <c r="C29" i="3"/>
  <c r="C12" i="3"/>
  <c r="C10" i="3"/>
  <c r="C38" i="3"/>
  <c r="C36" i="3"/>
  <c r="C27" i="3"/>
  <c r="C25" i="3"/>
  <c r="C15" i="3"/>
  <c r="C8" i="3"/>
  <c r="C21" i="3" l="1"/>
  <c r="C32" i="3"/>
  <c r="C40" i="3"/>
  <c r="C14" i="3"/>
  <c r="C46" i="3"/>
  <c r="C26" i="3"/>
  <c r="C35" i="3"/>
  <c r="C11" i="3"/>
  <c r="C47" i="3"/>
  <c r="C24" i="3"/>
  <c r="C33" i="3"/>
  <c r="C30" i="3" s="1"/>
  <c r="C41" i="3"/>
  <c r="C45" i="3"/>
  <c r="C43" i="3" s="1"/>
  <c r="C23" i="3"/>
  <c r="C34" i="3"/>
  <c r="C42" i="3"/>
  <c r="C17" i="3"/>
  <c r="C16" i="3" s="1"/>
  <c r="C9" i="3"/>
  <c r="C7" i="3" s="1"/>
  <c r="C28" i="3"/>
  <c r="C37" i="3"/>
  <c r="C20" i="3" l="1"/>
  <c r="C48" i="3" s="1"/>
  <c r="D22" i="4"/>
  <c r="D12" i="4"/>
  <c r="D11" i="4"/>
  <c r="D18" i="4"/>
  <c r="D10" i="4"/>
  <c r="D8" i="4"/>
  <c r="D10" i="6"/>
  <c r="D8" i="6"/>
  <c r="D23" i="4"/>
  <c r="D21" i="4"/>
  <c r="D19" i="4"/>
  <c r="D17" i="4"/>
  <c r="D15" i="4"/>
  <c r="D13" i="4"/>
  <c r="D9" i="4"/>
  <c r="D7" i="4"/>
  <c r="D11" i="6"/>
  <c r="D9" i="6"/>
  <c r="D20" i="4"/>
  <c r="D16" i="4"/>
  <c r="D14" i="4"/>
  <c r="D45" i="3"/>
  <c r="D41" i="3"/>
  <c r="D37" i="3"/>
  <c r="D33" i="3"/>
  <c r="D29" i="3"/>
  <c r="D26" i="3"/>
  <c r="D22" i="3"/>
  <c r="D17" i="3"/>
  <c r="D14" i="3"/>
  <c r="D10" i="3"/>
  <c r="D44" i="3"/>
  <c r="D40" i="3"/>
  <c r="D36" i="3"/>
  <c r="D32" i="3"/>
  <c r="D25" i="3"/>
  <c r="D21" i="3"/>
  <c r="D13" i="3"/>
  <c r="D47" i="3"/>
  <c r="D39" i="3"/>
  <c r="D35" i="3"/>
  <c r="D31" i="3"/>
  <c r="D28" i="3"/>
  <c r="D24" i="3"/>
  <c r="D15" i="3"/>
  <c r="D12" i="3"/>
  <c r="D9" i="3"/>
  <c r="D46" i="3"/>
  <c r="D42" i="3"/>
  <c r="D38" i="3"/>
  <c r="D34" i="3"/>
  <c r="D27" i="3"/>
  <c r="D23" i="3"/>
  <c r="D18" i="3"/>
  <c r="D11" i="3"/>
  <c r="D8" i="3"/>
  <c r="D20" i="3" l="1"/>
  <c r="D16" i="3"/>
  <c r="D7" i="3"/>
  <c r="D43" i="3"/>
  <c r="D24" i="4"/>
  <c r="D30" i="3"/>
  <c r="D48" i="3" l="1"/>
  <c r="B36" i="55" l="1"/>
  <c r="D31" i="55" l="1"/>
  <c r="D27" i="55"/>
  <c r="D23" i="55"/>
  <c r="D19" i="55"/>
  <c r="D14" i="55"/>
  <c r="D10" i="55"/>
  <c r="D40" i="51"/>
  <c r="D36" i="51"/>
  <c r="D32" i="51"/>
  <c r="D25" i="51"/>
  <c r="D21" i="51"/>
  <c r="D17" i="51"/>
  <c r="D13" i="51"/>
  <c r="D8" i="51"/>
  <c r="D30" i="55"/>
  <c r="D26" i="55"/>
  <c r="D22" i="55"/>
  <c r="D18" i="55"/>
  <c r="D9" i="55"/>
  <c r="D39" i="51"/>
  <c r="D31" i="51"/>
  <c r="D28" i="51"/>
  <c r="D24" i="51"/>
  <c r="D20" i="51"/>
  <c r="D16" i="51"/>
  <c r="D12" i="51"/>
  <c r="D29" i="55"/>
  <c r="D25" i="55"/>
  <c r="D21" i="55"/>
  <c r="D17" i="55"/>
  <c r="D12" i="55"/>
  <c r="D9" i="53"/>
  <c r="D38" i="51"/>
  <c r="D34" i="51"/>
  <c r="D30" i="51"/>
  <c r="D27" i="51"/>
  <c r="D23" i="51"/>
  <c r="D19" i="51"/>
  <c r="D15" i="51"/>
  <c r="D11" i="51"/>
  <c r="D32" i="55"/>
  <c r="D28" i="55"/>
  <c r="D24" i="55"/>
  <c r="D20" i="55"/>
  <c r="D16" i="55"/>
  <c r="D11" i="55"/>
  <c r="D8" i="53"/>
  <c r="D41" i="51"/>
  <c r="D37" i="51"/>
  <c r="D33" i="51"/>
  <c r="D29" i="51"/>
  <c r="D18" i="51"/>
  <c r="D14" i="51"/>
  <c r="D10" i="51"/>
  <c r="D10" i="53" l="1"/>
  <c r="D14" i="53" s="1"/>
  <c r="D35" i="51"/>
  <c r="D43" i="51" s="1"/>
  <c r="D7" i="55"/>
  <c r="D33" i="55" l="1"/>
  <c r="D14" i="6"/>
  <c r="D13" i="6"/>
</calcChain>
</file>

<file path=xl/comments1.xml><?xml version="1.0" encoding="utf-8"?>
<comments xmlns="http://schemas.openxmlformats.org/spreadsheetml/2006/main">
  <authors>
    <author>f149403</author>
  </authors>
  <commentList>
    <comment ref="A2" authorId="0">
      <text>
        <r>
          <rPr>
            <b/>
            <sz val="9"/>
            <color indexed="81"/>
            <rFont val="Tahoma"/>
            <family val="2"/>
          </rPr>
          <t>f149403:</t>
        </r>
        <r>
          <rPr>
            <sz val="9"/>
            <color indexed="81"/>
            <rFont val="Tahoma"/>
            <family val="2"/>
          </rPr>
          <t xml:space="preserve">
E o Setor Rural</t>
        </r>
      </text>
    </comment>
  </commentList>
</comments>
</file>

<file path=xl/sharedStrings.xml><?xml version="1.0" encoding="utf-8"?>
<sst xmlns="http://schemas.openxmlformats.org/spreadsheetml/2006/main" count="7429" uniqueCount="1272">
  <si>
    <t>FNE - Desempenho Operacional e Propostas em Carteira Por Setor</t>
  </si>
  <si>
    <t>Valores em R$ mil</t>
  </si>
  <si>
    <t>Setores e Programas</t>
  </si>
  <si>
    <t>Contratações (1)</t>
  </si>
  <si>
    <t>Valor das Propostas em Carteira (2)</t>
  </si>
  <si>
    <t>Nº de Operações</t>
  </si>
  <si>
    <t>Quant. Benef.</t>
  </si>
  <si>
    <t>Valor</t>
  </si>
  <si>
    <t>%</t>
  </si>
  <si>
    <t>RURAL</t>
  </si>
  <si>
    <t>FNE Rural - Programa de Apoio ao Desenvolvimento Rural do Nordeste</t>
  </si>
  <si>
    <t>Programa Nacional de Fortalecimento da Agricultura Familiar (PRONAF - Grupo A)</t>
  </si>
  <si>
    <t>Programa Nacional de Fortalecimento da  Agricultura Familiar (PRONAF – Grupo B)</t>
  </si>
  <si>
    <t>Programa Nacional de Fortalecimento da Agricultura Familiar (PRONAF - Demais Grupos)</t>
  </si>
  <si>
    <t xml:space="preserve">FNE Aquipesca - Programa de Apoio ao Desenvolvimento da Aquicultura e Pesca </t>
  </si>
  <si>
    <t>FNE Verde - Programa de Financiamento à Sustentabilidade Ambiental</t>
  </si>
  <si>
    <t>FNE Irrigação - Programa de Financiamento à Agricultura Irrigada</t>
  </si>
  <si>
    <t>AGROINDUSTRIAL</t>
  </si>
  <si>
    <t>FNE Agrin - Programa de Apoio ao Desenvolvimento da Agroindústria do Nordeste</t>
  </si>
  <si>
    <t>FNE MPE - Programa de Financiamento das Micro e Pequenas Empresas</t>
  </si>
  <si>
    <t>INDUSTRIAL</t>
  </si>
  <si>
    <t>FNE Industrial - Programa de Apoio ao Setor Industrial do Nordeste</t>
  </si>
  <si>
    <t>FNE Inovação - Programa de Financiamento à Inovação</t>
  </si>
  <si>
    <t>TURISMO</t>
  </si>
  <si>
    <t>FNE Proatur - Programa de Apoio ao Turismo Regional</t>
  </si>
  <si>
    <t>INFRA-ESTRUTURA</t>
  </si>
  <si>
    <t>FNE Proinfra - Programa de Financiamento à Infraestrutura Complementar da Região Nordeste</t>
  </si>
  <si>
    <t>COMÉRCIO E SERVIÇOS</t>
  </si>
  <si>
    <t>FNE Comércio e Serviços - Programa de Financiamento para os Setores Comercial e de Serviços</t>
  </si>
  <si>
    <t>Total</t>
  </si>
  <si>
    <t>Fonte: BNB – Ambiente de Controle de Operações de Crédito e BNB - Ambiente da Administração das Centrais de Crédito.</t>
  </si>
  <si>
    <r>
      <t>Notas: (1)</t>
    </r>
    <r>
      <rPr>
        <sz val="10"/>
        <color indexed="8"/>
        <rFont val="Arial"/>
        <family val="2"/>
      </rPr>
      <t xml:space="preserve"> Por "Contratações" entende-se a realização de operações, considerando parcelas desembolsadas e a desembolsar,  inclusive as operações no âmbito do PROCIR, . </t>
    </r>
    <r>
      <rPr>
        <b/>
        <sz val="10"/>
        <color indexed="8"/>
        <rFont val="Arial"/>
        <family val="2"/>
      </rPr>
      <t>(2)</t>
    </r>
    <r>
      <rPr>
        <sz val="10"/>
        <color indexed="8"/>
        <rFont val="Arial"/>
        <family val="2"/>
      </rPr>
      <t xml:space="preserve"> Valor do estoque das propostas em carteira ao final do período.</t>
    </r>
  </si>
  <si>
    <t>Tabela 8</t>
  </si>
  <si>
    <r>
      <t xml:space="preserve">FNE - Contratações </t>
    </r>
    <r>
      <rPr>
        <vertAlign val="superscript"/>
        <sz val="12"/>
        <color indexed="16"/>
        <rFont val="Arial"/>
        <family val="2"/>
      </rPr>
      <t>(1)</t>
    </r>
    <r>
      <rPr>
        <sz val="12"/>
        <color indexed="16"/>
        <rFont val="Arial"/>
        <family val="2"/>
      </rPr>
      <t xml:space="preserve"> no Setor Rural</t>
    </r>
  </si>
  <si>
    <t>Atividades</t>
  </si>
  <si>
    <t>% Setor</t>
  </si>
  <si>
    <t>% FNE</t>
  </si>
  <si>
    <t>PECUÁRIA</t>
  </si>
  <si>
    <t>Bovinocultura</t>
  </si>
  <si>
    <t>Avicultura</t>
  </si>
  <si>
    <t>Ovinocaprinocultura</t>
  </si>
  <si>
    <t>Suinocultura</t>
  </si>
  <si>
    <t>Apicultura</t>
  </si>
  <si>
    <t>Equinocultura</t>
  </si>
  <si>
    <t>Bubalinocultura (Búfalo)</t>
  </si>
  <si>
    <t>AQUICULTURA E PESCA</t>
  </si>
  <si>
    <t>Carcinicultura</t>
  </si>
  <si>
    <t>Piscicultura</t>
  </si>
  <si>
    <t>Outros</t>
  </si>
  <si>
    <t>AGRICULTURA DE SEQUEIRO</t>
  </si>
  <si>
    <t>Grãos</t>
  </si>
  <si>
    <t>Fibras e Têxteis</t>
  </si>
  <si>
    <t>Fruticultura</t>
  </si>
  <si>
    <t>Gramíneas</t>
  </si>
  <si>
    <t>Raízes e Tubérculos</t>
  </si>
  <si>
    <t>Bebidas e Fumos</t>
  </si>
  <si>
    <t>Olericultura</t>
  </si>
  <si>
    <t>Oleaginosas</t>
  </si>
  <si>
    <t>AGRICULTURA IRRIGADA</t>
  </si>
  <si>
    <t>Bebidas e Fumo</t>
  </si>
  <si>
    <t>Flores</t>
  </si>
  <si>
    <t>Mudas e Sementes</t>
  </si>
  <si>
    <t>Especiarias</t>
  </si>
  <si>
    <t>OUTRAS ATIVIDADEDS RURAIS</t>
  </si>
  <si>
    <t>Florestamento e Reflorestamento</t>
  </si>
  <si>
    <t>Extração Vegetal</t>
  </si>
  <si>
    <t>Silvicultura</t>
  </si>
  <si>
    <t>Fonte: BNB - Ambiente de Controle de Operações de Crédito.</t>
  </si>
  <si>
    <t>Tabela 11</t>
  </si>
  <si>
    <r>
      <t xml:space="preserve">FNE - Contratações </t>
    </r>
    <r>
      <rPr>
        <vertAlign val="superscript"/>
        <sz val="12"/>
        <color indexed="16"/>
        <rFont val="Arial"/>
        <family val="2"/>
      </rPr>
      <t>(1)</t>
    </r>
    <r>
      <rPr>
        <sz val="12"/>
        <color indexed="16"/>
        <rFont val="Arial"/>
        <family val="2"/>
      </rPr>
      <t xml:space="preserve"> no Setor Agroindustrial</t>
    </r>
  </si>
  <si>
    <t xml:space="preserve">Abate e Prepar.Prod.Carne, Aves e Pescado    </t>
  </si>
  <si>
    <t>Bubalinocultura(Bufalo)</t>
  </si>
  <si>
    <t xml:space="preserve">Fruticultura                                 </t>
  </si>
  <si>
    <t xml:space="preserve">Ind. de Transformacao                        </t>
  </si>
  <si>
    <t xml:space="preserve">Ind.Prod.Alimenticios                        </t>
  </si>
  <si>
    <t xml:space="preserve">Laticinios                                   </t>
  </si>
  <si>
    <t xml:space="preserve">Moagem e Benef.                              </t>
  </si>
  <si>
    <t xml:space="preserve">Olericultura                                 </t>
  </si>
  <si>
    <t xml:space="preserve">Proces.Benef.Cana de acucar                  </t>
  </si>
  <si>
    <t xml:space="preserve">Proces.Benef.Castanha de Caju                </t>
  </si>
  <si>
    <t xml:space="preserve">Proces.Benef.Frutas e Hortalicas             </t>
  </si>
  <si>
    <t xml:space="preserve">Proces.Benef.Mel de Abelha                   </t>
  </si>
  <si>
    <t>Proces.Benef.Oleos e Gorduras Vegetais e Anim</t>
  </si>
  <si>
    <t>Produção de Ovos</t>
  </si>
  <si>
    <t xml:space="preserve">Raizes e Tuberculos                          </t>
  </si>
  <si>
    <t>Tabela 12</t>
  </si>
  <si>
    <r>
      <t xml:space="preserve">FNE- Setor Agroindustrial - Contratações </t>
    </r>
    <r>
      <rPr>
        <vertAlign val="superscript"/>
        <sz val="12"/>
        <color indexed="16"/>
        <rFont val="Arial"/>
        <family val="2"/>
      </rPr>
      <t>(1)</t>
    </r>
    <r>
      <rPr>
        <sz val="12"/>
        <color indexed="16"/>
        <rFont val="Arial"/>
        <family val="2"/>
      </rPr>
      <t xml:space="preserve"> Estaduais</t>
    </r>
  </si>
  <si>
    <t>Estado</t>
  </si>
  <si>
    <t>Alagoas</t>
  </si>
  <si>
    <r>
      <t>Bahia</t>
    </r>
    <r>
      <rPr>
        <sz val="10.5"/>
        <rFont val="Arial"/>
        <family val="2"/>
      </rPr>
      <t xml:space="preserve">                </t>
    </r>
  </si>
  <si>
    <t>Ceará</t>
  </si>
  <si>
    <t>Espírito Santo</t>
  </si>
  <si>
    <t>Maranhão</t>
  </si>
  <si>
    <t>Minas Gerais</t>
  </si>
  <si>
    <t>Paraíba</t>
  </si>
  <si>
    <t>Pernambuco</t>
  </si>
  <si>
    <t>Piauí</t>
  </si>
  <si>
    <t>Rio Grande do Norte</t>
  </si>
  <si>
    <t>Sergipe</t>
  </si>
  <si>
    <t>Fontes:  BNB - Ambiente de Controle de Operações de Crédito.</t>
  </si>
  <si>
    <r>
      <t>Nota: (1)</t>
    </r>
    <r>
      <rPr>
        <sz val="9"/>
        <rFont val="Arial"/>
        <family val="2"/>
      </rPr>
      <t xml:space="preserve"> Por "Contratações" entenda-se a realização de operações, incluindo parcelas desembolsadas e a desembolsar.</t>
    </r>
  </si>
  <si>
    <r>
      <t xml:space="preserve">FNE - Contratações </t>
    </r>
    <r>
      <rPr>
        <vertAlign val="superscript"/>
        <sz val="12"/>
        <color indexed="16"/>
        <rFont val="Arial"/>
        <family val="2"/>
      </rPr>
      <t>(1)</t>
    </r>
    <r>
      <rPr>
        <sz val="12"/>
        <color indexed="16"/>
        <rFont val="Arial"/>
        <family val="2"/>
      </rPr>
      <t xml:space="preserve"> no Setor Turismo</t>
    </r>
  </si>
  <si>
    <t>Hospedagem</t>
  </si>
  <si>
    <t>Transportes</t>
  </si>
  <si>
    <t>Alimentação</t>
  </si>
  <si>
    <t>Entreterimento</t>
  </si>
  <si>
    <r>
      <t xml:space="preserve">FNE - Setor Turismo - Contratações </t>
    </r>
    <r>
      <rPr>
        <vertAlign val="superscript"/>
        <sz val="12"/>
        <color indexed="16"/>
        <rFont val="Arial"/>
        <family val="2"/>
      </rPr>
      <t>(1)</t>
    </r>
    <r>
      <rPr>
        <sz val="12"/>
        <color indexed="16"/>
        <rFont val="Arial"/>
        <family val="2"/>
      </rPr>
      <t xml:space="preserve"> Estaduais</t>
    </r>
  </si>
  <si>
    <t>Bahia</t>
  </si>
  <si>
    <t xml:space="preserve">Rio Grande do Norte </t>
  </si>
  <si>
    <r>
      <t>Nota: (1)</t>
    </r>
    <r>
      <rPr>
        <sz val="8"/>
        <color indexed="8"/>
        <rFont val="Arial"/>
        <family val="2"/>
      </rPr>
      <t xml:space="preserve"> Por "Contratações" entende-se a realização de operações, incluindo parcelas desembolsadas e a desembolsar.</t>
    </r>
  </si>
  <si>
    <t>Tabela 16</t>
  </si>
  <si>
    <t>Região</t>
  </si>
  <si>
    <t>Outras Regiões</t>
  </si>
  <si>
    <t xml:space="preserve">BNB – Ambiente de Controle de Operações de Crédito </t>
  </si>
  <si>
    <t>Tabela 26</t>
  </si>
  <si>
    <r>
      <t>FNE - Contratações</t>
    </r>
    <r>
      <rPr>
        <vertAlign val="superscript"/>
        <sz val="12"/>
        <color indexed="16"/>
        <rFont val="Arial"/>
        <family val="2"/>
      </rPr>
      <t>(1)</t>
    </r>
    <r>
      <rPr>
        <sz val="12"/>
        <color indexed="16"/>
        <rFont val="Arial"/>
        <family val="2"/>
      </rPr>
      <t xml:space="preserve"> em Relação ao Número de Beneficiários</t>
    </r>
  </si>
  <si>
    <t>Contratações (R$ mil)</t>
  </si>
  <si>
    <t>Nº. de Beneficiários</t>
  </si>
  <si>
    <t>Distribuição do Crédito</t>
  </si>
  <si>
    <t>R$/Benef.</t>
  </si>
  <si>
    <t>Ordem</t>
  </si>
  <si>
    <t>-</t>
  </si>
  <si>
    <r>
      <t>Nota: (1)</t>
    </r>
    <r>
      <rPr>
        <sz val="8"/>
        <color indexed="8"/>
        <rFont val="Arial"/>
        <family val="2"/>
      </rPr>
      <t xml:space="preserve"> </t>
    </r>
    <r>
      <rPr>
        <sz val="8"/>
        <rFont val="Arial"/>
        <family val="2"/>
      </rPr>
      <t>Por "Contratações" entende</t>
    </r>
    <r>
      <rPr>
        <sz val="8"/>
        <color indexed="8"/>
        <rFont val="Arial"/>
        <family val="2"/>
      </rPr>
      <t>-se a realização de operações, incluindo parcelas desembolsadas e a desembolsar.</t>
    </r>
  </si>
  <si>
    <t>Tabela 38</t>
  </si>
  <si>
    <t>FNE - Distribuição Territorial dos Recursos</t>
  </si>
  <si>
    <r>
      <t xml:space="preserve"> Nº.</t>
    </r>
    <r>
      <rPr>
        <b/>
        <sz val="11"/>
        <color indexed="9"/>
        <rFont val="Arial"/>
        <family val="2"/>
      </rPr>
      <t xml:space="preserve"> de Municípios da Área de Atuação do FNE                            (A)</t>
    </r>
  </si>
  <si>
    <r>
      <t>Nº.</t>
    </r>
    <r>
      <rPr>
        <b/>
        <sz val="11"/>
        <color indexed="9"/>
        <rFont val="Arial"/>
        <family val="2"/>
      </rPr>
      <t xml:space="preserve"> de Municípios Atendidos pelo FNE (B)</t>
    </r>
  </si>
  <si>
    <t>B/A (%)</t>
  </si>
  <si>
    <t xml:space="preserve">Espírito Santo </t>
  </si>
  <si>
    <t xml:space="preserve">Minas Gerais </t>
  </si>
  <si>
    <r>
      <t xml:space="preserve">Pernambuco </t>
    </r>
    <r>
      <rPr>
        <vertAlign val="superscript"/>
        <sz val="11"/>
        <color indexed="8"/>
        <rFont val="Arial"/>
        <family val="2"/>
      </rPr>
      <t>(1)</t>
    </r>
  </si>
  <si>
    <t>Fontes: BNB – Ambiente de Controle de Operações de Crédito e BNB - ETENE.</t>
  </si>
  <si>
    <r>
      <t>Nota: (1)</t>
    </r>
    <r>
      <rPr>
        <sz val="8"/>
        <color indexed="8"/>
        <rFont val="Arial"/>
        <family val="2"/>
      </rPr>
      <t xml:space="preserve"> O Território Estadual de Fernando de Noronha está contido nessa estatística como município.</t>
    </r>
  </si>
  <si>
    <t>Tabela 39</t>
  </si>
  <si>
    <t>FNE - Distribuição Territorial e Setorial dos Recursos</t>
  </si>
  <si>
    <t>Setor</t>
  </si>
  <si>
    <r>
      <t>Nº.</t>
    </r>
    <r>
      <rPr>
        <b/>
        <sz val="12"/>
        <color indexed="9"/>
        <rFont val="Arial"/>
        <family val="2"/>
      </rPr>
      <t xml:space="preserve"> de Municípios Atendidos pelo FNE no Período</t>
    </r>
  </si>
  <si>
    <r>
      <t>% em Relação ao Nº.</t>
    </r>
    <r>
      <rPr>
        <b/>
        <sz val="12"/>
        <color indexed="9"/>
        <rFont val="Arial"/>
        <family val="2"/>
      </rPr>
      <t xml:space="preserve"> de Municípios da Área de Atuação do FNE</t>
    </r>
  </si>
  <si>
    <t>Rural</t>
  </si>
  <si>
    <t>Agroindustrial</t>
  </si>
  <si>
    <t>Industrial</t>
  </si>
  <si>
    <t>Infraestrutura</t>
  </si>
  <si>
    <t>Comercial</t>
  </si>
  <si>
    <t>Turismo</t>
  </si>
  <si>
    <r>
      <t xml:space="preserve">Fonte:  BNB - </t>
    </r>
    <r>
      <rPr>
        <sz val="9"/>
        <color indexed="8"/>
        <rFont val="Arial"/>
        <family val="2"/>
      </rPr>
      <t>Ambiente de Controle de Operações de Crédito.</t>
    </r>
  </si>
  <si>
    <t>Tabela 40</t>
  </si>
  <si>
    <t xml:space="preserve">FNE - Contratações por Tipo de Município e Porte </t>
  </si>
  <si>
    <t>Valores em R$ Mil</t>
  </si>
  <si>
    <t>Tipologia</t>
  </si>
  <si>
    <t>Mini / Micro</t>
  </si>
  <si>
    <t>Pequeno</t>
  </si>
  <si>
    <t>Pequeno / Médio</t>
  </si>
  <si>
    <t>Médio</t>
  </si>
  <si>
    <t>Grande</t>
  </si>
  <si>
    <t xml:space="preserve">Quant. </t>
  </si>
  <si>
    <t xml:space="preserve">Valor </t>
  </si>
  <si>
    <t xml:space="preserve">Alta Renda </t>
  </si>
  <si>
    <t>Baixa Renda</t>
  </si>
  <si>
    <t xml:space="preserve">Dinâmico de Média Renda </t>
  </si>
  <si>
    <r>
      <t>Estagnado de Média Renda</t>
    </r>
    <r>
      <rPr>
        <vertAlign val="superscript"/>
        <sz val="10"/>
        <rFont val="Arial"/>
        <family val="2"/>
      </rPr>
      <t xml:space="preserve"> </t>
    </r>
  </si>
  <si>
    <t>FNE - Contratações por Tipo de Município e Região</t>
  </si>
  <si>
    <t>Semi-árido</t>
  </si>
  <si>
    <t>AR</t>
  </si>
  <si>
    <t>BR</t>
  </si>
  <si>
    <t>DMR</t>
  </si>
  <si>
    <t>EMR</t>
  </si>
  <si>
    <t>FNE - Contratações por Tipo de Município e Estado</t>
  </si>
  <si>
    <t>Estados</t>
  </si>
  <si>
    <t>AL</t>
  </si>
  <si>
    <t>ALTA RENDA</t>
  </si>
  <si>
    <t>BAIXA RENDA</t>
  </si>
  <si>
    <t>DINÂMICA</t>
  </si>
  <si>
    <t>BA</t>
  </si>
  <si>
    <t>ESTAGNADA</t>
  </si>
  <si>
    <t>CE</t>
  </si>
  <si>
    <t>ES</t>
  </si>
  <si>
    <t>MA</t>
  </si>
  <si>
    <t>MG</t>
  </si>
  <si>
    <t>PB</t>
  </si>
  <si>
    <t>PE</t>
  </si>
  <si>
    <t>PI</t>
  </si>
  <si>
    <t>RN</t>
  </si>
  <si>
    <t>SE</t>
  </si>
  <si>
    <t>Tabela 61</t>
  </si>
  <si>
    <t>Grupo</t>
  </si>
  <si>
    <t>Fonte: BNB – Ambiente de Controle de Operações de Crédito.</t>
  </si>
  <si>
    <r>
      <t>Nota: (1)</t>
    </r>
    <r>
      <rPr>
        <sz val="8"/>
        <rFont val="Arial"/>
        <family val="2"/>
      </rPr>
      <t xml:space="preserve"> Por “Contratações” entende-se a realização de operações, incluindo parcelas desembolsadas e a desembolsar.</t>
    </r>
  </si>
  <si>
    <t>Tabela 65</t>
  </si>
  <si>
    <t>Setores</t>
  </si>
  <si>
    <t>Nº. de Operações</t>
  </si>
  <si>
    <t xml:space="preserve">Industrial </t>
  </si>
  <si>
    <t>Comércio e Serviços</t>
  </si>
  <si>
    <t>Tabela 66</t>
  </si>
  <si>
    <r>
      <t>FNE - Projetos Contratados</t>
    </r>
    <r>
      <rPr>
        <vertAlign val="superscript"/>
        <sz val="12"/>
        <color indexed="16"/>
        <rFont val="Arial"/>
        <family val="2"/>
      </rPr>
      <t>(¹)</t>
    </r>
    <r>
      <rPr>
        <sz val="12"/>
        <color indexed="16"/>
        <rFont val="Arial"/>
        <family val="2"/>
      </rPr>
      <t xml:space="preserve"> no Setor de Exportação</t>
    </r>
  </si>
  <si>
    <r>
      <t>FNE - Projetos Contratados</t>
    </r>
    <r>
      <rPr>
        <vertAlign val="superscript"/>
        <sz val="12"/>
        <color indexed="16"/>
        <rFont val="Arial"/>
        <family val="2"/>
      </rPr>
      <t>(¹)</t>
    </r>
    <r>
      <rPr>
        <sz val="12"/>
        <color indexed="16"/>
        <rFont val="Arial"/>
        <family val="2"/>
      </rPr>
      <t xml:space="preserve"> no Setor de Indústria Extrativa de Minerais</t>
    </r>
  </si>
  <si>
    <t>Atividade</t>
  </si>
  <si>
    <t>Extração de Minerais Metálicos</t>
  </si>
  <si>
    <t>Extração de Minerais Não Metálicos</t>
  </si>
  <si>
    <t>Tabela 74</t>
  </si>
  <si>
    <t xml:space="preserve">Imobiliarias e Alugueis                      </t>
  </si>
  <si>
    <t xml:space="preserve">Serv. Aux. Adm.Empresas                      </t>
  </si>
  <si>
    <t>Tabela 75</t>
  </si>
  <si>
    <t>Tabela 76</t>
  </si>
  <si>
    <t>Semiárido</t>
  </si>
  <si>
    <t>Mesorregiões</t>
  </si>
  <si>
    <t>Quantidade de Operações</t>
  </si>
  <si>
    <t>Valor Contratado</t>
  </si>
  <si>
    <t>AGUAS EMENDADAS</t>
  </si>
  <si>
    <t>BICO DO PAPAGAIO</t>
  </si>
  <si>
    <t>CHAPADA DAS MANGABEIRAS</t>
  </si>
  <si>
    <t>CHAPADA DO ARARIPE</t>
  </si>
  <si>
    <t>SERIDO</t>
  </si>
  <si>
    <t>VALE DO JEQUITINHONHA E DO MUCURI</t>
  </si>
  <si>
    <t>XINGO</t>
  </si>
  <si>
    <t>Fonte:  BNB - Ambiente de Controle de Operações de Crédito.</t>
  </si>
  <si>
    <t>FNE- Contratações em Mesorregiões por Porte</t>
  </si>
  <si>
    <t>Porte</t>
  </si>
  <si>
    <t>FNE- Contratações em Mesorregiões por Estado</t>
  </si>
  <si>
    <t>Mesorregião</t>
  </si>
  <si>
    <t>FNE- Contratações em Mesorregiões - Região Semi-árida e Outras Regiões</t>
  </si>
  <si>
    <t>Semi-Árido</t>
  </si>
  <si>
    <t>DISCRIMINAÇÃO</t>
  </si>
  <si>
    <t>TOTAL</t>
  </si>
  <si>
    <t>Bico do Papagaio</t>
  </si>
  <si>
    <t>Chapada das Mangabeiras</t>
  </si>
  <si>
    <t>Seridó</t>
  </si>
  <si>
    <t>Vale do Jequitinhonha / Mucuri</t>
  </si>
  <si>
    <t>Xingó</t>
  </si>
  <si>
    <t xml:space="preserve">Edificios e Obras de Eng.Civil               </t>
  </si>
  <si>
    <t xml:space="preserve">Ind. Eletro-eletronica                       </t>
  </si>
  <si>
    <t>Ind.Adesivos, Selantes, Explosivos, Catalisad</t>
  </si>
  <si>
    <t xml:space="preserve">Ind.Calcados                                 </t>
  </si>
  <si>
    <t xml:space="preserve">Ind.Celulose, Papel e Prod. Papel            </t>
  </si>
  <si>
    <t xml:space="preserve">Ind.Madeira, Exceto Mobiliario               </t>
  </si>
  <si>
    <t xml:space="preserve">Ind.Mobiliario                               </t>
  </si>
  <si>
    <t>Ind.Prod.Farmaceuticos e Defensivos Agricolas</t>
  </si>
  <si>
    <t xml:space="preserve">Ind.Prod.Limpez, Perfurmaria, Cosmeticos     </t>
  </si>
  <si>
    <t xml:space="preserve">Ind.Prod.Plastico                            </t>
  </si>
  <si>
    <t xml:space="preserve">Ind.Prod.Quimicos                            </t>
  </si>
  <si>
    <t xml:space="preserve">Ind.Tintas,Vernizes e Esmaltes               </t>
  </si>
  <si>
    <t xml:space="preserve">Ind.Transportes                              </t>
  </si>
  <si>
    <t>UF</t>
  </si>
  <si>
    <t>Agricultura</t>
  </si>
  <si>
    <t>Agroindustria</t>
  </si>
  <si>
    <t>Comercio e Serviços</t>
  </si>
  <si>
    <t>Industria</t>
  </si>
  <si>
    <t>Pecuaria</t>
  </si>
  <si>
    <t>Total geral</t>
  </si>
  <si>
    <t>Programa</t>
  </si>
  <si>
    <t>Quant.</t>
  </si>
  <si>
    <t xml:space="preserve">FNE-COMERCIO                  </t>
  </si>
  <si>
    <t>PROATUR</t>
  </si>
  <si>
    <t xml:space="preserve">INDUSTRIAL                    </t>
  </si>
  <si>
    <t>AGRIN</t>
  </si>
  <si>
    <t>FNE-SERVICOS</t>
  </si>
  <si>
    <t xml:space="preserve">RURAL                         </t>
  </si>
  <si>
    <t xml:space="preserve">INOVACAO-INDUSTRIAL           </t>
  </si>
  <si>
    <t xml:space="preserve">IRRIGACAO                     </t>
  </si>
  <si>
    <t xml:space="preserve">PROINFRA                      </t>
  </si>
  <si>
    <t xml:space="preserve">TIMON                                        </t>
  </si>
  <si>
    <t xml:space="preserve">TERESINA                                     </t>
  </si>
  <si>
    <t>Município</t>
  </si>
  <si>
    <t>Agroindústria</t>
  </si>
  <si>
    <t>Infra-estrutura</t>
  </si>
  <si>
    <t>Nr. Operações</t>
  </si>
  <si>
    <t xml:space="preserve">Total </t>
  </si>
  <si>
    <t xml:space="preserve">ALTOS                                        </t>
  </si>
  <si>
    <t xml:space="preserve">BENEDITINOS                                  </t>
  </si>
  <si>
    <t xml:space="preserve">COIVARAS                                     </t>
  </si>
  <si>
    <t xml:space="preserve">CURRALINHOS                                  </t>
  </si>
  <si>
    <t xml:space="preserve">DEMERVAL LOBAO                               </t>
  </si>
  <si>
    <t xml:space="preserve">JOSE DE FREITAS                              </t>
  </si>
  <si>
    <t xml:space="preserve">LAGOA ALEGRE                                 </t>
  </si>
  <si>
    <t xml:space="preserve">LAGOA DO PIAUI                               </t>
  </si>
  <si>
    <t xml:space="preserve">MIGUEL LEAO                                  </t>
  </si>
  <si>
    <t xml:space="preserve">MONSENHOR GIL                                </t>
  </si>
  <si>
    <t xml:space="preserve">NAZARIA                                      </t>
  </si>
  <si>
    <t xml:space="preserve">PAU D´ARCO DO PIAUÍ                          </t>
  </si>
  <si>
    <t xml:space="preserve">UNIAO                                        </t>
  </si>
  <si>
    <t>Faixa de Valor</t>
  </si>
  <si>
    <t>Infra-Estrutura</t>
  </si>
  <si>
    <t>Comércio/Serviços</t>
  </si>
  <si>
    <t>Acima de R$ 1.000,00 até R$ 10.000,00</t>
  </si>
  <si>
    <t>Acima de R$ 10.000,00 até R$ 35.000,00</t>
  </si>
  <si>
    <t>Acima de R$ 35.000,00 até R$ 100.000,00</t>
  </si>
  <si>
    <t>Acima de R$ 1.000.000,00 até R$ 10.000.000,00</t>
  </si>
  <si>
    <t xml:space="preserve">FNE VERDE-COMERCIAL           </t>
  </si>
  <si>
    <t>PEQUENO</t>
  </si>
  <si>
    <t xml:space="preserve">FNE VERDE-RURAL               </t>
  </si>
  <si>
    <t>MINI</t>
  </si>
  <si>
    <t xml:space="preserve">FNE-VERDE/RECUPER.AMBIENTAL   </t>
  </si>
  <si>
    <t xml:space="preserve">FNE VERDE-INDUSTRIAL          </t>
  </si>
  <si>
    <t xml:space="preserve">FNE VERDE-IRRIGACAO           </t>
  </si>
  <si>
    <t xml:space="preserve">PEQUENO-MEDIO                 </t>
  </si>
  <si>
    <t>GRANDE</t>
  </si>
  <si>
    <t xml:space="preserve">FNE VERDE/SERVICOS            </t>
  </si>
  <si>
    <t>MEDIO</t>
  </si>
  <si>
    <t>MICRO</t>
  </si>
  <si>
    <t>Tabela 7</t>
  </si>
  <si>
    <r>
      <t xml:space="preserve">FNE - Participação Setorial nas Contratações </t>
    </r>
    <r>
      <rPr>
        <vertAlign val="superscript"/>
        <sz val="12"/>
        <color indexed="16"/>
        <rFont val="Arial"/>
        <family val="2"/>
      </rPr>
      <t>(1)</t>
    </r>
    <r>
      <rPr>
        <sz val="12"/>
        <color indexed="16"/>
        <rFont val="Arial"/>
        <family val="2"/>
      </rPr>
      <t xml:space="preserve"> </t>
    </r>
  </si>
  <si>
    <t>Em Porcentagem</t>
  </si>
  <si>
    <t>Exercício</t>
  </si>
  <si>
    <t>Industrial/Turismo</t>
  </si>
  <si>
    <t>2007</t>
  </si>
  <si>
    <t>2008</t>
  </si>
  <si>
    <t>2009</t>
  </si>
  <si>
    <t>2010</t>
  </si>
  <si>
    <t>2011</t>
  </si>
  <si>
    <t>2012</t>
  </si>
  <si>
    <t>2013</t>
  </si>
  <si>
    <t>2014</t>
  </si>
  <si>
    <t>2015</t>
  </si>
  <si>
    <t>Fonte: BNB – Ambiente Controle de Operações de Crédito.</t>
  </si>
  <si>
    <r>
      <t>Nota: (1)</t>
    </r>
    <r>
      <rPr>
        <sz val="9"/>
        <rFont val="Arial"/>
        <family val="2"/>
      </rPr>
      <t xml:space="preserve"> Por "Contratações" entende-se a realização de operações, incluindo parcelas desembolsadas e a desembolsar.</t>
    </r>
  </si>
  <si>
    <t>Tabela 9</t>
  </si>
  <si>
    <r>
      <t xml:space="preserve">FNE - Setor Rural - Contratações </t>
    </r>
    <r>
      <rPr>
        <vertAlign val="superscript"/>
        <sz val="12"/>
        <color indexed="16"/>
        <rFont val="Arial"/>
        <family val="2"/>
      </rPr>
      <t>(1)</t>
    </r>
    <r>
      <rPr>
        <sz val="12"/>
        <color indexed="16"/>
        <rFont val="Arial"/>
        <family val="2"/>
      </rPr>
      <t xml:space="preserve"> Estaduais </t>
    </r>
  </si>
  <si>
    <r>
      <t>Nota: (1)</t>
    </r>
    <r>
      <rPr>
        <sz val="8"/>
        <rFont val="Arial"/>
        <family val="2"/>
      </rPr>
      <t xml:space="preserve"> Por "Contratações" entenda-se a realização de operações, incluindo parcelas desembolsadas e a desembolsar.</t>
    </r>
  </si>
  <si>
    <t>Tabela 13</t>
  </si>
  <si>
    <r>
      <t xml:space="preserve">FNE - Contratações </t>
    </r>
    <r>
      <rPr>
        <vertAlign val="superscript"/>
        <sz val="12"/>
        <color indexed="16"/>
        <rFont val="Arial"/>
        <family val="2"/>
      </rPr>
      <t>(1)</t>
    </r>
    <r>
      <rPr>
        <sz val="12"/>
        <color indexed="16"/>
        <rFont val="Arial"/>
        <family val="2"/>
      </rPr>
      <t xml:space="preserve"> no Setor Industrial </t>
    </r>
  </si>
  <si>
    <t>BENS DE CONSUMO NÃO DURÁVEIS</t>
  </si>
  <si>
    <t>Calçados</t>
  </si>
  <si>
    <t>Produtos Alimentícios</t>
  </si>
  <si>
    <t>Têxteis</t>
  </si>
  <si>
    <t>Gráfica</t>
  </si>
  <si>
    <t>Celulose e Papel</t>
  </si>
  <si>
    <t>Bebidas</t>
  </si>
  <si>
    <t>Eletro-eletrônica</t>
  </si>
  <si>
    <t>Vestuários e Acessórios</t>
  </si>
  <si>
    <t>Ind. de Moagem e Beneficiamento</t>
  </si>
  <si>
    <t>Indústria de Gelo</t>
  </si>
  <si>
    <t>BENS DE CONSUMO INTERMEDIÁRIO</t>
  </si>
  <si>
    <t>Produtos Químicos</t>
  </si>
  <si>
    <t>Produtos Plásticos</t>
  </si>
  <si>
    <t>Tintas, Vernizes e Esmaltes</t>
  </si>
  <si>
    <t>Minerais não Metálicos (Incluis Extr. Min. Não Metal.)</t>
  </si>
  <si>
    <t>Metal-mecânica</t>
  </si>
  <si>
    <t>Madeira, exceto Mobiliário</t>
  </si>
  <si>
    <t>Extração de Carvão, Petróleo e Gás</t>
  </si>
  <si>
    <t>Produtos de Borracha</t>
  </si>
  <si>
    <t xml:space="preserve">Resinas e Elastrômeros </t>
  </si>
  <si>
    <t>Indústria de Transformação</t>
  </si>
  <si>
    <t>BENS DE CAPITAL E DE CONSUMO DURÁVEIS</t>
  </si>
  <si>
    <t>Mobiliário</t>
  </si>
  <si>
    <t>Edifícios e Obras de Eng. Civil</t>
  </si>
  <si>
    <t>Ind. Adesivos, Selantes, Explosivos, Catalizadores</t>
  </si>
  <si>
    <t>Ind. Transportes</t>
  </si>
  <si>
    <t>Ind.Combust.Nucleares, Refino Petroleo e alco</t>
  </si>
  <si>
    <t>Reparação e Conservação</t>
  </si>
  <si>
    <t>Tabela 14</t>
  </si>
  <si>
    <r>
      <t xml:space="preserve">FNE - Setor Industrial - Contratações </t>
    </r>
    <r>
      <rPr>
        <vertAlign val="superscript"/>
        <sz val="12"/>
        <color indexed="16"/>
        <rFont val="Arial"/>
        <family val="2"/>
      </rPr>
      <t>(1)</t>
    </r>
    <r>
      <rPr>
        <sz val="12"/>
        <color indexed="16"/>
        <rFont val="Arial"/>
        <family val="2"/>
      </rPr>
      <t xml:space="preserve"> Estaduais</t>
    </r>
  </si>
  <si>
    <t>Tabela 15</t>
  </si>
  <si>
    <r>
      <t>FNE - Contratações</t>
    </r>
    <r>
      <rPr>
        <vertAlign val="superscript"/>
        <sz val="12"/>
        <color indexed="16"/>
        <rFont val="Arial"/>
        <family val="2"/>
      </rPr>
      <t>(1)</t>
    </r>
    <r>
      <rPr>
        <sz val="12"/>
        <color indexed="16"/>
        <rFont val="Arial"/>
        <family val="2"/>
      </rPr>
      <t xml:space="preserve"> por Atividade no Setor de Infraestrutura</t>
    </r>
  </si>
  <si>
    <t>Telecomunicações</t>
  </si>
  <si>
    <t>Ativs. Aux. Transportes</t>
  </si>
  <si>
    <t xml:space="preserve">Prod. e Distrib..Eletricidade, Gas e Agua    </t>
  </si>
  <si>
    <t>Tabela 17</t>
  </si>
  <si>
    <r>
      <t>FNE - Contratações</t>
    </r>
    <r>
      <rPr>
        <vertAlign val="superscript"/>
        <sz val="12"/>
        <color indexed="16"/>
        <rFont val="Arial"/>
        <family val="2"/>
      </rPr>
      <t>(1)</t>
    </r>
    <r>
      <rPr>
        <sz val="12"/>
        <color indexed="16"/>
        <rFont val="Arial"/>
        <family val="2"/>
      </rPr>
      <t xml:space="preserve"> por Estado no Setor de Infra-estrutura</t>
    </r>
  </si>
  <si>
    <t>Tabela 18</t>
  </si>
  <si>
    <r>
      <t>FNE - Contratações</t>
    </r>
    <r>
      <rPr>
        <vertAlign val="superscript"/>
        <sz val="12"/>
        <color indexed="16"/>
        <rFont val="Arial"/>
        <family val="2"/>
      </rPr>
      <t xml:space="preserve"> (1)</t>
    </r>
    <r>
      <rPr>
        <sz val="12"/>
        <color indexed="16"/>
        <rFont val="Arial"/>
        <family val="2"/>
      </rPr>
      <t xml:space="preserve"> por Atividade nos Setores Comercial e de Serviços</t>
    </r>
  </si>
  <si>
    <t>COMÉRCIO</t>
  </si>
  <si>
    <t>Comércio Varejista</t>
  </si>
  <si>
    <t>Comércio Atacadista</t>
  </si>
  <si>
    <t>Intermediários do Comércio</t>
  </si>
  <si>
    <t>SERVIÇOS</t>
  </si>
  <si>
    <t>Assessoria, Consultoria e Treinamento</t>
  </si>
  <si>
    <t xml:space="preserve">Imobiliárias e Aluguéis                      </t>
  </si>
  <si>
    <t>2.5</t>
  </si>
  <si>
    <t>Saúde</t>
  </si>
  <si>
    <t>Serv. Auxiliar à Indústria</t>
  </si>
  <si>
    <t>Educação</t>
  </si>
  <si>
    <t>Transporte Rodoviário</t>
  </si>
  <si>
    <t>Reparação e conservação</t>
  </si>
  <si>
    <t>Serviços Pessoais</t>
  </si>
  <si>
    <t>Entretenimento e Lazer</t>
  </si>
  <si>
    <t>Informática</t>
  </si>
  <si>
    <t>Aluguel Máq. e Equipamento</t>
  </si>
  <si>
    <t>Ativ. Aux. Transportes</t>
  </si>
  <si>
    <t>Serv. Aux. de Construção</t>
  </si>
  <si>
    <t>Serv. Aux. Agropec. Extrativismo e Silvicultura</t>
  </si>
  <si>
    <t>Tabela 36</t>
  </si>
  <si>
    <t>FNE - Beneficiários por Porte e Setor</t>
  </si>
  <si>
    <t>(%)</t>
  </si>
  <si>
    <t>Tabela 41</t>
  </si>
  <si>
    <r>
      <t xml:space="preserve">FNE - Contratações por Tipo de Município </t>
    </r>
    <r>
      <rPr>
        <vertAlign val="superscript"/>
        <sz val="12"/>
        <color indexed="16"/>
        <rFont val="Arial"/>
        <family val="2"/>
      </rPr>
      <t>(1)</t>
    </r>
  </si>
  <si>
    <t>Valor Contratado (Em R$ mil)</t>
  </si>
  <si>
    <r>
      <t xml:space="preserve">Alta Renda </t>
    </r>
    <r>
      <rPr>
        <vertAlign val="superscript"/>
        <sz val="11"/>
        <rFont val="Arial"/>
        <family val="2"/>
      </rPr>
      <t>(5)</t>
    </r>
  </si>
  <si>
    <r>
      <t xml:space="preserve">Baixa Renda </t>
    </r>
    <r>
      <rPr>
        <vertAlign val="superscript"/>
        <sz val="11"/>
        <rFont val="Arial"/>
        <family val="2"/>
      </rPr>
      <t>(2)</t>
    </r>
  </si>
  <si>
    <r>
      <t xml:space="preserve">Dinâmico de Média Renda </t>
    </r>
    <r>
      <rPr>
        <vertAlign val="superscript"/>
        <sz val="11"/>
        <rFont val="Arial"/>
        <family val="2"/>
      </rPr>
      <t>(4)</t>
    </r>
  </si>
  <si>
    <r>
      <t>Estagnado de Média Renda</t>
    </r>
    <r>
      <rPr>
        <vertAlign val="superscript"/>
        <sz val="11"/>
        <rFont val="Arial"/>
        <family val="2"/>
      </rPr>
      <t xml:space="preserve"> (3)</t>
    </r>
  </si>
  <si>
    <r>
      <t>Nota: (1)</t>
    </r>
    <r>
      <rPr>
        <sz val="8"/>
        <rFont val="Arial"/>
        <family val="2"/>
      </rPr>
      <t xml:space="preserve"> Classificação Municipal de Renda dos MunicÍpios. </t>
    </r>
    <r>
      <rPr>
        <b/>
        <sz val="8"/>
        <rFont val="Arial"/>
        <family val="2"/>
      </rPr>
      <t>(2)</t>
    </r>
    <r>
      <rPr>
        <sz val="8"/>
        <rFont val="Arial"/>
        <family val="2"/>
      </rPr>
      <t xml:space="preserve"> Baixa Renda: municípios cujo  rendimento médio por habitante varie entre 16% a 33% do rendimento médio por habitante no Brasil (em 2000); e a variação no PIB foi inferior a 3,87% entre 1990 e 1998. </t>
    </r>
    <r>
      <rPr>
        <b/>
        <sz val="8"/>
        <rFont val="Arial"/>
        <family val="2"/>
      </rPr>
      <t>(3)</t>
    </r>
    <r>
      <rPr>
        <sz val="8"/>
        <rFont val="Arial"/>
        <family val="2"/>
      </rPr>
      <t xml:space="preserve"> Estagnado de Média Renda: municípios cujo rendimento médio por habitante varie entre 33% e 93% do rendimento médio por habitante no Brasil (em 2000); e a variação no PIB foi inferior a 3,87% entre 1990 e 1998.</t>
    </r>
    <r>
      <rPr>
        <b/>
        <sz val="8"/>
        <rFont val="Arial"/>
        <family val="2"/>
      </rPr>
      <t xml:space="preserve"> (4)</t>
    </r>
    <r>
      <rPr>
        <sz val="8"/>
        <rFont val="Arial"/>
        <family val="2"/>
      </rPr>
      <t xml:space="preserve"> Dinâmica de Média Renda: municípios cujo rendimento médio por habitante varie entre 33% a 93% do rendimento médio por habitante no Brasil (em 2000); e a variação no PIB foi igual ou maior que 3,87% entre 1990 e 1998. </t>
    </r>
    <r>
      <rPr>
        <b/>
        <sz val="8"/>
        <rFont val="Arial"/>
        <family val="2"/>
      </rPr>
      <t>(5)</t>
    </r>
    <r>
      <rPr>
        <sz val="8"/>
        <rFont val="Arial"/>
        <family val="2"/>
      </rPr>
      <t xml:space="preserve"> Alta Renda: municípios cujo rendimento médio por habitante seja de no mínimo 93% do rendimento médio por habitante no Brasil (em 2000); e a variação no PIB foi igual ou maior que 3,87% entre 1990 e 1998.</t>
    </r>
  </si>
  <si>
    <t>Tabela 68</t>
  </si>
  <si>
    <t>Produto</t>
  </si>
  <si>
    <r>
      <t>FNE - Projetos Contratados</t>
    </r>
    <r>
      <rPr>
        <vertAlign val="superscript"/>
        <sz val="12"/>
        <color indexed="16"/>
        <rFont val="Arial"/>
        <family val="2"/>
      </rPr>
      <t>(¹)</t>
    </r>
    <r>
      <rPr>
        <sz val="12"/>
        <color indexed="16"/>
        <rFont val="Arial"/>
        <family val="2"/>
      </rPr>
      <t xml:space="preserve">  nas Mesorregiões SPR</t>
    </r>
    <r>
      <rPr>
        <vertAlign val="superscript"/>
        <sz val="12"/>
        <color indexed="16"/>
        <rFont val="Arial"/>
        <family val="2"/>
      </rPr>
      <t>(2)</t>
    </r>
  </si>
  <si>
    <r>
      <t>Nota: (1)</t>
    </r>
    <r>
      <rPr>
        <sz val="8"/>
        <rFont val="Arial"/>
        <family val="2"/>
      </rPr>
      <t xml:space="preserve"> Por “Contratações” entende-se a realização de operações, incluindo parcelas desembolsadas e a desembolsar. </t>
    </r>
    <r>
      <rPr>
        <b/>
        <sz val="8"/>
        <rFont val="Arial"/>
        <family val="2"/>
      </rPr>
      <t>(2)</t>
    </r>
    <r>
      <rPr>
        <sz val="8"/>
        <rFont val="Arial"/>
        <family val="2"/>
      </rPr>
      <t xml:space="preserve"> Secretaria de Programas Regionais.</t>
    </r>
  </si>
  <si>
    <t>Realizado</t>
  </si>
  <si>
    <r>
      <t xml:space="preserve">FNE - Contratações </t>
    </r>
    <r>
      <rPr>
        <vertAlign val="superscript"/>
        <sz val="12"/>
        <color indexed="16"/>
        <rFont val="Arial"/>
        <family val="2"/>
      </rPr>
      <t>(1)</t>
    </r>
    <r>
      <rPr>
        <sz val="12"/>
        <color indexed="16"/>
        <rFont val="Arial"/>
        <family val="2"/>
      </rPr>
      <t xml:space="preserve"> Acumuladas por Estado</t>
    </r>
  </si>
  <si>
    <r>
      <t xml:space="preserve">                                                                          </t>
    </r>
    <r>
      <rPr>
        <b/>
        <sz val="10"/>
        <color indexed="16"/>
        <rFont val="Arial"/>
        <family val="2"/>
      </rPr>
      <t>Valores em R$ Mil</t>
    </r>
  </si>
  <si>
    <r>
      <t xml:space="preserve">Valor </t>
    </r>
    <r>
      <rPr>
        <b/>
        <vertAlign val="superscript"/>
        <sz val="11"/>
        <color indexed="9"/>
        <rFont val="Arial"/>
        <family val="2"/>
      </rPr>
      <t>(2)</t>
    </r>
  </si>
  <si>
    <t>Fonte:  BNB – Ambiente de Controladoria.</t>
  </si>
  <si>
    <r>
      <t>Notas:  (1)</t>
    </r>
    <r>
      <rPr>
        <sz val="8"/>
        <rFont val="Arial"/>
        <family val="2"/>
      </rPr>
      <t xml:space="preserve"> Por "Contratações" entende-se a realização de operações no período, incluindo parcelas desembolsadas e a desembolsar.</t>
    </r>
    <r>
      <rPr>
        <b/>
        <sz val="8"/>
        <rFont val="Arial"/>
        <family val="2"/>
      </rPr>
      <t xml:space="preserve"> Inclusive operações ao amparo de Repasses do FNE ao BNB com base no Art. 9º A da Lei nº 7.827/89. (2) </t>
    </r>
    <r>
      <rPr>
        <sz val="8"/>
        <rFont val="Arial"/>
        <family val="2"/>
      </rPr>
      <t>Exercícios de 1989 a 1990 - valores atualizados pelo BTN até 31.12.1990 e, em seguida, pelo IGP-DI, até 31.12.1995. Exercício de 1991 - valores atualizados pelo US$ (comercial venda) até 31.12.1991 e, em seguida, pelo IGP-DI, até 30.06.2012.  Exercícios de 1992 em diante -  valores atualizados pelo IGP-DI.</t>
    </r>
  </si>
  <si>
    <t>Tabela 29</t>
  </si>
  <si>
    <t>Fora do Semi-árido</t>
  </si>
  <si>
    <t>Fonte: BNB - Ambiente de Controladoria.</t>
  </si>
  <si>
    <t>Tabela 19</t>
  </si>
  <si>
    <t>Quantidade</t>
  </si>
  <si>
    <t>Tabela 20</t>
  </si>
  <si>
    <t>Tabela 21</t>
  </si>
  <si>
    <r>
      <t>FNE - Contratações</t>
    </r>
    <r>
      <rPr>
        <vertAlign val="superscript"/>
        <sz val="12"/>
        <color indexed="16"/>
        <rFont val="Arial"/>
        <family val="2"/>
      </rPr>
      <t xml:space="preserve"> (1)</t>
    </r>
    <r>
      <rPr>
        <sz val="12"/>
        <color indexed="16"/>
        <rFont val="Arial"/>
        <family val="2"/>
      </rPr>
      <t xml:space="preserve"> por Estado nos Setores Comercial e de Serviços</t>
    </r>
  </si>
  <si>
    <t xml:space="preserve">                                                                 Valores em R$ mil</t>
  </si>
  <si>
    <t>Tabela 37</t>
  </si>
  <si>
    <r>
      <t xml:space="preserve">FNE - Contratações </t>
    </r>
    <r>
      <rPr>
        <vertAlign val="superscript"/>
        <sz val="12"/>
        <color indexed="16"/>
        <rFont val="Arial"/>
        <family val="2"/>
      </rPr>
      <t>(1)</t>
    </r>
    <r>
      <rPr>
        <sz val="12"/>
        <color indexed="16"/>
        <rFont val="Arial"/>
        <family val="2"/>
      </rPr>
      <t xml:space="preserve"> por Porte dos Beneficiários e Setor</t>
    </r>
  </si>
  <si>
    <t>Agro-industrial</t>
  </si>
  <si>
    <t>Indústria</t>
  </si>
  <si>
    <r>
      <t>Nota: (1)</t>
    </r>
    <r>
      <rPr>
        <sz val="8"/>
        <rFont val="Arial"/>
        <family val="2"/>
      </rPr>
      <t xml:space="preserve"> Por  "Contratações" entende-se a realização de operações, incluindo parcelas desembolsadas e a desembolsar.</t>
    </r>
  </si>
  <si>
    <t>FNE - Contratações por Tipo de Município e Setor</t>
  </si>
  <si>
    <t>Tabela 35</t>
  </si>
  <si>
    <r>
      <t xml:space="preserve">FNE - Contratações </t>
    </r>
    <r>
      <rPr>
        <vertAlign val="superscript"/>
        <sz val="12"/>
        <color indexed="16"/>
        <rFont val="Arial"/>
        <family val="2"/>
      </rPr>
      <t>(1)</t>
    </r>
    <r>
      <rPr>
        <sz val="12"/>
        <color indexed="16"/>
        <rFont val="Arial"/>
        <family val="2"/>
      </rPr>
      <t xml:space="preserve"> Acumuladas por Porte de Beneficiários (FNE + FNE-2)</t>
    </r>
  </si>
  <si>
    <r>
      <t xml:space="preserve">                                                                          </t>
    </r>
    <r>
      <rPr>
        <b/>
        <sz val="10"/>
        <color indexed="16"/>
        <rFont val="Arial"/>
        <family val="2"/>
      </rPr>
      <t>Valores em R$ Milhões</t>
    </r>
  </si>
  <si>
    <r>
      <t>Valor</t>
    </r>
    <r>
      <rPr>
        <sz val="11"/>
        <color indexed="9"/>
        <rFont val="Arial"/>
        <family val="2"/>
      </rPr>
      <t xml:space="preserve"> </t>
    </r>
    <r>
      <rPr>
        <vertAlign val="superscript"/>
        <sz val="11"/>
        <color indexed="9"/>
        <rFont val="Arial"/>
        <family val="2"/>
      </rPr>
      <t>(2)</t>
    </r>
  </si>
  <si>
    <t>Tabela 64</t>
  </si>
  <si>
    <r>
      <t>FNE - Contratações</t>
    </r>
    <r>
      <rPr>
        <vertAlign val="superscript"/>
        <sz val="12"/>
        <color indexed="16"/>
        <rFont val="Arial"/>
        <family val="2"/>
      </rPr>
      <t>(¹)</t>
    </r>
    <r>
      <rPr>
        <sz val="12"/>
        <color indexed="16"/>
        <rFont val="Arial"/>
        <family val="2"/>
      </rPr>
      <t xml:space="preserve"> em Arranjos Produtivos Locais - APLs</t>
    </r>
  </si>
  <si>
    <t>APL</t>
  </si>
  <si>
    <t>Mandioca no Agreste Alagoano - Arapiraca</t>
  </si>
  <si>
    <t>Mandioca</t>
  </si>
  <si>
    <t>Ovinocaprinocultura - Delmiro Golveia</t>
  </si>
  <si>
    <t>Carne</t>
  </si>
  <si>
    <t>Laticinios do Sertão Alagoano - Major Isidoro</t>
  </si>
  <si>
    <t>Leite</t>
  </si>
  <si>
    <t>Fruticultura - Juazeiro</t>
  </si>
  <si>
    <t>Manga/Uva</t>
  </si>
  <si>
    <t>Transformação Plástica - Salvador</t>
  </si>
  <si>
    <t>Transformação Plástica</t>
  </si>
  <si>
    <t>Caprinocultura - Senhor do Bonfim</t>
  </si>
  <si>
    <t>Sisal - Valente</t>
  </si>
  <si>
    <t>Sisal</t>
  </si>
  <si>
    <t>Cajucultura - Aracati</t>
  </si>
  <si>
    <t>Castanha</t>
  </si>
  <si>
    <t>Calçados - Juazeiro do Norte</t>
  </si>
  <si>
    <t>Bovinocultura Leiteira - Morada Nova</t>
  </si>
  <si>
    <t>Ovinocaprinocultura - Tauá</t>
  </si>
  <si>
    <t>Couro e calçados - Campina Grande</t>
  </si>
  <si>
    <t>Confecções - São Bento</t>
  </si>
  <si>
    <t>Rede</t>
  </si>
  <si>
    <t>Ovinocaprinocultura do semiárido Paraibano - Serraria</t>
  </si>
  <si>
    <t>Fruticultura - São Mateus</t>
  </si>
  <si>
    <t>Maracujá/Goiaba</t>
  </si>
  <si>
    <t>Café Conilon da Região Nordeste - São Gabriel da Palha</t>
  </si>
  <si>
    <t>Café</t>
  </si>
  <si>
    <t>Leite e Derivados - Açailândia</t>
  </si>
  <si>
    <t>Leite e Derivados - Bacabal</t>
  </si>
  <si>
    <t>Ovinocaprinocultura - Chapadinha</t>
  </si>
  <si>
    <t>Turismo - São Luís</t>
  </si>
  <si>
    <t xml:space="preserve">Fruticultura Irrigada - Janaúba </t>
  </si>
  <si>
    <t>Banana / Citrus (Laranja / Limão)</t>
  </si>
  <si>
    <t>Confecções - Caruaru</t>
  </si>
  <si>
    <t>Jeans</t>
  </si>
  <si>
    <t>Laticínios - Garanhus</t>
  </si>
  <si>
    <t>Fruticultura - Petrolina</t>
  </si>
  <si>
    <t>Manga / Uva</t>
  </si>
  <si>
    <t>Leite e Derivados da Região Norte - Parnaíba</t>
  </si>
  <si>
    <t>Leite e Derivados</t>
  </si>
  <si>
    <t>Apicultura - Picos</t>
  </si>
  <si>
    <t>Cajucultura - Picos</t>
  </si>
  <si>
    <t>Ovinocaprinocultura - Teresina</t>
  </si>
  <si>
    <t>Corte</t>
  </si>
  <si>
    <t>Cerâmica - Assu</t>
  </si>
  <si>
    <t>Olaria (Tijolo / Telha)</t>
  </si>
  <si>
    <t>Fruticultura - Assu</t>
  </si>
  <si>
    <t>Todas as Frutas</t>
  </si>
  <si>
    <t xml:space="preserve">Laticínios - Caicó </t>
  </si>
  <si>
    <t>Tecelagem do Seridó - Jardim das Piranhas</t>
  </si>
  <si>
    <t>Pano de Prato</t>
  </si>
  <si>
    <t>Petróleo e Gás - Aracaju</t>
  </si>
  <si>
    <t>Petróleo e Gás</t>
  </si>
  <si>
    <t>Cerâmica Vermelha - Itabaianinha</t>
  </si>
  <si>
    <t>Tijolos, Telhas</t>
  </si>
  <si>
    <t>Mandioca - Lagarto</t>
  </si>
  <si>
    <t>Pecuária de Leite - N. S. da Glória</t>
  </si>
  <si>
    <t>Juazeiro</t>
  </si>
  <si>
    <t>Petrolina</t>
  </si>
  <si>
    <t>Casa Nova</t>
  </si>
  <si>
    <t>Tabela 77</t>
  </si>
  <si>
    <t>Tabela 1.A</t>
  </si>
  <si>
    <r>
      <t xml:space="preserve">FNE - Contratações </t>
    </r>
    <r>
      <rPr>
        <vertAlign val="superscript"/>
        <sz val="12"/>
        <color indexed="16"/>
        <rFont val="Arial"/>
        <family val="2"/>
      </rPr>
      <t>(1)</t>
    </r>
    <r>
      <rPr>
        <sz val="12"/>
        <color indexed="16"/>
        <rFont val="Arial"/>
        <family val="2"/>
      </rPr>
      <t xml:space="preserve"> por Estados e Setores na Região Semi-árida</t>
    </r>
  </si>
  <si>
    <t>Total Estado</t>
  </si>
  <si>
    <t>Estado / Total (%)</t>
  </si>
  <si>
    <t>Tabela 2.A</t>
  </si>
  <si>
    <r>
      <t xml:space="preserve">FNE - Contratações </t>
    </r>
    <r>
      <rPr>
        <vertAlign val="superscript"/>
        <sz val="12"/>
        <color indexed="16"/>
        <rFont val="Arial"/>
        <family val="2"/>
      </rPr>
      <t>(1)</t>
    </r>
    <r>
      <rPr>
        <sz val="12"/>
        <color indexed="16"/>
        <rFont val="Arial"/>
        <family val="2"/>
      </rPr>
      <t xml:space="preserve"> por Estados e Setores na Região Fora do Semiárido</t>
    </r>
  </si>
  <si>
    <r>
      <t>Nota: (1)</t>
    </r>
    <r>
      <rPr>
        <sz val="8"/>
        <color indexed="8"/>
        <rFont val="Arial"/>
        <family val="2"/>
      </rPr>
      <t xml:space="preserve"> </t>
    </r>
    <r>
      <rPr>
        <sz val="8"/>
        <rFont val="Arial"/>
        <family val="2"/>
      </rPr>
      <t>Por "Contratação" entende</t>
    </r>
    <r>
      <rPr>
        <sz val="8"/>
        <color indexed="8"/>
        <rFont val="Arial"/>
        <family val="2"/>
      </rPr>
      <t>-se a realização de operações, incluindo parcelas desembolsadas e a desembolsar.</t>
    </r>
  </si>
  <si>
    <t>PRONAF GRUPO "A" - FNE</t>
  </si>
  <si>
    <t xml:space="preserve">PRONAF MULHER - FNE           </t>
  </si>
  <si>
    <t xml:space="preserve">PRONAF SEMI-ARIDO - FNE       </t>
  </si>
  <si>
    <t>PRONAF-B/PLANO-SAFRA SEMIARIDO</t>
  </si>
  <si>
    <t xml:space="preserve">PRONAF-MAIS ALIMENTOS (FNE)   </t>
  </si>
  <si>
    <t xml:space="preserve">FNE-MPE-SERVICOS              </t>
  </si>
  <si>
    <t xml:space="preserve">FNE-MPE-COMERCIO              </t>
  </si>
  <si>
    <t xml:space="preserve">PRONAF GRUPO "B" - FNE        </t>
  </si>
  <si>
    <t xml:space="preserve">FNE-MPE-AGROINDUSTRIA         </t>
  </si>
  <si>
    <t>PROCIR/OUTRAS OP.FNE/RISC.COMP</t>
  </si>
  <si>
    <t xml:space="preserve">FNE-MPE-INDUSTRIA             </t>
  </si>
  <si>
    <t xml:space="preserve">FNE-EI/COMERCIO               </t>
  </si>
  <si>
    <t xml:space="preserve">PRONAF-COMUM (FNE)            </t>
  </si>
  <si>
    <t xml:space="preserve">FNE-EI/TURISMO                </t>
  </si>
  <si>
    <t>PROCIR/OUTRAS OP.FNE/RISCO FNE</t>
  </si>
  <si>
    <t xml:space="preserve">PRONAF GRUPO A/C - FNE        </t>
  </si>
  <si>
    <t xml:space="preserve">FNE-EI/INDUSTRIA              </t>
  </si>
  <si>
    <t xml:space="preserve">FNE-EI/SERVICOS               </t>
  </si>
  <si>
    <t xml:space="preserve">AQUIPESCA                     </t>
  </si>
  <si>
    <t xml:space="preserve">FNE-MPE-TURISMO               </t>
  </si>
  <si>
    <t xml:space="preserve">PROCIR/PRONAF-B/RISCO-FNE     </t>
  </si>
  <si>
    <t>PROCIR/PRONAF-OUTROS/RISC.COMP</t>
  </si>
  <si>
    <t xml:space="preserve">PROCIR/OUTRAS OP./RISCO BNB   </t>
  </si>
  <si>
    <t>PROCIR/OUTRAS OP.FNE/RISCO BNB</t>
  </si>
  <si>
    <t>PROCIR/PRONAF-JOV-MULH/RIS.COM</t>
  </si>
  <si>
    <t xml:space="preserve">PROCIR/PRONAF-A/RISCO-FNE     </t>
  </si>
  <si>
    <t>PROCIR/PRONAF-OUTROS/RISCO-FNE</t>
  </si>
  <si>
    <t>PRONAF-MAIS ALIMENT/REVITALIZA</t>
  </si>
  <si>
    <t>PRONAF FLORESTA - FNE</t>
  </si>
  <si>
    <t>PROCIR/PRONAF-OUTROS/RISCO BNB</t>
  </si>
  <si>
    <t xml:space="preserve">PRONAF JOVEM - FNE            </t>
  </si>
  <si>
    <t xml:space="preserve">PRONAF-AGROINDUSTRIA (FNE)    </t>
  </si>
  <si>
    <t xml:space="preserve">INOVACAO-SERVICOS             </t>
  </si>
  <si>
    <t xml:space="preserve">PRONAF-ECO (FNE)              </t>
  </si>
  <si>
    <t xml:space="preserve">PROCIR/PRONAF-AC/RISCO-FNE    </t>
  </si>
  <si>
    <t xml:space="preserve">FNE-SECA/2012-RURAL           </t>
  </si>
  <si>
    <t xml:space="preserve">PRONAF-AGROECOLOGIA (FNE)     </t>
  </si>
  <si>
    <t xml:space="preserve">INOVACAO-COMERCIAL            </t>
  </si>
  <si>
    <t xml:space="preserve">PROCIR/PRONAF-A/RISCO-BNB     </t>
  </si>
  <si>
    <t>PROCIR/PRONAF-S.ARIDO/RISC.FNE</t>
  </si>
  <si>
    <t>Nº.  de Beneficiários</t>
  </si>
  <si>
    <t xml:space="preserve"> Total</t>
  </si>
  <si>
    <t>Tabela 23</t>
  </si>
  <si>
    <t>FNE - Contratações e Demanda de Recursos por Estado</t>
  </si>
  <si>
    <r>
      <t xml:space="preserve">Contratações </t>
    </r>
    <r>
      <rPr>
        <b/>
        <vertAlign val="superscript"/>
        <sz val="10"/>
        <color indexed="9"/>
        <rFont val="Arial"/>
        <family val="2"/>
      </rPr>
      <t>(1)</t>
    </r>
  </si>
  <si>
    <r>
      <t xml:space="preserve">Propostas em Carteira </t>
    </r>
    <r>
      <rPr>
        <b/>
        <vertAlign val="superscript"/>
        <sz val="10"/>
        <color indexed="9"/>
        <rFont val="Arial"/>
        <family val="2"/>
      </rPr>
      <t>(2)</t>
    </r>
  </si>
  <si>
    <t>Demanda Total</t>
  </si>
  <si>
    <t>Fonte: BNB – Ambiente de Controle de Operações de Crédito e BNB - Ambiente de Coordenação Executiva Institucional.</t>
  </si>
  <si>
    <r>
      <t>Notas: (1)</t>
    </r>
    <r>
      <rPr>
        <sz val="8"/>
        <color indexed="8"/>
        <rFont val="Arial"/>
        <family val="2"/>
      </rPr>
      <t xml:space="preserve"> </t>
    </r>
    <r>
      <rPr>
        <sz val="8"/>
        <rFont val="Arial"/>
        <family val="2"/>
      </rPr>
      <t>Por "Contratações" entende</t>
    </r>
    <r>
      <rPr>
        <sz val="8"/>
        <color indexed="8"/>
        <rFont val="Arial"/>
        <family val="2"/>
      </rPr>
      <t xml:space="preserve">-se a realização de operações, incluindo parcelas desembolsadas e a desembolsar. </t>
    </r>
    <r>
      <rPr>
        <b/>
        <sz val="8"/>
        <color indexed="8"/>
        <rFont val="Arial"/>
        <family val="2"/>
      </rPr>
      <t>(2)</t>
    </r>
    <r>
      <rPr>
        <sz val="8"/>
        <color indexed="8"/>
        <rFont val="Arial"/>
        <family val="2"/>
      </rPr>
      <t xml:space="preserve"> Valor do estoque das propostas em carteira ao final do período.</t>
    </r>
  </si>
  <si>
    <t>Fora do Semiárido</t>
  </si>
  <si>
    <t>Tabela 10</t>
  </si>
  <si>
    <t>Nº de Beneficiários</t>
  </si>
  <si>
    <t>PRONAF A</t>
  </si>
  <si>
    <t>PRONAF B</t>
  </si>
  <si>
    <t>PRONAF A/C</t>
  </si>
  <si>
    <t>PRONAF SEMIÁRIDO</t>
  </si>
  <si>
    <t>PRONAF FLORESTA</t>
  </si>
  <si>
    <t>PRONAF MULHER</t>
  </si>
  <si>
    <t>PRONAF-MAIS ALIMENTOS</t>
  </si>
  <si>
    <t>DEMAIS PRONAFS</t>
  </si>
  <si>
    <t>Tabela 62</t>
  </si>
  <si>
    <r>
      <t>FNE - Contratações</t>
    </r>
    <r>
      <rPr>
        <vertAlign val="superscript"/>
        <sz val="12"/>
        <color indexed="16"/>
        <rFont val="Arial"/>
        <family val="2"/>
      </rPr>
      <t>(¹)</t>
    </r>
    <r>
      <rPr>
        <sz val="12"/>
        <color indexed="16"/>
        <rFont val="Arial"/>
        <family val="2"/>
      </rPr>
      <t xml:space="preserve"> Mini, Micro e Pequenos Produtores Rurais/Empresa</t>
    </r>
  </si>
  <si>
    <t>Cooperativas/Associações</t>
  </si>
  <si>
    <t>Demais</t>
  </si>
  <si>
    <t xml:space="preserve">   Total</t>
  </si>
  <si>
    <t xml:space="preserve">   Demais</t>
  </si>
  <si>
    <r>
      <t>Nota: (1)</t>
    </r>
    <r>
      <rPr>
        <sz val="8"/>
        <rFont val="Arial"/>
        <family val="2"/>
      </rPr>
      <t xml:space="preserve"> Por “Contratações” entende-se a realização de operações, incluindo parcelas desembolsadas e a desembolsar. </t>
    </r>
    <r>
      <rPr>
        <b/>
        <sz val="8"/>
        <rFont val="Arial"/>
        <family val="2"/>
      </rPr>
      <t xml:space="preserve">(2) </t>
    </r>
    <r>
      <rPr>
        <sz val="8"/>
        <rFont val="Arial"/>
        <family val="2"/>
      </rPr>
      <t>Exclusive operações com agricultures familiares.</t>
    </r>
  </si>
  <si>
    <t>Tabela 67</t>
  </si>
  <si>
    <t>SETOR</t>
  </si>
  <si>
    <t>FNE - Contratações em Relação à População Residente</t>
  </si>
  <si>
    <t>Valor
Contratado/População</t>
  </si>
  <si>
    <r>
      <t xml:space="preserve">Contratações </t>
    </r>
    <r>
      <rPr>
        <b/>
        <vertAlign val="superscript"/>
        <sz val="10"/>
        <color indexed="9"/>
        <rFont val="Arial"/>
        <family val="2"/>
      </rPr>
      <t xml:space="preserve">(1)
</t>
    </r>
    <r>
      <rPr>
        <b/>
        <sz val="10"/>
        <color indexed="9"/>
        <rFont val="Arial"/>
        <family val="2"/>
      </rPr>
      <t>(R$ mil)</t>
    </r>
  </si>
  <si>
    <t>População
(mil hab.)</t>
  </si>
  <si>
    <t>R$/Hab.</t>
  </si>
  <si>
    <r>
      <rPr>
        <b/>
        <sz val="9"/>
        <color indexed="8"/>
        <rFont val="Arial"/>
        <family val="2"/>
      </rPr>
      <t>Fontes</t>
    </r>
    <r>
      <rPr>
        <sz val="9"/>
        <color indexed="8"/>
        <rFont val="Arial"/>
        <family val="2"/>
      </rPr>
      <t>: 1 - BNB/Ambiente de Controle de Operações de Crédito; 2 - IBGE/Estimativas populacionais para os municípios brasileiros em 01.07.2015.</t>
    </r>
  </si>
  <si>
    <r>
      <rPr>
        <b/>
        <sz val="9"/>
        <color indexed="8"/>
        <rFont val="Arial"/>
        <family val="2"/>
      </rPr>
      <t>Notas:</t>
    </r>
    <r>
      <rPr>
        <sz val="9"/>
        <color indexed="8"/>
        <rFont val="Arial"/>
        <family val="2"/>
      </rPr>
      <t xml:space="preserve"> (1) Por "Contratações" entende-se a realização de operações no período, incluindo parcelas desembolsadas e a desembolsar.</t>
    </r>
  </si>
  <si>
    <t>Unidade geográfica</t>
  </si>
  <si>
    <t>FNE Setor Rural / PIB Setor Primário</t>
  </si>
  <si>
    <r>
      <t xml:space="preserve">Espírito Santo </t>
    </r>
    <r>
      <rPr>
        <vertAlign val="superscript"/>
        <sz val="11"/>
        <rFont val="Arial"/>
        <family val="2"/>
      </rPr>
      <t>(2)</t>
    </r>
  </si>
  <si>
    <r>
      <t xml:space="preserve">Minas Gerais </t>
    </r>
    <r>
      <rPr>
        <vertAlign val="superscript"/>
        <sz val="11"/>
        <rFont val="Arial"/>
        <family val="2"/>
      </rPr>
      <t>(3)</t>
    </r>
  </si>
  <si>
    <t>Área de Atuação do FNE</t>
  </si>
  <si>
    <t>Fontes: 1 - BNB/Ambiente de Controle de Operações de Crédito; 2 - IBGE/Produto Interno Bruto dos Municípios 2012.</t>
  </si>
  <si>
    <t>Tabela 27</t>
  </si>
  <si>
    <t>FNE - Contratações em Relação ao PIB dos Estados</t>
  </si>
  <si>
    <r>
      <rPr>
        <sz val="12"/>
        <color indexed="16"/>
        <rFont val="Arial"/>
        <family val="2"/>
      </rPr>
      <t>FNE</t>
    </r>
    <r>
      <rPr>
        <b/>
        <sz val="12"/>
        <color indexed="16"/>
        <rFont val="Arial"/>
        <family val="2"/>
      </rPr>
      <t xml:space="preserve"> - Instituições Repassadoras - </t>
    </r>
    <r>
      <rPr>
        <sz val="12"/>
        <color indexed="16"/>
        <rFont val="Arial"/>
        <family val="2"/>
      </rPr>
      <t>Contratações</t>
    </r>
  </si>
  <si>
    <t>Exercício 2015</t>
  </si>
  <si>
    <t>Bancos Repassadores</t>
  </si>
  <si>
    <t>Agência de Fomento do Rio Grande do Norte (AGN)</t>
  </si>
  <si>
    <t>Banco do Estado de Sergipe (BANESE)</t>
  </si>
  <si>
    <t>Agência de Fomento do Estado da Bahia (DESENBAHIA)</t>
  </si>
  <si>
    <t>Banco de Desenvolvimento de Minas Gerais - (BDMG)</t>
  </si>
  <si>
    <r>
      <t>Notas: (1)</t>
    </r>
    <r>
      <rPr>
        <sz val="9"/>
        <color indexed="8"/>
        <rFont val="Arial"/>
        <family val="2"/>
      </rPr>
      <t xml:space="preserve"> Por "Contratações" entende-se a realização de operações, incluindo parcelas desembolsadas e a desembolsar.</t>
    </r>
  </si>
  <si>
    <t>Programa de Financiamento às Micro e Pequenas Empresas (MPE-COMÉRCIO E SERVIÇOS)</t>
  </si>
  <si>
    <t>Programa de Financiamento para os Setores Comercial e de Serviços (COMÉRCIO E SERVIÇOS)</t>
  </si>
  <si>
    <t>Programa de Financ. à Agricultura Irrigada (FNE-IRRIGAÇÃO)</t>
  </si>
  <si>
    <t>Programa de Apoio ao Desenvolvimento Rural (RURAL) e Outros</t>
  </si>
  <si>
    <t>Quant. Beneficiários</t>
  </si>
  <si>
    <t>Valor das Propostas em Carteira</t>
  </si>
  <si>
    <t>Setor / Programa</t>
  </si>
  <si>
    <r>
      <t>FNE -</t>
    </r>
    <r>
      <rPr>
        <b/>
        <sz val="12"/>
        <color indexed="16"/>
        <rFont val="Arial"/>
        <family val="2"/>
      </rPr>
      <t xml:space="preserve"> Instituições Repassadoras</t>
    </r>
    <r>
      <rPr>
        <sz val="12"/>
        <color indexed="16"/>
        <rFont val="Arial"/>
        <family val="2"/>
      </rPr>
      <t xml:space="preserve"> - Desempenho Operacional - Contratações</t>
    </r>
  </si>
  <si>
    <r>
      <t xml:space="preserve">FNE - </t>
    </r>
    <r>
      <rPr>
        <b/>
        <sz val="12"/>
        <color indexed="16"/>
        <rFont val="Arial"/>
        <family val="2"/>
      </rPr>
      <t>Instituições Repassadoras</t>
    </r>
    <r>
      <rPr>
        <sz val="12"/>
        <color indexed="16"/>
        <rFont val="Arial"/>
        <family val="2"/>
      </rPr>
      <t xml:space="preserve"> - Contratações</t>
    </r>
    <r>
      <rPr>
        <vertAlign val="superscript"/>
        <sz val="12"/>
        <color indexed="16"/>
        <rFont val="Arial"/>
        <family val="2"/>
      </rPr>
      <t>(1)</t>
    </r>
    <r>
      <rPr>
        <sz val="12"/>
        <color indexed="16"/>
        <rFont val="Arial"/>
        <family val="2"/>
      </rPr>
      <t xml:space="preserve"> por Atividade no Setor Rural</t>
    </r>
  </si>
  <si>
    <t>Cultivo de Mamão</t>
  </si>
  <si>
    <r>
      <t>Notas:</t>
    </r>
    <r>
      <rPr>
        <b/>
        <vertAlign val="superscript"/>
        <sz val="9"/>
        <color indexed="8"/>
        <rFont val="Arial"/>
        <family val="2"/>
      </rPr>
      <t xml:space="preserve"> (1)</t>
    </r>
    <r>
      <rPr>
        <sz val="9"/>
        <color indexed="8"/>
        <rFont val="Arial"/>
        <family val="2"/>
      </rPr>
      <t xml:space="preserve"> Por "Contratações" entende-se a realização de operações, incluindo parcelas desembolsadas e a desembolsar.</t>
    </r>
  </si>
  <si>
    <r>
      <t xml:space="preserve">FNE - </t>
    </r>
    <r>
      <rPr>
        <b/>
        <sz val="12"/>
        <color indexed="16"/>
        <rFont val="Arial"/>
        <family val="2"/>
      </rPr>
      <t>Instituições Repassadores</t>
    </r>
    <r>
      <rPr>
        <sz val="12"/>
        <color indexed="16"/>
        <rFont val="Arial"/>
        <family val="2"/>
      </rPr>
      <t xml:space="preserve"> - Contratações </t>
    </r>
    <r>
      <rPr>
        <vertAlign val="superscript"/>
        <sz val="12"/>
        <color indexed="16"/>
        <rFont val="Arial"/>
        <family val="2"/>
      </rPr>
      <t xml:space="preserve">(1) </t>
    </r>
    <r>
      <rPr>
        <sz val="12"/>
        <color indexed="16"/>
        <rFont val="Arial"/>
        <family val="2"/>
      </rPr>
      <t>por Atividade nos Setores Comercial e Serviços</t>
    </r>
  </si>
  <si>
    <t>Transporte</t>
  </si>
  <si>
    <r>
      <t>FNE -</t>
    </r>
    <r>
      <rPr>
        <b/>
        <sz val="12"/>
        <color indexed="16"/>
        <rFont val="Arial"/>
        <family val="2"/>
      </rPr>
      <t xml:space="preserve"> Instituições</t>
    </r>
    <r>
      <rPr>
        <sz val="12"/>
        <color indexed="16"/>
        <rFont val="Arial"/>
        <family val="2"/>
      </rPr>
      <t xml:space="preserve"> </t>
    </r>
    <r>
      <rPr>
        <b/>
        <sz val="12"/>
        <color indexed="16"/>
        <rFont val="Arial"/>
        <family val="2"/>
      </rPr>
      <t>Repassadoras</t>
    </r>
    <r>
      <rPr>
        <sz val="12"/>
        <color indexed="16"/>
        <rFont val="Arial"/>
        <family val="2"/>
      </rPr>
      <t xml:space="preserve"> - Contratações </t>
    </r>
    <r>
      <rPr>
        <vertAlign val="superscript"/>
        <sz val="12"/>
        <color indexed="16"/>
        <rFont val="Arial"/>
        <family val="2"/>
      </rPr>
      <t>(1)</t>
    </r>
    <r>
      <rPr>
        <sz val="12"/>
        <color indexed="16"/>
        <rFont val="Arial"/>
        <family val="2"/>
      </rPr>
      <t xml:space="preserve"> por Região</t>
    </r>
  </si>
  <si>
    <t>Área</t>
  </si>
  <si>
    <r>
      <t xml:space="preserve">Valor </t>
    </r>
    <r>
      <rPr>
        <b/>
        <vertAlign val="superscript"/>
        <sz val="11"/>
        <color indexed="9"/>
        <rFont val="Arial"/>
        <family val="2"/>
      </rPr>
      <t>(1)</t>
    </r>
  </si>
  <si>
    <r>
      <t xml:space="preserve">Nota: (1) </t>
    </r>
    <r>
      <rPr>
        <sz val="8"/>
        <rFont val="Arial"/>
        <family val="2"/>
      </rPr>
      <t>Por "Contratações" entende-se a realização de operações, incluindo parcelas desembolsadas e a desembolsar.</t>
    </r>
  </si>
  <si>
    <r>
      <t xml:space="preserve">FNE - </t>
    </r>
    <r>
      <rPr>
        <b/>
        <sz val="12"/>
        <color indexed="16"/>
        <rFont val="Arial"/>
        <family val="2"/>
      </rPr>
      <t>Instituições Repassadoras</t>
    </r>
    <r>
      <rPr>
        <sz val="12"/>
        <color indexed="16"/>
        <rFont val="Arial"/>
        <family val="2"/>
      </rPr>
      <t xml:space="preserve"> - Beneficiários por Porte e Setor </t>
    </r>
  </si>
  <si>
    <t>Porte/Setor</t>
  </si>
  <si>
    <t>Pequeno Médio</t>
  </si>
  <si>
    <r>
      <t xml:space="preserve">FNE - </t>
    </r>
    <r>
      <rPr>
        <b/>
        <sz val="12"/>
        <color indexed="16"/>
        <rFont val="Arial"/>
        <family val="2"/>
      </rPr>
      <t>Instituições Repassadores</t>
    </r>
    <r>
      <rPr>
        <sz val="12"/>
        <color indexed="16"/>
        <rFont val="Arial"/>
        <family val="2"/>
      </rPr>
      <t xml:space="preserve"> - Contratações </t>
    </r>
    <r>
      <rPr>
        <vertAlign val="superscript"/>
        <sz val="12"/>
        <color indexed="16"/>
        <rFont val="Arial"/>
        <family val="2"/>
      </rPr>
      <t>(1)</t>
    </r>
    <r>
      <rPr>
        <sz val="12"/>
        <color indexed="16"/>
        <rFont val="Arial"/>
        <family val="2"/>
      </rPr>
      <t xml:space="preserve"> por Porte e Setor do Beneficiário</t>
    </r>
  </si>
  <si>
    <t>Infra - Estrutura</t>
  </si>
  <si>
    <t xml:space="preserve">Mini / Micro </t>
  </si>
  <si>
    <r>
      <t xml:space="preserve">FNE - </t>
    </r>
    <r>
      <rPr>
        <b/>
        <sz val="12"/>
        <color indexed="16"/>
        <rFont val="Arial"/>
        <family val="2"/>
      </rPr>
      <t>Instituições Repassadoras</t>
    </r>
    <r>
      <rPr>
        <sz val="12"/>
        <color indexed="16"/>
        <rFont val="Arial"/>
        <family val="2"/>
      </rPr>
      <t xml:space="preserve"> - Distribuição Territorial e Setorial dos Recursos</t>
    </r>
  </si>
  <si>
    <t>Setores/Programas</t>
  </si>
  <si>
    <r>
      <t>N</t>
    </r>
    <r>
      <rPr>
        <b/>
        <sz val="12"/>
        <color indexed="9"/>
        <rFont val="Arial"/>
        <family val="2"/>
      </rPr>
      <t>º</t>
    </r>
    <r>
      <rPr>
        <b/>
        <sz val="12"/>
        <color indexed="9"/>
        <rFont val="Arial"/>
        <family val="2"/>
      </rPr>
      <t xml:space="preserve"> de Municípios Atendidos</t>
    </r>
  </si>
  <si>
    <r>
      <t>Nota:</t>
    </r>
    <r>
      <rPr>
        <sz val="8"/>
        <rFont val="Arial"/>
        <family val="2"/>
      </rPr>
      <t xml:space="preserve"> Um mesmo município pode ter contratado operações em mais de um setor.</t>
    </r>
  </si>
  <si>
    <r>
      <t xml:space="preserve">FNE - </t>
    </r>
    <r>
      <rPr>
        <b/>
        <sz val="12"/>
        <color indexed="16"/>
        <rFont val="Arial"/>
        <family val="2"/>
      </rPr>
      <t>Instituições Repassadoras</t>
    </r>
    <r>
      <rPr>
        <sz val="12"/>
        <color indexed="16"/>
        <rFont val="Arial"/>
        <family val="2"/>
      </rPr>
      <t xml:space="preserve"> - Contratações por Município</t>
    </r>
  </si>
  <si>
    <t>ASSU (RN)</t>
  </si>
  <si>
    <t>NATAL (RN)</t>
  </si>
  <si>
    <t>PARNAMIRIM (RN)</t>
  </si>
  <si>
    <t>ARACAJU (SE)</t>
  </si>
  <si>
    <t>CANINDE DE SÃO FRANCISCO (SE)</t>
  </si>
  <si>
    <t>FREI PAULO (SE)</t>
  </si>
  <si>
    <t>PIRAMBU (SE)</t>
  </si>
  <si>
    <t>SÃO CRISTOVÃO (SE)</t>
  </si>
  <si>
    <t>ITAMBÉ (BA)</t>
  </si>
  <si>
    <t>LUIS EDUARDO MAGALHÃES (BA)</t>
  </si>
  <si>
    <t>SÃO FRANCISCO DO CONDE (BA)</t>
  </si>
  <si>
    <r>
      <rPr>
        <sz val="12"/>
        <color indexed="16"/>
        <rFont val="Arial"/>
        <family val="2"/>
      </rPr>
      <t>FNE</t>
    </r>
    <r>
      <rPr>
        <b/>
        <sz val="12"/>
        <color indexed="16"/>
        <rFont val="Arial"/>
        <family val="2"/>
      </rPr>
      <t xml:space="preserve"> - Instituições Repassadoras - </t>
    </r>
    <r>
      <rPr>
        <sz val="12"/>
        <color indexed="16"/>
        <rFont val="Arial"/>
        <family val="2"/>
      </rPr>
      <t>Saldos Devedores e Inadimplência</t>
    </r>
  </si>
  <si>
    <t>Posição: 30.06.2015</t>
  </si>
  <si>
    <t>Instituições Repassadoras</t>
  </si>
  <si>
    <t>AGN</t>
  </si>
  <si>
    <t>BANESE</t>
  </si>
  <si>
    <t>DESENBAHIA</t>
  </si>
  <si>
    <t>BDMG</t>
  </si>
  <si>
    <t>Saldo Devedor</t>
  </si>
  <si>
    <t>% de Inadimplência</t>
  </si>
  <si>
    <t xml:space="preserve">   %</t>
  </si>
  <si>
    <t xml:space="preserve">    %</t>
  </si>
  <si>
    <t xml:space="preserve">Comércio e Serviços                           </t>
  </si>
  <si>
    <t>Qtde Oper</t>
  </si>
  <si>
    <t>Fab. de maq. e quip. p/ a agricul. e pec., peças e acess., exceto p/ irrigação</t>
  </si>
  <si>
    <t>Recondicionamento e recuperação de motores para veículos automotores</t>
  </si>
  <si>
    <t>Fab.Cabines, carrocerias e reboques p/caminhao</t>
  </si>
  <si>
    <t>Fab.Pecas/Acessorios</t>
  </si>
  <si>
    <t>Recondicionamento ou fab.de Motores p/Veiculos Rodoviarios</t>
  </si>
  <si>
    <t>Constr./Reparo Embarcacoes e estruturas flutuantes</t>
  </si>
  <si>
    <t>Fab cabines/carroc./reboques p/ veículos automotores, exceto caminhões e ônibus</t>
  </si>
  <si>
    <t>Total Geral</t>
  </si>
  <si>
    <t>Fab.Adesivos e Selantes</t>
  </si>
  <si>
    <t>Fab.Aditivos de Uso Industrial</t>
  </si>
  <si>
    <t>Fab.Derivados do Petroleo (Combustiveis, Lubrificantes, Asfalto etc.)</t>
  </si>
  <si>
    <t>Usina de Alcool</t>
  </si>
  <si>
    <t>Fab.Medicamentos</t>
  </si>
  <si>
    <t>Fabricação de artigos ópticos</t>
  </si>
  <si>
    <t>Serviços de prótese dentária</t>
  </si>
  <si>
    <t>Artigos Medico, Hospitalar e Odontologicos</t>
  </si>
  <si>
    <t>Prod.Farmoquimicos</t>
  </si>
  <si>
    <t>Defensivos Agricolas</t>
  </si>
  <si>
    <t>Fab.Velas</t>
  </si>
  <si>
    <t>Cosmeticos</t>
  </si>
  <si>
    <t>Prod.Perfumaria</t>
  </si>
  <si>
    <t>Prod.Limpeza e Polimento</t>
  </si>
  <si>
    <t>Saboes, Sabonetes e Detergentes Sinteticos</t>
  </si>
  <si>
    <t>Fab. de outros produtos químicos não especificados ou não classificados</t>
  </si>
  <si>
    <t>Fab.Corantes, Pigmentos e Silica-Gel</t>
  </si>
  <si>
    <t>Fab.Prod.Quim.Organicos, Exceto Petroquimicos Basicos e Intermediarios p/Resinas</t>
  </si>
  <si>
    <t>Fabricação de desinfestantes domissanitários</t>
  </si>
  <si>
    <t>Fab. Adubos, Fertilizantes e Corretivos do Solo</t>
  </si>
  <si>
    <t>Fab.Gases Industriais</t>
  </si>
  <si>
    <t xml:space="preserve">Ind.Resinas e Elastromeros                   </t>
  </si>
  <si>
    <t>Fab.Resinas Termofixas</t>
  </si>
  <si>
    <t>Fab.Resinas Termoplasticas</t>
  </si>
  <si>
    <t>Fab.Tintas, Vernizes, Esmaltes e Lacas</t>
  </si>
  <si>
    <t>Fab.Impermeabilizantes e Solventes</t>
  </si>
  <si>
    <t xml:space="preserve">           Valor</t>
  </si>
  <si>
    <t xml:space="preserve">Ind. Siderúrgica                          </t>
  </si>
  <si>
    <t xml:space="preserve">Ind. metal-mecânica                          </t>
  </si>
  <si>
    <t>Fab.Calcados de Couro</t>
  </si>
  <si>
    <t>Fab.Calcados de Plastico</t>
  </si>
  <si>
    <t>Fab.Calcados de Tecidos, Fibras, Madeira ou Borracha</t>
  </si>
  <si>
    <t>Fabricação de partes para calçados, de qualquer material</t>
  </si>
  <si>
    <t>Fab.Tenis, de qualquer material</t>
  </si>
  <si>
    <t>Fab.Artef.Bambu, Vime, Junco ou Palha Trancada</t>
  </si>
  <si>
    <t>Fab.Colchoes</t>
  </si>
  <si>
    <t>Fab.Moveis com predominancia de metal</t>
  </si>
  <si>
    <t>Fab.Moveis de vime e junco</t>
  </si>
  <si>
    <t>Fab.Moveis estofados</t>
  </si>
  <si>
    <t>Fabricação de Móveis com Predominância de Madeira</t>
  </si>
  <si>
    <t>Serrarias com desdobramento de madeira</t>
  </si>
  <si>
    <t>Serviços de montagem de móveis de qualquer material</t>
  </si>
  <si>
    <t>Ind.Vestuario e Acessorios</t>
  </si>
  <si>
    <t>Confec de peças de vest. , exceto roupas íntimas e as confec. sob medida</t>
  </si>
  <si>
    <t>Confecção de roupas íntimas</t>
  </si>
  <si>
    <t>Fab. Art. do Vestuario</t>
  </si>
  <si>
    <t>Fab.Acess.do Vestuario</t>
  </si>
  <si>
    <t>Fab.Bijuteria</t>
  </si>
  <si>
    <t>Fab.Tecidos e Art.de Malha</t>
  </si>
  <si>
    <t>Fabr. de acessórios do vestuário, exceto para segurança e proteção</t>
  </si>
  <si>
    <t>Fabr.Aviamentos p/costura</t>
  </si>
  <si>
    <t>Fabricação de artefatos de joalheria e ourivesaria</t>
  </si>
  <si>
    <t>Fabricação de roupas de proteção e segurança e resistentes a fogo</t>
  </si>
  <si>
    <t>Facção de peças do vestuário, exceto roupas íntimas</t>
  </si>
  <si>
    <t>Estamparia e texturização em fios, tecidos, artefatos têxteis e peças do vest.</t>
  </si>
  <si>
    <t>Fab.Embalagens de Papel e Papelao</t>
  </si>
  <si>
    <t>Fab. Embalagens de madeira, barris, toneis e pipas</t>
  </si>
  <si>
    <t>Fab.Embalagens de Madeira, Barris, Toneis, Pipas</t>
  </si>
  <si>
    <t>Fab. de Embalagens de Material de Plástico</t>
  </si>
  <si>
    <r>
      <t>Tabela 60 – FNE – Contratações</t>
    </r>
    <r>
      <rPr>
        <b/>
        <vertAlign val="superscript"/>
        <sz val="11"/>
        <color indexed="8"/>
        <rFont val="Calibri"/>
        <family val="2"/>
      </rPr>
      <t>(1)</t>
    </r>
    <r>
      <rPr>
        <b/>
        <sz val="11"/>
        <color indexed="8"/>
        <rFont val="Calibri"/>
        <family val="2"/>
      </rPr>
      <t xml:space="preserve"> no Segmento de Fármacos, Eletroeletrônica, Biocombustíveis, Informática e Comunicação – Exercício de 2015</t>
    </r>
  </si>
  <si>
    <t>Apar/Instrum.p/Uso medico-hospitalares, odontologicos e de laboratorios e ap</t>
  </si>
  <si>
    <t>Fab.Apar/Instrum/Materiais opticos, fotograficos e cinematograficos</t>
  </si>
  <si>
    <t>Fab.Computadores</t>
  </si>
  <si>
    <t>Fab.Eqpto Perifericos p/ maquinas eletronicas de tratamento de informacoes</t>
  </si>
  <si>
    <t>Fab.Eqpto.Eletricos p/fins industr, comerc. e tecnicos</t>
  </si>
  <si>
    <t>Fab.Material Eletrico e de Comunicacao</t>
  </si>
  <si>
    <t>Fab.Material Eletronico</t>
  </si>
  <si>
    <t>Fab.Transformadores, Indutores, Conversores, Sincronizadores e semelhantes</t>
  </si>
  <si>
    <t>Reprodução de software em qualquer suporte</t>
  </si>
  <si>
    <t>Municípios</t>
  </si>
  <si>
    <t>Quant</t>
  </si>
  <si>
    <t>% Valor</t>
  </si>
  <si>
    <t>Curaçá</t>
  </si>
  <si>
    <t>Lagoa Grande</t>
  </si>
  <si>
    <t>Orocó</t>
  </si>
  <si>
    <t>Santa Maria da Boa Vista</t>
  </si>
  <si>
    <t>Sobradinho</t>
  </si>
  <si>
    <t>Até R$ 1.000,00</t>
  </si>
  <si>
    <t>Acima de R$ 100.000,00 até R$ 200.000,00</t>
  </si>
  <si>
    <t>Acima de R$ 200.000,00 até R$ 500.000,00</t>
  </si>
  <si>
    <t>Acima de R$ 500.000,00 até R$ 1.000.000,00</t>
  </si>
  <si>
    <t xml:space="preserve">Acima de R$ 10.000.000,00 </t>
  </si>
  <si>
    <r>
      <t>FNE - Contratações</t>
    </r>
    <r>
      <rPr>
        <vertAlign val="superscript"/>
        <sz val="12"/>
        <color indexed="16"/>
        <rFont val="Arial"/>
        <family val="2"/>
      </rPr>
      <t>(¹)</t>
    </r>
    <r>
      <rPr>
        <sz val="12"/>
        <color indexed="16"/>
        <rFont val="Arial"/>
        <family val="2"/>
      </rPr>
      <t xml:space="preserve"> no PRONAF por UF</t>
    </r>
  </si>
  <si>
    <t>Tabela 30</t>
  </si>
  <si>
    <r>
      <t xml:space="preserve">FNE - Contratações </t>
    </r>
    <r>
      <rPr>
        <vertAlign val="superscript"/>
        <sz val="12"/>
        <color indexed="16"/>
        <rFont val="Arial"/>
        <family val="2"/>
      </rPr>
      <t>(1)</t>
    </r>
    <r>
      <rPr>
        <sz val="12"/>
        <color indexed="16"/>
        <rFont val="Arial"/>
        <family val="2"/>
      </rPr>
      <t xml:space="preserve"> por Região</t>
    </r>
  </si>
  <si>
    <r>
      <t>Nota: (1</t>
    </r>
    <r>
      <rPr>
        <sz val="8"/>
        <rFont val="Arial"/>
        <family val="2"/>
      </rPr>
      <t>) Por "Contratações" entende-se a realização de operações, incluindo parcelas desembolsadas e a desembolsar.</t>
    </r>
  </si>
  <si>
    <t>Tabela 32</t>
  </si>
  <si>
    <t>FNE - Contratações por Programa e Faixa de Valor</t>
  </si>
  <si>
    <t>(FNE Setor Industrial + FNE Setor Turismo) / PIB Setor Secundário</t>
  </si>
  <si>
    <r>
      <t>FNE - Contratações</t>
    </r>
    <r>
      <rPr>
        <vertAlign val="superscript"/>
        <sz val="12"/>
        <color indexed="16"/>
        <rFont val="Arial"/>
        <family val="2"/>
      </rPr>
      <t>(1)</t>
    </r>
    <r>
      <rPr>
        <sz val="12"/>
        <color indexed="16"/>
        <rFont val="Arial"/>
        <family val="2"/>
      </rPr>
      <t xml:space="preserve"> por UF e Programa</t>
    </r>
  </si>
  <si>
    <r>
      <t>FNE - Contratações</t>
    </r>
    <r>
      <rPr>
        <vertAlign val="superscript"/>
        <sz val="12"/>
        <color indexed="16"/>
        <rFont val="Arial"/>
        <family val="2"/>
      </rPr>
      <t>(1)</t>
    </r>
    <r>
      <rPr>
        <sz val="12"/>
        <color indexed="16"/>
        <rFont val="Arial"/>
        <family val="2"/>
      </rPr>
      <t xml:space="preserve"> por UF e Setor</t>
    </r>
  </si>
  <si>
    <r>
      <t>FNE - Contratações</t>
    </r>
    <r>
      <rPr>
        <vertAlign val="superscript"/>
        <sz val="12"/>
        <color indexed="16"/>
        <rFont val="Arial"/>
        <family val="2"/>
      </rPr>
      <t>(1)</t>
    </r>
    <r>
      <rPr>
        <sz val="12"/>
        <color indexed="16"/>
        <rFont val="Arial"/>
        <family val="2"/>
      </rPr>
      <t xml:space="preserve"> por UF e Porte</t>
    </r>
  </si>
  <si>
    <t>FNE - Beneficiários que obtiveram empréstimos do FNE pela primeira vez</t>
  </si>
  <si>
    <t/>
  </si>
  <si>
    <t>Tabela A.10.3</t>
  </si>
  <si>
    <t xml:space="preserve">Tabela A.10.1 </t>
  </si>
  <si>
    <t>Tabela A.10.2</t>
  </si>
  <si>
    <t>FNE - Contratações por UF e Tipologia</t>
  </si>
  <si>
    <t>Tabela A.10.4</t>
  </si>
  <si>
    <t>Tabela A.10.5</t>
  </si>
  <si>
    <t>Tabela A.10.6</t>
  </si>
  <si>
    <t>Tabela A.10.7</t>
  </si>
  <si>
    <t>FNE - Saldos das Aplicações e Atraso por Unidade Federativa do Empreendimento</t>
  </si>
  <si>
    <t>Posição: 31.12.2015</t>
  </si>
  <si>
    <t>Unidade Federativa</t>
  </si>
  <si>
    <t>Saldo das Aplicações</t>
  </si>
  <si>
    <r>
      <t xml:space="preserve">Aplicações (%) </t>
    </r>
    <r>
      <rPr>
        <b/>
        <vertAlign val="superscript"/>
        <sz val="11"/>
        <color indexed="9"/>
        <rFont val="Trebuchet MS"/>
        <family val="2"/>
      </rPr>
      <t>(2)</t>
    </r>
  </si>
  <si>
    <r>
      <t xml:space="preserve">Saldo em Atraso </t>
    </r>
    <r>
      <rPr>
        <b/>
        <vertAlign val="superscript"/>
        <sz val="11"/>
        <color indexed="9"/>
        <rFont val="Trebuchet MS"/>
        <family val="2"/>
      </rPr>
      <t>(3)</t>
    </r>
  </si>
  <si>
    <r>
      <t xml:space="preserve">Inadimplência (%) </t>
    </r>
    <r>
      <rPr>
        <b/>
        <vertAlign val="superscript"/>
        <sz val="11"/>
        <color indexed="9"/>
        <rFont val="Trebuchet MS"/>
        <family val="2"/>
      </rPr>
      <t>(4)</t>
    </r>
  </si>
  <si>
    <r>
      <t xml:space="preserve">Inadimplência da UF (%) </t>
    </r>
    <r>
      <rPr>
        <b/>
        <vertAlign val="superscript"/>
        <sz val="11"/>
        <color indexed="9"/>
        <rFont val="Trebuchet MS"/>
        <family val="2"/>
      </rPr>
      <t>(5)</t>
    </r>
  </si>
  <si>
    <t>Fonte: BNB - Ambiente de Controle Financeiro de Operações de Crédito.</t>
  </si>
  <si>
    <t>Notas: (1) Inclusive o saldo de recursos aplicados dos Repasses ao BNB com base no Art. 9º-A da Lei nº 7.827/1989. (2) Percentual das aplicações da UF em relação ao total das aplicações. (3) Total das parcelas em atraso da UF. (4) Percentual do saldo em atraso da UF em relação ao saldo total das aplicações. (5) Percentual do saldo em atraso da UF em relação ao saldo de aplicações da UF.</t>
  </si>
  <si>
    <t>Tabela A.10.8</t>
  </si>
  <si>
    <r>
      <t xml:space="preserve">FNE - Saldos das Aplicações e Atraso por Setor </t>
    </r>
    <r>
      <rPr>
        <vertAlign val="superscript"/>
        <sz val="12"/>
        <color rgb="FFA6193C"/>
        <rFont val="Trebuchet MS"/>
        <family val="2"/>
      </rPr>
      <t>(1)</t>
    </r>
  </si>
  <si>
    <r>
      <t xml:space="preserve">Inadimplência do Setor (%) </t>
    </r>
    <r>
      <rPr>
        <b/>
        <vertAlign val="superscript"/>
        <sz val="11"/>
        <color indexed="9"/>
        <rFont val="Trebuchet MS"/>
        <family val="2"/>
      </rPr>
      <t>(5)</t>
    </r>
  </si>
  <si>
    <t>Financ. à Exportação</t>
  </si>
  <si>
    <t>Notas: (1) Inclusive o saldo de recursos aplicados dos Repasses ao BNB com base no Art. 9º-A da Lei nº 7.827/1989. (2) Percentual das aplicações do setor em relação ao total das aplicações. (3) Total das parcelas em atraso do setor. (4) Percentual do saldo em atraso do setor em relação ao saldo total das aplicações. (5) Percentual do saldo em atraso do setor em relação ao saldo de aplicações do setor.</t>
  </si>
  <si>
    <t>Tabela A.10.9</t>
  </si>
  <si>
    <r>
      <t xml:space="preserve">FNE - Saldos das Aplicações e Atraso por Porte dos Beneficiários </t>
    </r>
    <r>
      <rPr>
        <vertAlign val="superscript"/>
        <sz val="12"/>
        <color rgb="FFA6193C"/>
        <rFont val="Trebuchet MS"/>
        <family val="2"/>
      </rPr>
      <t>(1)</t>
    </r>
  </si>
  <si>
    <r>
      <t xml:space="preserve">Inadimplência do Porte (%) </t>
    </r>
    <r>
      <rPr>
        <b/>
        <vertAlign val="superscript"/>
        <sz val="11"/>
        <color indexed="9"/>
        <rFont val="Trebuchet MS"/>
        <family val="2"/>
      </rPr>
      <t>(5)</t>
    </r>
  </si>
  <si>
    <t>Micro e Mini</t>
  </si>
  <si>
    <t>Pequeno-Médio</t>
  </si>
  <si>
    <t>Notas: (1) Inclusive o saldo de recursos aplicados dos Repasses ao BNB com base no Art. 9º-A da Lei nº 7.827/1989. (2) Percentual das aplicações do porte em relação ao total das aplicações. (3) Total das parcelas em atraso do segmento. (4) Percentual do saldo em atraso do porte em relação ao saldo total das aplicações. (5) Percentual do saldo em atraso do porte em relação ao saldo de aplicações do porte.</t>
  </si>
  <si>
    <t>Tabela A.10.10</t>
  </si>
  <si>
    <t>FNE-PRONAF - Saldos das Aplicações e Atraso por Unidade Federativa do Empreendimento</t>
  </si>
  <si>
    <t xml:space="preserve">FNE-OP.PRONAF ADQ.-LEI 11322  </t>
  </si>
  <si>
    <t xml:space="preserve">FNE-OP.PRONAF CONV-LEI10464   </t>
  </si>
  <si>
    <t xml:space="preserve">FNE-OP.PRONAF CONV-LEI10696   </t>
  </si>
  <si>
    <t xml:space="preserve">OP.FAT PRONAF RECLASSIF-FNE   </t>
  </si>
  <si>
    <t>PROCIR/PRONAF-A-RECUP/RISC.FNE</t>
  </si>
  <si>
    <t xml:space="preserve">PROCIR/PRONAF-JOVEM/RISCO-FNE </t>
  </si>
  <si>
    <t xml:space="preserve">PRONAF (FNE)                  </t>
  </si>
  <si>
    <t>PRONAF GRUPO "C" - FNE</t>
  </si>
  <si>
    <t>PRONAF GRUPO "D" - FNE</t>
  </si>
  <si>
    <t xml:space="preserve">PRONAF GRUPO "E" - FNE        </t>
  </si>
  <si>
    <t>PRONAF/ENCHENTE 2010-AL/PE-FNE</t>
  </si>
  <si>
    <t xml:space="preserve">PRONAF/ESTIAGEM 2010-FNE      </t>
  </si>
  <si>
    <t xml:space="preserve">PRONAF/SECA-2012/CUST./GRP.B  </t>
  </si>
  <si>
    <t xml:space="preserve">PRONAF/SECA-2012/CUST./OUTROS </t>
  </si>
  <si>
    <t xml:space="preserve">PRONAF-A/FAT OP.ADQ.P/FNE     </t>
  </si>
  <si>
    <t xml:space="preserve">PRONAF-EMERGENCIAL/2009       </t>
  </si>
  <si>
    <t>PRONAF-GRUPO A/RECUPERACAO/FNE</t>
  </si>
  <si>
    <t>PRONAF-S.ARID/SECA-2012-OUTROS</t>
  </si>
  <si>
    <t>PRONAF-S.ARIDO/SECA-2012-GRP.B</t>
  </si>
  <si>
    <t>Tabela A.10.11</t>
  </si>
  <si>
    <r>
      <t>FNE - Saldos das Aplicações e Atraso por Tipo de Risco</t>
    </r>
    <r>
      <rPr>
        <vertAlign val="superscript"/>
        <sz val="12"/>
        <color rgb="FFA6193C"/>
        <rFont val="Trebuchet MS"/>
        <family val="2"/>
      </rPr>
      <t xml:space="preserve"> (1)</t>
    </r>
  </si>
  <si>
    <t>Tipo de Risco</t>
  </si>
  <si>
    <r>
      <t xml:space="preserve">Inadimplência do Risco (%) </t>
    </r>
    <r>
      <rPr>
        <b/>
        <vertAlign val="superscript"/>
        <sz val="11"/>
        <color indexed="9"/>
        <rFont val="Trebuchet MS"/>
        <family val="2"/>
      </rPr>
      <t>(5)</t>
    </r>
  </si>
  <si>
    <t>Integral BNB</t>
  </si>
  <si>
    <t>Exclusivo FNE</t>
  </si>
  <si>
    <t>Compartilhado FNE / BNB</t>
  </si>
  <si>
    <t>Fonte: BNB – Ambiente de Controle Financeiro de Operações de Crédito.</t>
  </si>
  <si>
    <t>Notas: (1) Inclusive o saldo de recursos aplicados dos Repasses ao BNB com base no Art. 9º-A da Lei nº 7.827/1989. (2) Percentual das aplicações do tipo de risco em relação ao total das aplicações. (3) Total das parcelas em atraso do tipo de risco. (4) Percentual do saldo em atraso do tipo de risco em relação ao saldo total das aplicações. (5) Percentual do saldo em atraso do tipo de risco em relação ao saldo de aplicações do tipo de risco.</t>
  </si>
  <si>
    <t>Tabela A.10.12</t>
  </si>
  <si>
    <r>
      <t>FNE - Saldos das Aplicações e Atraso por Nota de Risco</t>
    </r>
    <r>
      <rPr>
        <vertAlign val="superscript"/>
        <sz val="12"/>
        <color rgb="FFA6193C"/>
        <rFont val="Trebuchet MS"/>
        <family val="2"/>
      </rPr>
      <t xml:space="preserve"> (1)</t>
    </r>
  </si>
  <si>
    <r>
      <t xml:space="preserve">Nota de Risco </t>
    </r>
    <r>
      <rPr>
        <b/>
        <vertAlign val="superscript"/>
        <sz val="11"/>
        <color indexed="9"/>
        <rFont val="Trebuchet MS"/>
        <family val="2"/>
      </rPr>
      <t>(2)</t>
    </r>
  </si>
  <si>
    <r>
      <t xml:space="preserve">Aplicações (%) </t>
    </r>
    <r>
      <rPr>
        <b/>
        <vertAlign val="superscript"/>
        <sz val="11"/>
        <color indexed="9"/>
        <rFont val="Trebuchet MS"/>
        <family val="2"/>
      </rPr>
      <t>(3)</t>
    </r>
  </si>
  <si>
    <r>
      <t xml:space="preserve">Saldo em Atraso </t>
    </r>
    <r>
      <rPr>
        <b/>
        <vertAlign val="superscript"/>
        <sz val="11"/>
        <color indexed="9"/>
        <rFont val="Trebuchet MS"/>
        <family val="2"/>
      </rPr>
      <t>(4)</t>
    </r>
  </si>
  <si>
    <r>
      <t xml:space="preserve">Inadimplência (%) </t>
    </r>
    <r>
      <rPr>
        <b/>
        <vertAlign val="superscript"/>
        <sz val="11"/>
        <color indexed="9"/>
        <rFont val="Trebuchet MS"/>
        <family val="2"/>
      </rPr>
      <t>(5)</t>
    </r>
  </si>
  <si>
    <r>
      <t xml:space="preserve">Inadimplência da Nota de Risco (%) </t>
    </r>
    <r>
      <rPr>
        <b/>
        <vertAlign val="superscript"/>
        <sz val="11"/>
        <color indexed="9"/>
        <rFont val="Trebuchet MS"/>
        <family val="2"/>
      </rPr>
      <t>(6)</t>
    </r>
  </si>
  <si>
    <t>AA</t>
  </si>
  <si>
    <t>A</t>
  </si>
  <si>
    <t>B</t>
  </si>
  <si>
    <t>C</t>
  </si>
  <si>
    <t>D</t>
  </si>
  <si>
    <t>E</t>
  </si>
  <si>
    <t>F</t>
  </si>
  <si>
    <t>G</t>
  </si>
  <si>
    <t>H</t>
  </si>
  <si>
    <t>FONTE: Ambiente de Controle Financeiro de Operações de Crédito e Ambiente de Gestão de Riscos.</t>
  </si>
  <si>
    <t>Notas: (1) Inclusive o saldo de recursos aplicados dos Repasses ao BNB com base no Art. 9º-A da Lei nº 7.827/1989. (2) Conforme Resolução CMN Nº 2.682/1999; (3) Percentual das aplicações da nota de risco em relação ao total das aplicações. (3) Total das parcelas em atraso da nota de risco. (4) Percentual do saldo em atraso da nota de risco em relação ao saldo total das aplicações. (5) Percentual do saldo em atraso da nota de risco em relação ao saldo de aplicações da nota de risco.</t>
  </si>
  <si>
    <t>Tabela A.10.13</t>
  </si>
  <si>
    <t>FNE - MOVIMENTAÇÃO DAS PROVISÕES PARA PERDAS EM OPERAÇÕES DE CRÉDITO</t>
  </si>
  <si>
    <t>Exercícios 2014 e 2015</t>
  </si>
  <si>
    <t>Especificação</t>
  </si>
  <si>
    <t>31.12.2015</t>
  </si>
  <si>
    <t>31.12.2014</t>
  </si>
  <si>
    <t>Saldo Inicial da Provisão para Perdas em Operações de Créditos</t>
  </si>
  <si>
    <t xml:space="preserve">      . Risco Integral do FNE</t>
  </si>
  <si>
    <t xml:space="preserve">      . Risco Compartilhado</t>
  </si>
  <si>
    <t>(+) Constituição de Provisão Líquida no Exercício</t>
  </si>
  <si>
    <t>Provisão Líquida por Deságio - Operações Adquiridas com base na Lei nº 11.322</t>
  </si>
  <si>
    <t>. Risco Integral do FNE</t>
  </si>
  <si>
    <t>Despesa de Provisão para Perdas em Operações de Crédito</t>
  </si>
  <si>
    <t xml:space="preserve">  . Provisão por Atraso/Renegociações </t>
  </si>
  <si>
    <t xml:space="preserve">  . Ajustes de Provisão por Deságio</t>
  </si>
  <si>
    <t>. Risco Compartilhado</t>
  </si>
  <si>
    <t xml:space="preserve">  . Ajustes de Provisão de Operações Irregulares</t>
  </si>
  <si>
    <t>(-) Créditos Baixados como Prejuízo no Exercício</t>
  </si>
  <si>
    <t>(=) Saldo Final da Provisão para Perdas em Operações de Crédito</t>
  </si>
  <si>
    <t>Tabela A.10.14</t>
  </si>
  <si>
    <t xml:space="preserve">FNE - DEMONSTRATIVO DO FLUXO DE CAIXA - PREVISTO X REALIZADO </t>
  </si>
  <si>
    <t>PREVISTO</t>
  </si>
  <si>
    <t>REALIZADO</t>
  </si>
  <si>
    <t>Disponibilidades Inicial (A)</t>
  </si>
  <si>
    <t>Entradas de Recursos (B)</t>
  </si>
  <si>
    <t>Transferências da STN/Ministério da Integração Nacional</t>
  </si>
  <si>
    <t>Reembolsos Ops. Crédito/Repasses (Líquido Bônus Adimplência)</t>
  </si>
  <si>
    <t>Recebimentos para Liquidação de Operações FNE - Art. 9º da Lei 12.844 (3)</t>
  </si>
  <si>
    <t>Remuneração das Disponibilidades</t>
  </si>
  <si>
    <t>Ressarcimento Parcelas de Risco pelo BNB</t>
  </si>
  <si>
    <t>Recebimentos de Créditos Baixados como Prejuízo</t>
  </si>
  <si>
    <t>Cobertura Ops PROAGRO/Fundos de Aval/Prog Terra/Outros</t>
  </si>
  <si>
    <t>Remissão/Rebate Ops FNE - Lei 12.249 - Ônus BNB</t>
  </si>
  <si>
    <t>Saídas de Recursos (C)</t>
  </si>
  <si>
    <t>Desembolsos de Parcelas de Operações de Crédito, exclusive Op. Lei 12.844</t>
  </si>
  <si>
    <t>Taxa de Administração</t>
  </si>
  <si>
    <t>Del credere BNB</t>
  </si>
  <si>
    <t>Del credere Instituições Operadoras</t>
  </si>
  <si>
    <t>Despesa c/Ops Outras Fontes</t>
  </si>
  <si>
    <t>Remuneração do BNB sobre operações PRONAF</t>
  </si>
  <si>
    <t>Despesa Auditoria Externa</t>
  </si>
  <si>
    <t>Remissão/Rebate Ops FNE - Lei nº 12.249 - Ônus FNE</t>
  </si>
  <si>
    <t>Bônus Adimplência Ops Repasses BNB - Art. 9º A Lei nº 7.827</t>
  </si>
  <si>
    <t>Devolução Valores ao BNB por Renegociação Ops em Prejuízo</t>
  </si>
  <si>
    <t>Desembolsos para Liquidação de Operações FNE - Art. 9º da Lei 12.844</t>
  </si>
  <si>
    <t>Desemblsos para Liquidação de Operações de Outras Fontes - Art. 9º Lei 12.844 (4)</t>
  </si>
  <si>
    <t>Conversão de Ops Outras Fontes p/FNE - Leis 10.464/10.696</t>
  </si>
  <si>
    <t>Reclassificações de Ops pela Lei nº 11.775 - BNB</t>
  </si>
  <si>
    <t>Outros itens</t>
  </si>
  <si>
    <t>Disponibilidade Final ( A + B + C)</t>
  </si>
  <si>
    <t>Tabela A.10.15</t>
  </si>
  <si>
    <t>Desconto Op Prog Rec Lav C Baiana - DESENBAHIA - Lei 11.775</t>
  </si>
  <si>
    <t>FNE - DEMONSTRATIVO DO FLUXO DE CAIXA</t>
  </si>
  <si>
    <t>Tabela A.10.16</t>
  </si>
  <si>
    <t>FNE - DEMONSTRATIVO DAS RECEITAS E DESPESAS</t>
  </si>
  <si>
    <t>Discriminação</t>
  </si>
  <si>
    <t>Receitas</t>
  </si>
  <si>
    <t>Rendas de Operações de Crédito</t>
  </si>
  <si>
    <t>Juros, Comissões e Corr. Monetária Prefixada</t>
  </si>
  <si>
    <t>Correção Monetária Prefixada</t>
  </si>
  <si>
    <t>Remuneração Rec. Disponíveis-Repas.Lei 7828-Art 9A</t>
  </si>
  <si>
    <t>Remuneração de Títulos da Dívida Agrária</t>
  </si>
  <si>
    <t>Recuperação de Créditos Baixados como Prejuízo</t>
  </si>
  <si>
    <t>Ajustes de Valores Decorrentes da Alienação de Bens</t>
  </si>
  <si>
    <r>
      <t xml:space="preserve">Despesa de </t>
    </r>
    <r>
      <rPr>
        <i/>
        <sz val="11"/>
        <color indexed="8"/>
        <rFont val="Trebuchet MS"/>
        <family val="2"/>
      </rPr>
      <t xml:space="preserve">del credere </t>
    </r>
    <r>
      <rPr>
        <sz val="11"/>
        <color indexed="8"/>
        <rFont val="Trebuchet MS"/>
        <family val="2"/>
      </rPr>
      <t>do Banco do Nordeste</t>
    </r>
  </si>
  <si>
    <r>
      <t xml:space="preserve">Despesa de  </t>
    </r>
    <r>
      <rPr>
        <i/>
        <sz val="11"/>
        <color indexed="8"/>
        <rFont val="Trebuchet MS"/>
        <family val="2"/>
      </rPr>
      <t xml:space="preserve">del credere </t>
    </r>
    <r>
      <rPr>
        <sz val="11"/>
        <color indexed="8"/>
        <rFont val="Trebuchet MS"/>
        <family val="2"/>
      </rPr>
      <t>de Outras Instituições</t>
    </r>
  </si>
  <si>
    <t>Despesas de Atualização Monetária Negativa</t>
  </si>
  <si>
    <t>Despesas de Descontos Concedidos em Renegociações</t>
  </si>
  <si>
    <t>Despesas de Rebate/Bônus Adimplência-Ops Contratadas p/Banco</t>
  </si>
  <si>
    <t>Despesas Rebates/Bônus Adimplência-Repasses Lei 7.827-Art. 9º-A</t>
  </si>
  <si>
    <t>Despesas de Rebate/Bônus Adimplência-Repasses a Outras Instituições</t>
  </si>
  <si>
    <t>Despesas de Rebate Principal Ops. c/Rec. FAT-BNDES - Lei  Nº 10.193, de 14.02.2001</t>
  </si>
  <si>
    <t>Despesa com Operações FNE Honradas pelo BNB - Rebate/Recálculo Res. 4.298/4.299</t>
  </si>
  <si>
    <t>Despesas com Operações Outras Fontes Aquisições Lei Nº 11.322, de  13.07.2006</t>
  </si>
  <si>
    <t>Despesa com Outras Operações BNB – Rebate Lei Nº 12.249, de 11.06.2010</t>
  </si>
  <si>
    <t>Despesa com Operações do FNE Honradas pelo Banco – Remissão Lei Nº 12.249</t>
  </si>
  <si>
    <t>Despesa com Operações do FNE Honradas pelo Banco – Rebate Lei Nº 12.249/12.844</t>
  </si>
  <si>
    <t>Outras Receitas</t>
  </si>
  <si>
    <t>Despesas</t>
  </si>
  <si>
    <t>Remuneração do BNB sobre Saldos Ops PRONAF</t>
  </si>
  <si>
    <t>Remuneração do BNB sobre Desembolsos Ops PRONAF</t>
  </si>
  <si>
    <t>Prêmio de Desempenho do BNB sobre Ops PRONAF</t>
  </si>
  <si>
    <t>Provisão para Créditos de Liquidação Duvidosa e Desvalorização de Títulos</t>
  </si>
  <si>
    <t>Despesa de Auditoria</t>
  </si>
  <si>
    <t>Resultado do Exercício</t>
  </si>
  <si>
    <t>FNE - DEMONSTRATIVO DAS VARIAÇÕES PATRIMONIAIS</t>
  </si>
  <si>
    <t>Patrimônio Inicial</t>
  </si>
  <si>
    <t>Obrigações/Provisão para Pagamentos a Efetuar</t>
  </si>
  <si>
    <t>Ingressos Constitucionais</t>
  </si>
  <si>
    <t>Remuneração Recs Disponíveis Repasse BNB</t>
  </si>
  <si>
    <t>Receitas Op Crédito/Repasses/PROAGRO</t>
  </si>
  <si>
    <t>Aplicações Diretas</t>
  </si>
  <si>
    <t>Repasses</t>
  </si>
  <si>
    <t>BNB</t>
  </si>
  <si>
    <t>Outras Instituições</t>
  </si>
  <si>
    <t>PROAGRO a Receber</t>
  </si>
  <si>
    <t>Remuneração sobre Títulos da Dívida Agrária</t>
  </si>
  <si>
    <t>Reversão de Provisões Operacionais/Desvalorização Títulos</t>
  </si>
  <si>
    <t>Recuperação de Créditos Baixados</t>
  </si>
  <si>
    <t>Remuneração do BNB sobre Desembolsos PRONAF</t>
  </si>
  <si>
    <t>Prêmio de Performance do BNB Ops PRONAF</t>
  </si>
  <si>
    <t>Atualização Monetária Negativa</t>
  </si>
  <si>
    <t>Transferência de Del credere</t>
  </si>
  <si>
    <t>Banco do Nordeste</t>
  </si>
  <si>
    <t>Descontos Concedidos em Renegociações</t>
  </si>
  <si>
    <t>Ops.FNE Honradas p/BNB-Rebate/Recalc.Res.4298/4299</t>
  </si>
  <si>
    <t>Despesa Provisão p/Perdas Operações Crédito</t>
  </si>
  <si>
    <t>Operações com Risco Integral do FNE</t>
  </si>
  <si>
    <t>Operações com Risco Compartilhado</t>
  </si>
  <si>
    <t>Desvalorização de Títulos e Valores Mobiliários</t>
  </si>
  <si>
    <t>Bônus/Rebates</t>
  </si>
  <si>
    <t>Repasses ao BNB</t>
  </si>
  <si>
    <t xml:space="preserve">Repasses a Outras Instituições </t>
  </si>
  <si>
    <t>FAT-BNDES-Estiagem/98</t>
  </si>
  <si>
    <t>Desps c/Ops Outras Fontes-Conv/Aquis/Reclassificações</t>
  </si>
  <si>
    <t>Desps c/Ops FNE Honradas BNB - Remissão Lei 12.249</t>
  </si>
  <si>
    <t>Desps c/Ops FNE Honradas BNB - Rebate Lei 12.249</t>
  </si>
  <si>
    <t>Desps c/Outras Operações - BNB - Rebate Lei 12.249</t>
  </si>
  <si>
    <t>Ajustes Devedores de Exercícios Anteriores</t>
  </si>
  <si>
    <t>Ajustes Credores de Vrs. Decorrentes da Alien. Bens</t>
  </si>
  <si>
    <t xml:space="preserve"> </t>
  </si>
  <si>
    <t>Patrimônio Final</t>
  </si>
  <si>
    <t>Tabela A.10.17</t>
  </si>
  <si>
    <t>Tabela A.10.18</t>
  </si>
  <si>
    <t>UF/ SETOR</t>
  </si>
  <si>
    <t xml:space="preserve">Indústria </t>
  </si>
  <si>
    <t xml:space="preserve">Agroindústria </t>
  </si>
  <si>
    <t xml:space="preserve">Comércio e Serviços </t>
  </si>
  <si>
    <t>Valor das Contratações</t>
  </si>
  <si>
    <t>N° de Operações</t>
  </si>
  <si>
    <t>Ticket Médio</t>
  </si>
  <si>
    <t>TICKET MÉDIO DAS CONTRATAÇÕES POR ESTADO E SETOR</t>
  </si>
  <si>
    <t>Em R$ mil</t>
  </si>
  <si>
    <t>Tabela A.10.19</t>
  </si>
  <si>
    <t>Tabela 3</t>
  </si>
  <si>
    <t>FNE - Demonstrativo do Patrimônio Total</t>
  </si>
  <si>
    <t xml:space="preserve">                                                                                             </t>
  </si>
  <si>
    <t>(1) Até 31.12.2014</t>
  </si>
  <si>
    <t xml:space="preserve"> . Recebido da STN/Ministério da Integração Nacional </t>
  </si>
  <si>
    <t xml:space="preserve"> . Resultados Acumulados</t>
  </si>
  <si>
    <t xml:space="preserve"> . Provisões para Pagamentos a Efetuar</t>
  </si>
  <si>
    <t>(2) No Exercício de 2015</t>
  </si>
  <si>
    <t xml:space="preserve"> . Recebido da STN/Ministério da Integração Nacional</t>
  </si>
  <si>
    <t xml:space="preserve"> . Resultado do Exercício</t>
  </si>
  <si>
    <t xml:space="preserve"> . Ajustes de Resultados de Exercícios Anteriores</t>
  </si>
  <si>
    <t xml:space="preserve">Patrimônio Total em 30.06.2015    (1) + (2) </t>
  </si>
  <si>
    <t>Fonte: BNB – Ambiente de Controladoria.</t>
  </si>
  <si>
    <t>Tabela 4</t>
  </si>
  <si>
    <t>FNE - Ingressos Mensais de Recursos</t>
  </si>
  <si>
    <t>Mês</t>
  </si>
  <si>
    <t>Ingressos</t>
  </si>
  <si>
    <t>Ingressos Acumulados</t>
  </si>
  <si>
    <t>Janeiro</t>
  </si>
  <si>
    <t>Fevereiro</t>
  </si>
  <si>
    <t>Março</t>
  </si>
  <si>
    <t>Abril</t>
  </si>
  <si>
    <t>Maio</t>
  </si>
  <si>
    <t>Junho</t>
  </si>
  <si>
    <t>Julho</t>
  </si>
  <si>
    <t>Agosto</t>
  </si>
  <si>
    <t>Setembro</t>
  </si>
  <si>
    <t>Outubro</t>
  </si>
  <si>
    <t>Novembro</t>
  </si>
  <si>
    <t>Dezembro</t>
  </si>
  <si>
    <t>Tabela 5</t>
  </si>
  <si>
    <r>
      <t>FNE - Demonstrativo das Variações das  Disponibilidades</t>
    </r>
    <r>
      <rPr>
        <b/>
        <sz val="12"/>
        <color rgb="FFA6193C"/>
        <rFont val="Trebuchet MS"/>
        <family val="2"/>
      </rPr>
      <t xml:space="preserve">  </t>
    </r>
  </si>
  <si>
    <t>Disponibilidades em 31.12.2014</t>
  </si>
  <si>
    <t>Disponibilidades para Novas Contratações</t>
  </si>
  <si>
    <t>Recursos a Liberar por Conta de Financiamentos Contratados</t>
  </si>
  <si>
    <t>Disponibilidades em 31.12.2015</t>
  </si>
  <si>
    <t>Variação das Disponibilidades</t>
  </si>
  <si>
    <t xml:space="preserve">    - Transferências da STN/Ministério da Integração Nacional </t>
  </si>
  <si>
    <t xml:space="preserve">    - Remuneração das Disponibilidades </t>
  </si>
  <si>
    <t xml:space="preserve">    - Reembolsos Ops Crédito/Repasses (Líquido Bônus Adimplência)</t>
  </si>
  <si>
    <t xml:space="preserve">    - Ressarcimento Parcelas de Risco pelo BNB</t>
  </si>
  <si>
    <t xml:space="preserve">    - Recebimento de Valores Baixados como Prejuízo</t>
  </si>
  <si>
    <t xml:space="preserve">    - Cobertura Ops p/Fundos de Aval</t>
  </si>
  <si>
    <t xml:space="preserve">    - Cobertura de Ops pelo PROAGRO</t>
  </si>
  <si>
    <t xml:space="preserve">    - Dispensa/Remissão/Rebate Ops FNE - Lei 12.249 - Ônus BNB</t>
  </si>
  <si>
    <t xml:space="preserve">    - Desembolsos de Ops Crédito/Repasses Outras Instituições</t>
  </si>
  <si>
    <t xml:space="preserve">    - Taxa de Administração</t>
  </si>
  <si>
    <t xml:space="preserve">    - Del credere do BNB - Repasses Lei 7.827 Art. 9º A</t>
  </si>
  <si>
    <t xml:space="preserve">    - Del credere do BNB - Demais Operações</t>
  </si>
  <si>
    <t xml:space="preserve">    - Del credere Instituições Operadoras</t>
  </si>
  <si>
    <t xml:space="preserve">    - Remuneração do BNB sobre Saldos Operações PRONAF</t>
  </si>
  <si>
    <t xml:space="preserve">    - Remuneração do BNB sobre Desembolsos Operações PRONAF</t>
  </si>
  <si>
    <t xml:space="preserve">    - Prêmio de Desempenho do BNB sobre operações PRONAF</t>
  </si>
  <si>
    <t xml:space="preserve">    - Despesa Auditoria Externa</t>
  </si>
  <si>
    <t xml:space="preserve">    - Bônus Adimplência Ops Repasses BNB - Art 9º A Lei 7.827</t>
  </si>
  <si>
    <t xml:space="preserve">    - Dispensa/Remissão/Rebate Ops FNE - Lei 12.249 - Ônus FNE</t>
  </si>
  <si>
    <t xml:space="preserve">    - Dispensa/Remissão/Rebate Outras Ops - Lei 12.249 - Ônus FNE</t>
  </si>
  <si>
    <t xml:space="preserve">    - Conversão de Ops para o FNE - Lei 10.464/10.696</t>
  </si>
  <si>
    <t xml:space="preserve">    - Reclassificação Ops Outras Fontes para FNE - Lei 11.775</t>
  </si>
  <si>
    <t xml:space="preserve">    - Devolução ao BNB Ops PJ Renegociadas - Parcela Risco BNB</t>
  </si>
  <si>
    <t xml:space="preserve">    - Transferência para o BNB Encargos Inadimplência Recebidos</t>
  </si>
  <si>
    <t xml:space="preserve">    - Outros Eventos</t>
  </si>
  <si>
    <t>Tabela 6</t>
  </si>
  <si>
    <t>Outras Atividades</t>
  </si>
  <si>
    <t>Atividades não Agrícolas no Rural</t>
  </si>
  <si>
    <r>
      <t>Notas: (1)</t>
    </r>
    <r>
      <rPr>
        <sz val="8"/>
        <rFont val="Arial"/>
        <family val="2"/>
      </rPr>
      <t xml:space="preserve"> Por “Contratações” entende-se a realização de operações, incluindo parcelas desembolsadas e a desembolsar. </t>
    </r>
  </si>
  <si>
    <r>
      <t>FNE - Contratações</t>
    </r>
    <r>
      <rPr>
        <vertAlign val="superscript"/>
        <sz val="12"/>
        <color indexed="16"/>
        <rFont val="Arial"/>
        <family val="2"/>
      </rPr>
      <t>(¹)</t>
    </r>
    <r>
      <rPr>
        <sz val="12"/>
        <color indexed="16"/>
        <rFont val="Arial"/>
        <family val="2"/>
      </rPr>
      <t xml:space="preserve"> no PRONAF </t>
    </r>
    <r>
      <rPr>
        <vertAlign val="superscript"/>
        <sz val="12"/>
        <color indexed="16"/>
        <rFont val="Arial"/>
        <family val="2"/>
      </rPr>
      <t>(2)</t>
    </r>
  </si>
  <si>
    <r>
      <t>Nota: (1)</t>
    </r>
    <r>
      <rPr>
        <sz val="9"/>
        <rFont val="Arial"/>
        <family val="2"/>
      </rPr>
      <t xml:space="preserve"> Por “Contratações” entende-se a realização de operações, incluindo parcelas desembolsadas e a desembolsar. </t>
    </r>
    <r>
      <rPr>
        <b/>
        <sz val="9"/>
        <rFont val="Arial"/>
        <family val="2"/>
      </rPr>
      <t xml:space="preserve">(2) </t>
    </r>
    <r>
      <rPr>
        <sz val="9"/>
        <rFont val="Arial"/>
        <family val="2"/>
      </rPr>
      <t>Exclusive operações do Programa para a Recuperação da
Capacidade de Investimento no Setor Rural – Procir.</t>
    </r>
  </si>
  <si>
    <r>
      <t>Notas: (1)</t>
    </r>
    <r>
      <rPr>
        <sz val="8"/>
        <rFont val="Arial"/>
        <family val="2"/>
      </rPr>
      <t xml:space="preserve"> Por “Contratações” entende-se a realização de operações, incluindo parcelas desembolsadas e a desembolsar.</t>
    </r>
    <r>
      <rPr>
        <b/>
        <sz val="8"/>
        <rFont val="Arial"/>
        <family val="2"/>
      </rPr>
      <t/>
    </r>
  </si>
  <si>
    <r>
      <t>Nota: (1)</t>
    </r>
    <r>
      <rPr>
        <sz val="8"/>
        <rFont val="Arial"/>
        <family val="2"/>
      </rPr>
      <t xml:space="preserve"> Por "Contratações" entende-se a realização de operações, incluindo parcelas  desembolsadas e a desembolsar. </t>
    </r>
    <r>
      <rPr>
        <b/>
        <sz val="8"/>
        <rFont val="Arial"/>
        <family val="2"/>
      </rPr>
      <t/>
    </r>
  </si>
  <si>
    <t>Nota: (1) Por "Contratações" entende-se a realização de operações, incluindo parcelas desembolsadas e a desembolsar.</t>
  </si>
  <si>
    <t>Programação</t>
  </si>
  <si>
    <t>(A)</t>
  </si>
  <si>
    <t>(B)</t>
  </si>
  <si>
    <t>B/A</t>
  </si>
  <si>
    <t>Fontes: BNB – Ambiente de Controle de Operações de Crédito e BNB – Ambiente de Coordenação Executiva Institucional.</t>
  </si>
  <si>
    <r>
      <t xml:space="preserve">Contratações </t>
    </r>
    <r>
      <rPr>
        <b/>
        <vertAlign val="superscript"/>
        <sz val="10"/>
        <color theme="0"/>
        <rFont val="Arial"/>
        <family val="2"/>
      </rPr>
      <t>(1)</t>
    </r>
  </si>
  <si>
    <t>Exercício de 2015</t>
  </si>
  <si>
    <t xml:space="preserve">FNE – Valores programados e realizados por estado </t>
  </si>
  <si>
    <t>Comercial e serviços</t>
  </si>
  <si>
    <t xml:space="preserve">Tabela 22 </t>
  </si>
  <si>
    <t>FNE – Valores programados e realizados por Setor</t>
  </si>
  <si>
    <r>
      <t>Contratações</t>
    </r>
    <r>
      <rPr>
        <b/>
        <vertAlign val="superscript"/>
        <sz val="10"/>
        <color theme="0"/>
        <rFont val="Arial"/>
        <family val="2"/>
      </rPr>
      <t>(1)</t>
    </r>
  </si>
  <si>
    <t>Contratações</t>
  </si>
  <si>
    <t>Contratações / Valor mínimo de aplicação programado</t>
  </si>
  <si>
    <t>Nota: (1) Por "Contratações" entende-se a realização de operações, incluindo parcelas desembolsadas e a desembolsar; (2) Mínimo de 50% dos ingressos de recursos transferidos pela STN.</t>
  </si>
  <si>
    <r>
      <t>Percentual de contratações</t>
    </r>
    <r>
      <rPr>
        <b/>
        <vertAlign val="superscript"/>
        <sz val="12"/>
        <color rgb="FF871903"/>
        <rFont val="Times New Roman"/>
        <family val="1"/>
      </rPr>
      <t>(1)</t>
    </r>
    <r>
      <rPr>
        <b/>
        <sz val="12"/>
        <color rgb="FF871903"/>
        <rFont val="Times New Roman"/>
        <family val="1"/>
      </rPr>
      <t xml:space="preserve"> no semiárido em relação à meta programada </t>
    </r>
  </si>
  <si>
    <r>
      <t>Valor mínimo de aplicação programado</t>
    </r>
    <r>
      <rPr>
        <b/>
        <vertAlign val="superscript"/>
        <sz val="10"/>
        <color theme="0"/>
        <rFont val="Arial"/>
        <family val="2"/>
      </rPr>
      <t>(2)</t>
    </r>
  </si>
  <si>
    <t>Programado</t>
  </si>
  <si>
    <t xml:space="preserve"> (A)</t>
  </si>
  <si>
    <t xml:space="preserve"> (B)</t>
  </si>
  <si>
    <t xml:space="preserve">% </t>
  </si>
  <si>
    <t>(B/A)</t>
  </si>
  <si>
    <t>Águas Emendadas</t>
  </si>
  <si>
    <t>Chapada do Araripe</t>
  </si>
  <si>
    <t>Vale do Jequitinhonha/Mucuri</t>
  </si>
  <si>
    <t xml:space="preserve">Nota: (1) Por “Contratações” entende-se a realização de operações, incluindo parcelas desembolsadas e a desembolsar. </t>
  </si>
  <si>
    <t xml:space="preserve">Tabela 24 </t>
  </si>
  <si>
    <r>
      <t>FNE – Projetos contratados</t>
    </r>
    <r>
      <rPr>
        <b/>
        <vertAlign val="superscript"/>
        <sz val="10"/>
        <color rgb="FF871903"/>
        <rFont val="Arial"/>
        <family val="2"/>
      </rPr>
      <t>(1)</t>
    </r>
    <r>
      <rPr>
        <b/>
        <sz val="10"/>
        <color rgb="FF871903"/>
        <rFont val="Arial"/>
        <family val="2"/>
      </rPr>
      <t xml:space="preserve"> nas mesorregiões PNDR</t>
    </r>
  </si>
  <si>
    <t>Alta renda</t>
  </si>
  <si>
    <t>Tipologias prioritárias (baixa renda, estagnada, dinâmica)</t>
  </si>
  <si>
    <t>Fonte: BNB – Ambiente de Políticas de Desenvolvimento.</t>
  </si>
  <si>
    <t>Nota: (1) Por “Contratações” entende-se a realização de operações, incluindo parcelas desembolsadas e a desembolsar.</t>
  </si>
  <si>
    <t xml:space="preserve">Tabela 25 </t>
  </si>
  <si>
    <t>FNE – Valores programados e realizados por tipo de município</t>
  </si>
  <si>
    <t>Exercício de 2014</t>
  </si>
  <si>
    <t>Tabela 28</t>
  </si>
  <si>
    <t>Notas: (1) Por "Contratações" entende-se a realização de operações no período, incluindo parcelas desembolsadas e a desembolsar. (2) Os PIBs Rural e Industrial do Norte do Espírito Santo correspondem à soma dos municípios da área de atuação do FNE. (3) Os PIBs Rural e Industrial do Norte de Minas Gerais correspondem à soma dos municípios da área de atuação do FNE; (4) O PIB setorial corresponde ao Valor Adicionado Bruto de 2013 atualizado para dezembro de 2015 pelo IGP-DI da FGV.</t>
  </si>
  <si>
    <r>
      <t>Notas:  (1)</t>
    </r>
    <r>
      <rPr>
        <sz val="8"/>
        <rFont val="Arial"/>
        <family val="2"/>
      </rPr>
      <t xml:space="preserve"> Por "Contratações" entende-se a realização de operações no período, incluindo parcelas desembolsadas e a desembolsar.</t>
    </r>
    <r>
      <rPr>
        <b/>
        <sz val="8"/>
        <rFont val="Arial"/>
        <family val="2"/>
      </rPr>
      <t xml:space="preserve"> (2) </t>
    </r>
    <r>
      <rPr>
        <sz val="8"/>
        <rFont val="Arial"/>
        <family val="2"/>
      </rPr>
      <t>Exercícios de 1989 a 1990 - valores atualizados pelo BTN até 31.12.1990 e, em seguida, pelo IGP-DI, até 31.12.1995. Exercício de 1991 - valores atualizados pelo US$ (comercial venda) até 31.12.1991 e, em seguida, pelo IGP-DI, até 30.06.2012.  Exercícios de 1992 em diante - valores atualizados pelo IGP-DI.</t>
    </r>
  </si>
  <si>
    <t>Tabela 33</t>
  </si>
  <si>
    <t>Tabela 34</t>
  </si>
  <si>
    <t>Tabela 42</t>
  </si>
  <si>
    <t>Tabela 43</t>
  </si>
  <si>
    <t>Tabela 44</t>
  </si>
  <si>
    <t>Tabela 45</t>
  </si>
  <si>
    <t>Tabela 46</t>
  </si>
  <si>
    <t>Tabela 47</t>
  </si>
  <si>
    <t>Tabela 48</t>
  </si>
  <si>
    <t>Tabela 49</t>
  </si>
  <si>
    <r>
      <t>Tabela 50 – FNE – Contratações</t>
    </r>
    <r>
      <rPr>
        <b/>
        <vertAlign val="superscript"/>
        <sz val="12"/>
        <rFont val="Arial"/>
        <family val="2"/>
      </rPr>
      <t>(1)</t>
    </r>
    <r>
      <rPr>
        <b/>
        <sz val="12"/>
        <rFont val="Arial"/>
        <family val="2"/>
      </rPr>
      <t xml:space="preserve"> com Empreendedores Individuais – Exercício de 2015</t>
    </r>
  </si>
  <si>
    <r>
      <t>Tabela 51 – FNE – Projetos Contratados</t>
    </r>
    <r>
      <rPr>
        <b/>
        <vertAlign val="superscript"/>
        <sz val="12"/>
        <color indexed="8"/>
        <rFont val="Arial"/>
        <family val="2"/>
      </rPr>
      <t xml:space="preserve">(1) </t>
    </r>
    <r>
      <rPr>
        <b/>
        <sz val="12"/>
        <color indexed="8"/>
        <rFont val="Arial"/>
        <family val="2"/>
      </rPr>
      <t>na Indústria Automotiva – Exercício de 2015</t>
    </r>
  </si>
  <si>
    <r>
      <t>Nota: (1)</t>
    </r>
    <r>
      <rPr>
        <sz val="8"/>
        <rFont val="Arial"/>
        <family val="2"/>
      </rPr>
      <t xml:space="preserve"> Por “Contratações” entende-se a realização de operações, incluindo parcelas desembolsadas e a desembolsar. </t>
    </r>
    <r>
      <rPr>
        <b/>
        <sz val="8"/>
        <rFont val="Arial"/>
        <family val="2"/>
      </rPr>
      <t/>
    </r>
  </si>
  <si>
    <r>
      <t>Tabela 52 – FNE – Projetos Contratados</t>
    </r>
    <r>
      <rPr>
        <b/>
        <vertAlign val="superscript"/>
        <sz val="12"/>
        <rFont val="Calibri"/>
        <family val="2"/>
      </rPr>
      <t xml:space="preserve">(1) </t>
    </r>
    <r>
      <rPr>
        <b/>
        <sz val="12"/>
        <rFont val="Calibri"/>
        <family val="2"/>
      </rPr>
      <t>na Indústria Química, Petroquímica e Biocombustíveis – Exercício de 2015</t>
    </r>
  </si>
  <si>
    <r>
      <t>Tabela 53 – FNE – Projetos Contratados</t>
    </r>
    <r>
      <rPr>
        <b/>
        <vertAlign val="superscript"/>
        <sz val="12"/>
        <rFont val="Arial"/>
        <family val="2"/>
      </rPr>
      <t xml:space="preserve">(1) </t>
    </r>
    <r>
      <rPr>
        <b/>
        <sz val="12"/>
        <rFont val="Arial"/>
        <family val="2"/>
      </rPr>
      <t>nas indústrias Siderúrgica e Metal-Mecânica – Exercício de 2015</t>
    </r>
  </si>
  <si>
    <t>Tabela 54</t>
  </si>
  <si>
    <t>Quant. operações</t>
  </si>
  <si>
    <t>Ind. prod. minerais não metálicos</t>
  </si>
  <si>
    <t>Tabela 55</t>
  </si>
  <si>
    <r>
      <t>FNE – Projetos contratados</t>
    </r>
    <r>
      <rPr>
        <b/>
        <vertAlign val="superscript"/>
        <sz val="10"/>
        <rFont val="Arial"/>
        <family val="2"/>
      </rPr>
      <t xml:space="preserve">(1) </t>
    </r>
    <r>
      <rPr>
        <b/>
        <sz val="10"/>
        <rFont val="Arial"/>
        <family val="2"/>
      </rPr>
      <t>na indústria de beneficiamento e transformação de minerais não metálicos</t>
    </r>
  </si>
  <si>
    <t>Atividade                                   Produto</t>
  </si>
  <si>
    <t>Qtde. oper</t>
  </si>
  <si>
    <t>Indústria de Produtos Alimentares</t>
  </si>
  <si>
    <t>Cafe</t>
  </si>
  <si>
    <t>Fab. de outros produtos alimentícios</t>
  </si>
  <si>
    <t>Fab.biscoitos e bolachas</t>
  </si>
  <si>
    <t>Fab.derivados do cacau e balas, gomas de mascar</t>
  </si>
  <si>
    <t>Fab.doces caseiros</t>
  </si>
  <si>
    <t>Fab.especiarias, molhos, temperos e condimentos</t>
  </si>
  <si>
    <t>Fab.massas alimentícias</t>
  </si>
  <si>
    <t>Fab.prod. dietéticos, alimentos p/crianças e conservados</t>
  </si>
  <si>
    <t>Fab.prod.padaria, confeitaria e pastelaria</t>
  </si>
  <si>
    <t>Fabricação de produtos do laticínio, inclusive preparação do leite</t>
  </si>
  <si>
    <t>Fabricação de sucos de frutas, hortaliças e legumes, exceto concentrados</t>
  </si>
  <si>
    <t>Produção de alimentos a base de cereais ou de flocos de cereais</t>
  </si>
  <si>
    <t>Fabricação de sorvetes e outros gelados comestíveis</t>
  </si>
  <si>
    <t>Fabricação de alimentos e pratos prontos</t>
  </si>
  <si>
    <t>Indústria de Bebidas</t>
  </si>
  <si>
    <t>Engarrafamento e gaseificação de águas minerais</t>
  </si>
  <si>
    <t>Fab.malte, cervejas e chopes</t>
  </si>
  <si>
    <t>Fab.refrigerantes e refrescos</t>
  </si>
  <si>
    <t>Fabricação de outras aguardentes e bebidas destiladas</t>
  </si>
  <si>
    <t>Fabricação de águas envasadas</t>
  </si>
  <si>
    <t>Fab.vinho</t>
  </si>
  <si>
    <t>Tabela 56</t>
  </si>
  <si>
    <r>
      <t>FNE – Projetos contratados</t>
    </r>
    <r>
      <rPr>
        <b/>
        <vertAlign val="superscript"/>
        <sz val="10"/>
        <rFont val="Arial"/>
        <family val="2"/>
      </rPr>
      <t>(1)</t>
    </r>
    <r>
      <rPr>
        <b/>
        <sz val="10"/>
        <rFont val="Arial"/>
        <family val="2"/>
      </rPr>
      <t xml:space="preserve"> nas indústrias de produtos alimentares e de bebidas</t>
    </r>
  </si>
  <si>
    <t>Tabela 57</t>
  </si>
  <si>
    <r>
      <t>FNE - Projetos contratados</t>
    </r>
    <r>
      <rPr>
        <b/>
        <vertAlign val="superscript"/>
        <sz val="10"/>
        <rFont val="Arial"/>
        <family val="2"/>
      </rPr>
      <t>(1)</t>
    </r>
    <r>
      <rPr>
        <b/>
        <sz val="10"/>
        <rFont val="Arial"/>
        <family val="2"/>
      </rPr>
      <t xml:space="preserve"> nas Indústrias de calçados, mobiliários e vestuário e acessórios </t>
    </r>
  </si>
  <si>
    <t>Tabela 58</t>
  </si>
  <si>
    <t>Tabela 59</t>
  </si>
  <si>
    <t>Tabela 63</t>
  </si>
  <si>
    <r>
      <t xml:space="preserve">Tabela 70 </t>
    </r>
    <r>
      <rPr>
        <b/>
        <sz val="11"/>
        <rFont val="Arial"/>
        <family val="2"/>
      </rPr>
      <t>– FNE – Contratações</t>
    </r>
    <r>
      <rPr>
        <b/>
        <vertAlign val="superscript"/>
        <sz val="11"/>
        <rFont val="Arial"/>
        <family val="2"/>
      </rPr>
      <t>(1)</t>
    </r>
    <r>
      <rPr>
        <b/>
        <sz val="11"/>
        <rFont val="Arial"/>
        <family val="2"/>
      </rPr>
      <t xml:space="preserve"> na RIDE Petrolina-Juazeiro – Por Município – Exercício de 2015</t>
    </r>
  </si>
  <si>
    <r>
      <t xml:space="preserve">Tabela 71 </t>
    </r>
    <r>
      <rPr>
        <b/>
        <sz val="11"/>
        <rFont val="Arial"/>
        <family val="2"/>
      </rPr>
      <t>– FNE – Contratações</t>
    </r>
    <r>
      <rPr>
        <b/>
        <vertAlign val="superscript"/>
        <sz val="11"/>
        <rFont val="Arial"/>
        <family val="2"/>
      </rPr>
      <t>(1)</t>
    </r>
    <r>
      <rPr>
        <b/>
        <sz val="11"/>
        <rFont val="Arial"/>
        <family val="2"/>
      </rPr>
      <t xml:space="preserve"> na RIDE Petrolina-Juazeiro – Por Setor – Exercício de 2015</t>
    </r>
  </si>
  <si>
    <r>
      <t xml:space="preserve">Tabela 72 </t>
    </r>
    <r>
      <rPr>
        <b/>
        <sz val="11"/>
        <rFont val="Arial"/>
        <family val="2"/>
      </rPr>
      <t>– FNE – Contratações</t>
    </r>
    <r>
      <rPr>
        <b/>
        <vertAlign val="superscript"/>
        <sz val="11"/>
        <rFont val="Arial"/>
        <family val="2"/>
      </rPr>
      <t>(1)</t>
    </r>
    <r>
      <rPr>
        <b/>
        <sz val="11"/>
        <rFont val="Arial"/>
        <family val="2"/>
      </rPr>
      <t xml:space="preserve"> na RIDE Teresina-Timom – Por Município – Exercício de 2015</t>
    </r>
  </si>
  <si>
    <r>
      <t xml:space="preserve">Tabela 73 </t>
    </r>
    <r>
      <rPr>
        <b/>
        <sz val="11"/>
        <rFont val="Arial"/>
        <family val="2"/>
      </rPr>
      <t>– FNE – Contratações</t>
    </r>
    <r>
      <rPr>
        <b/>
        <vertAlign val="superscript"/>
        <sz val="11"/>
        <rFont val="Arial"/>
        <family val="2"/>
      </rPr>
      <t>(1)</t>
    </r>
    <r>
      <rPr>
        <b/>
        <sz val="11"/>
        <rFont val="Arial"/>
        <family val="2"/>
      </rPr>
      <t xml:space="preserve"> na RIDE Petrolina-Juazeiro – Por Setor – Exercício de 2015</t>
    </r>
  </si>
  <si>
    <r>
      <t xml:space="preserve">FNE - Saldos de Aplicações e Atraso por Porte dos Beneficiários </t>
    </r>
    <r>
      <rPr>
        <vertAlign val="superscript"/>
        <sz val="12"/>
        <color rgb="FFA6193C"/>
        <rFont val="Trebuchet MS"/>
        <family val="2"/>
      </rPr>
      <t>(1)</t>
    </r>
  </si>
  <si>
    <t>Saldo Aplicações</t>
  </si>
  <si>
    <r>
      <t xml:space="preserve">Inadimplência do Segmento (%) </t>
    </r>
    <r>
      <rPr>
        <b/>
        <vertAlign val="superscript"/>
        <sz val="11"/>
        <color indexed="9"/>
        <rFont val="Trebuchet MS"/>
        <family val="2"/>
      </rPr>
      <t>(5)</t>
    </r>
  </si>
  <si>
    <t>Notas: (1) Inclusive o saldo de recursos aplicados dos Repasses ao BNB com base no Art. 9º-A da Lei nº 7.827/1989. (2) Percentual das aplicações do segmento em relação ao total das aplicações. (3) Total das parcelas em atraso do segmento. (4) Percentual do saldo em atraso do segmento em relação ao saldo total das aplicações. (5) Percentual do saldo em atraso do segmento em relação ao saldo de aplicações do segmento.</t>
  </si>
  <si>
    <r>
      <t xml:space="preserve">FNE - Saldos de Aplicações e Atraso por Setor </t>
    </r>
    <r>
      <rPr>
        <vertAlign val="superscript"/>
        <sz val="12"/>
        <color rgb="FFA6193C"/>
        <rFont val="Trebuchet MS"/>
        <family val="2"/>
      </rPr>
      <t>(1)</t>
    </r>
  </si>
  <si>
    <r>
      <t xml:space="preserve">FNE - Saldos de Aplicações e Atraso por Data de Contratação </t>
    </r>
    <r>
      <rPr>
        <vertAlign val="superscript"/>
        <sz val="12"/>
        <color rgb="FFA6193C"/>
        <rFont val="Trebuchet MS"/>
        <family val="2"/>
      </rPr>
      <t>(1)</t>
    </r>
  </si>
  <si>
    <t xml:space="preserve">                                                       Valores em R$ mil</t>
  </si>
  <si>
    <t>Data Contratação</t>
  </si>
  <si>
    <r>
      <t xml:space="preserve">(%) </t>
    </r>
    <r>
      <rPr>
        <b/>
        <vertAlign val="superscript"/>
        <sz val="11"/>
        <color indexed="9"/>
        <rFont val="Trebuchet MS"/>
        <family val="2"/>
      </rPr>
      <t>(2)</t>
    </r>
  </si>
  <si>
    <r>
      <t xml:space="preserve"> Inadimplência (%) </t>
    </r>
    <r>
      <rPr>
        <b/>
        <vertAlign val="superscript"/>
        <sz val="11"/>
        <color indexed="9"/>
        <rFont val="Trebuchet MS"/>
        <family val="2"/>
      </rPr>
      <t>(4)</t>
    </r>
  </si>
  <si>
    <r>
      <t xml:space="preserve">Até 30.11.1998 </t>
    </r>
    <r>
      <rPr>
        <vertAlign val="superscript"/>
        <sz val="11"/>
        <rFont val="Trebuchet MS"/>
        <family val="2"/>
      </rPr>
      <t>(6)</t>
    </r>
  </si>
  <si>
    <r>
      <t xml:space="preserve">Após 30.11.1998 </t>
    </r>
    <r>
      <rPr>
        <vertAlign val="superscript"/>
        <sz val="11"/>
        <rFont val="Trebuchet MS"/>
        <family val="2"/>
      </rPr>
      <t>(7)</t>
    </r>
  </si>
  <si>
    <t>Notas: (1) Inclusive o saldo de recursos aplicados dos Repasses ao BNB com base no Art. 9º-A da Lei nº 7.827/1989. (2) Percentual das aplicações do segmento em relação ao total das aplicações. (3) Total das parcelas em atraso do segmento. (4) Percentual do saldo em atraso do segmento em relação ao saldo total das aplicações. (5) Percentual do saldo em atraso do segmento em relação ao saldo de aplicações do segmento. (6) Refere-se a operações contratadas originalmente com recursos do FNE. (7) Abrange as operações contratadas originalmente com recursos do FNE e aquelas convertidas, adquiridas ou reclassificadas para o FNE, com base nas Leis 10.464, 10.696, 11.322, 11.775 etc.</t>
  </si>
  <si>
    <r>
      <t xml:space="preserve">FNE - Recuperação de Dívidas </t>
    </r>
    <r>
      <rPr>
        <vertAlign val="superscript"/>
        <sz val="12"/>
        <color rgb="FFA6193C"/>
        <rFont val="Trebuchet MS"/>
        <family val="2"/>
      </rPr>
      <t>(1)</t>
    </r>
  </si>
  <si>
    <t>Valor em Espécie</t>
  </si>
  <si>
    <t>Valor Renegociado</t>
  </si>
  <si>
    <t>Total Recuperado</t>
  </si>
  <si>
    <t>1º Semestre</t>
  </si>
  <si>
    <t>2º Semestre</t>
  </si>
  <si>
    <r>
      <t>NOTA: (1)</t>
    </r>
    <r>
      <rPr>
        <sz val="8"/>
        <rFont val="Trebuchet MS"/>
        <family val="2"/>
      </rPr>
      <t xml:space="preserve"> Valores referentes às operações objeto de renegociação de dívidas no período, inclusive as renegociações realizadas por meio de instrumentos legais, excluindo os bônus e dispensas.</t>
    </r>
  </si>
  <si>
    <t>Qtde Operações</t>
  </si>
  <si>
    <t>Qtde Clientes</t>
  </si>
  <si>
    <t>Vr. Cliente</t>
  </si>
  <si>
    <t>Vr Total Regularizado</t>
  </si>
  <si>
    <t>Fonte: BNB – Ambiente de Recuperação de Crédito.</t>
  </si>
  <si>
    <t xml:space="preserve">Tabela 78 </t>
  </si>
  <si>
    <t>Posição 31/12/2015</t>
  </si>
  <si>
    <t>FNE – Liquidações pelo equivalente financeiro em 2015 – Resolução 55/2012 do CONDEL</t>
  </si>
  <si>
    <t>Instrumentos legais</t>
  </si>
  <si>
    <t>Qtde operações</t>
  </si>
  <si>
    <t xml:space="preserve">Qtde clientes </t>
  </si>
  <si>
    <t xml:space="preserve">Total regularizado </t>
  </si>
  <si>
    <t xml:space="preserve">Art. 8º Lei nº 12.844 </t>
  </si>
  <si>
    <t xml:space="preserve">Art. 9º Lei nº 12.844 </t>
  </si>
  <si>
    <t>Res.4.298</t>
  </si>
  <si>
    <t>Res.4.299</t>
  </si>
  <si>
    <t>Res.4.314</t>
  </si>
  <si>
    <t>Res.4.315</t>
  </si>
  <si>
    <t>Res.4.365</t>
  </si>
  <si>
    <t>Fonte: BNB – Ambiente de Recuperação de Crédito</t>
  </si>
  <si>
    <t xml:space="preserve">Tabela 79 </t>
  </si>
  <si>
    <t>– FNE – Regularizações de operações realizadas em 2015 com base nas resoluções CMN nº 4.298, 4.299, 4.314, 4.315, 4.365 e Art. 8º e 9º da Lei 12.844/2013</t>
  </si>
  <si>
    <t>Efeito Direto</t>
  </si>
  <si>
    <t>Efeito Indireto</t>
  </si>
  <si>
    <t>Efeito Total</t>
  </si>
  <si>
    <t>Alta Renda_Proporção do FNE início do período (1º + 2º ano) em relação ao PIB do início de cada período</t>
  </si>
  <si>
    <t xml:space="preserve">0.0904 </t>
  </si>
  <si>
    <t xml:space="preserve">0.0706 </t>
  </si>
  <si>
    <t xml:space="preserve">0.1472 </t>
  </si>
  <si>
    <t xml:space="preserve">0.1391 </t>
  </si>
  <si>
    <t>Dinâmica_Proporção do FNE início do período (1º + 2º ano) em relação ao PIB do início de cada período</t>
  </si>
  <si>
    <t xml:space="preserve">0.0766 </t>
  </si>
  <si>
    <t xml:space="preserve">0.0001 </t>
  </si>
  <si>
    <t xml:space="preserve">0.3286 </t>
  </si>
  <si>
    <t xml:space="preserve">0.0000 </t>
  </si>
  <si>
    <t xml:space="preserve">0.4052 </t>
  </si>
  <si>
    <t>Baixa Renda_Proporção do FNE início do período (1º + 2º ano) em relação ao PIB do início de cada período</t>
  </si>
  <si>
    <t>0.0217</t>
  </si>
  <si>
    <t>0.4203</t>
  </si>
  <si>
    <t>0.1705</t>
  </si>
  <si>
    <t>0.0541</t>
  </si>
  <si>
    <t>0.1921</t>
  </si>
  <si>
    <t>0.0515</t>
  </si>
  <si>
    <t>Estagnada_Proporção do FNE início do período (1º + 2º ano) em relação ao PIB do início de cada período</t>
  </si>
  <si>
    <t xml:space="preserve">0.0579 </t>
  </si>
  <si>
    <t xml:space="preserve">0.0480 </t>
  </si>
  <si>
    <t xml:space="preserve">0.0847 </t>
  </si>
  <si>
    <t xml:space="preserve">0.4848 </t>
  </si>
  <si>
    <t xml:space="preserve">0.0268 </t>
  </si>
  <si>
    <t xml:space="preserve">0.8393 </t>
  </si>
  <si>
    <t>Ln (PIB per capita no início de cada período)</t>
  </si>
  <si>
    <t xml:space="preserve">0.2911 </t>
  </si>
  <si>
    <t xml:space="preserve">0.0226 </t>
  </si>
  <si>
    <t xml:space="preserve">0.1972 </t>
  </si>
  <si>
    <t xml:space="preserve">0.3137 </t>
  </si>
  <si>
    <t>Ln (anos médios de escolaridade no início de cada período, RAIS)</t>
  </si>
  <si>
    <t xml:space="preserve">0.0102 </t>
  </si>
  <si>
    <t xml:space="preserve">0.0440 </t>
  </si>
  <si>
    <t xml:space="preserve">0.0415 </t>
  </si>
  <si>
    <t xml:space="preserve">0.0224 </t>
  </si>
  <si>
    <t xml:space="preserve">0.0517 </t>
  </si>
  <si>
    <t xml:space="preserve">0.0105 </t>
  </si>
  <si>
    <t>Ln (densidade populacional no início de cada período)</t>
  </si>
  <si>
    <t xml:space="preserve">0.1179 </t>
  </si>
  <si>
    <t xml:space="preserve">0.0422 </t>
  </si>
  <si>
    <t xml:space="preserve">0.4084 </t>
  </si>
  <si>
    <t xml:space="preserve">0.1601 </t>
  </si>
  <si>
    <t xml:space="preserve">0.0029 </t>
  </si>
  <si>
    <t>Tabela 82</t>
  </si>
  <si>
    <t>Resultado dos impactos do FNE sobre o crescimento médio anual do PIB per capita no nível municipal (modelo espacial, efeitos diretos e indiretos)</t>
  </si>
  <si>
    <t>R$ em bilhão</t>
  </si>
  <si>
    <t xml:space="preserve">ORIGEM DE RECURSOS (A) </t>
  </si>
  <si>
    <t xml:space="preserve">Disponibilidades previstas ao final do exercício anterior </t>
  </si>
  <si>
    <t xml:space="preserve">Transferências da União </t>
  </si>
  <si>
    <t xml:space="preserve">Reembolsos de operações (líquido de bônus de adimplência) </t>
  </si>
  <si>
    <t xml:space="preserve">Remuneração das disponibilidades </t>
  </si>
  <si>
    <r>
      <t>Recebimentos para liquidação de operações FNE - Art. 9º da Lei 12.844</t>
    </r>
    <r>
      <rPr>
        <vertAlign val="superscript"/>
        <sz val="10"/>
        <color rgb="FF000000"/>
        <rFont val="Arial"/>
        <family val="2"/>
      </rPr>
      <t>3</t>
    </r>
    <r>
      <rPr>
        <sz val="10"/>
        <color rgb="FF000000"/>
        <rFont val="Arial"/>
        <family val="2"/>
      </rPr>
      <t xml:space="preserve"> </t>
    </r>
  </si>
  <si>
    <r>
      <t>Outros</t>
    </r>
    <r>
      <rPr>
        <vertAlign val="superscript"/>
        <sz val="10"/>
        <color rgb="FF000000"/>
        <rFont val="Arial"/>
        <family val="2"/>
      </rPr>
      <t>1</t>
    </r>
  </si>
  <si>
    <t>APLICAÇÃO DE RECURSOS (B)</t>
  </si>
  <si>
    <t xml:space="preserve">Taxa de administração </t>
  </si>
  <si>
    <r>
      <t>Del credere</t>
    </r>
    <r>
      <rPr>
        <sz val="10"/>
        <color rgb="FF000000"/>
        <rFont val="Arial"/>
        <family val="2"/>
      </rPr>
      <t xml:space="preserve"> BNB </t>
    </r>
  </si>
  <si>
    <t xml:space="preserve">Desembolsos para liquidação de operações FNE - Art. 9º da Lei 12.844 </t>
  </si>
  <si>
    <r>
      <t>Desembolsos para liquidação de operações de outras fontes - Art. 9º Lei 12.844</t>
    </r>
    <r>
      <rPr>
        <vertAlign val="superscript"/>
        <sz val="10"/>
        <color rgb="FF000000"/>
        <rFont val="Arial"/>
        <family val="2"/>
      </rPr>
      <t>4</t>
    </r>
  </si>
  <si>
    <r>
      <t>Outros</t>
    </r>
    <r>
      <rPr>
        <vertAlign val="superscript"/>
        <sz val="10"/>
        <color rgb="FF000000"/>
        <rFont val="Arial"/>
        <family val="2"/>
      </rPr>
      <t>2</t>
    </r>
    <r>
      <rPr>
        <sz val="10"/>
        <color rgb="FF000000"/>
        <rFont val="Arial"/>
        <family val="2"/>
      </rPr>
      <t xml:space="preserve"> </t>
    </r>
  </si>
  <si>
    <t xml:space="preserve">DISPONIBILIDADE TOTAL ( A + B ) </t>
  </si>
  <si>
    <t xml:space="preserve">SALDO A LIBERAR DE EXERCÍCIOS ANTERIORES </t>
  </si>
  <si>
    <t xml:space="preserve">DISPONÍVEL PARA APLICAÇÃO </t>
  </si>
  <si>
    <t>Fonte: BNB – Ambiente de Controladoria</t>
  </si>
  <si>
    <r>
      <t xml:space="preserve">Notas: (1) Considerados: Reembolsos de créditos baixados como PJ, Cobertura de parcelas de risco do BNB e Cobertura de risco por fundos/PROAGRO/INCRA, num total de R$ 0,31 bilhão; (2) Considerados: </t>
    </r>
    <r>
      <rPr>
        <i/>
        <sz val="10"/>
        <rFont val="Arial"/>
        <family val="2"/>
      </rPr>
      <t>Del Credere</t>
    </r>
    <r>
      <rPr>
        <sz val="10"/>
        <rFont val="Arial"/>
        <family val="2"/>
      </rPr>
      <t xml:space="preserve"> de Instituições Operadoras, Remuneração do BNB sobre Operações PRONAF, Despesas de Auditoria Externa, num total de R$ 0,23 bilhão; (3) Montante estimado de R$ 49.352 mil de contratações/desembolsos exclusivamente para liquidação, 19/07/2013, inclusive parcelas de risco do Fundo inscritas em PJ. Não sendo confirmadas essas, Operações FNE - Art. 9º e 9º-A; (4) Total estimado (R$ 10.648 mil) de contratações/desembolsos exclusivamente para liquidação, concomitante, de operações de outras fontes com base no Art. 9º da Lei Nº 12.844 de 19.07.2013. Não se confirmando essas contratações/liberações, não haverá o comprometimento dos recursos correspondentes ao item "Desembolsos para Liquidação Operações de outras Fontes - Art. 9º Lei 12.844".</t>
    </r>
  </si>
  <si>
    <t xml:space="preserve">Tabela 83 </t>
  </si>
  <si>
    <t>Recursos previstos para aplicações – 2015</t>
  </si>
  <si>
    <t xml:space="preserve">Discriminação </t>
  </si>
  <si>
    <t xml:space="preserve"> valor</t>
  </si>
  <si>
    <t>ORIGEM DE RECURSOS (A)</t>
  </si>
  <si>
    <t>Disponibilidades previstas ao final do exercício anterior</t>
  </si>
  <si>
    <r>
      <t>Transferências da União</t>
    </r>
    <r>
      <rPr>
        <vertAlign val="superscript"/>
        <sz val="12"/>
        <color rgb="FF000000"/>
        <rFont val="Times New Roman"/>
        <family val="1"/>
      </rPr>
      <t>1</t>
    </r>
  </si>
  <si>
    <t>Reembolsos de operações (líquido de bônus de adimplência)</t>
  </si>
  <si>
    <t>Remuneração das disponibilidades</t>
  </si>
  <si>
    <r>
      <t>Recebimentos para liquidação de operações FNE - Art. 9º da Lei 12.844</t>
    </r>
    <r>
      <rPr>
        <vertAlign val="superscript"/>
        <sz val="12"/>
        <color rgb="FF000000"/>
        <rFont val="Times New Roman"/>
        <family val="1"/>
      </rPr>
      <t>2</t>
    </r>
  </si>
  <si>
    <r>
      <t>Outros</t>
    </r>
    <r>
      <rPr>
        <vertAlign val="superscript"/>
        <sz val="12"/>
        <color rgb="FF000000"/>
        <rFont val="Times New Roman"/>
        <family val="1"/>
      </rPr>
      <t>3</t>
    </r>
  </si>
  <si>
    <t>Taxa de administração</t>
  </si>
  <si>
    <r>
      <t>Del credere</t>
    </r>
    <r>
      <rPr>
        <sz val="12"/>
        <color rgb="FF000000"/>
        <rFont val="Times New Roman"/>
        <family val="1"/>
      </rPr>
      <t xml:space="preserve"> BNB</t>
    </r>
  </si>
  <si>
    <t>Desembolsos para liquidação de operações FNE - Art. 9º da Lei 12.844</t>
  </si>
  <si>
    <r>
      <t>Desembolsos para liquidação de operações de outras fontes - Art. 9º Lei 12.844</t>
    </r>
    <r>
      <rPr>
        <vertAlign val="superscript"/>
        <sz val="12"/>
        <color rgb="FF000000"/>
        <rFont val="Times New Roman"/>
        <family val="1"/>
      </rPr>
      <t>4</t>
    </r>
  </si>
  <si>
    <r>
      <t>Outros</t>
    </r>
    <r>
      <rPr>
        <vertAlign val="superscript"/>
        <sz val="12"/>
        <color rgb="FF000000"/>
        <rFont val="Times New Roman"/>
        <family val="1"/>
      </rPr>
      <t>5</t>
    </r>
  </si>
  <si>
    <t>DISPONIBILIDADE TOTAL (A + B)</t>
  </si>
  <si>
    <t>SALDO A LIBERAR DE EXERCÍCIOS ANTERIORES</t>
  </si>
  <si>
    <t>DISPONÍVEL PARA APLICAÇÃO6</t>
  </si>
  <si>
    <t>Fonte: BNB - Ambiente de Controladoria / Superintendência de Controle Financeiro.</t>
  </si>
  <si>
    <r>
      <t xml:space="preserve">Notas: (1) Transferências da STN estimadas com base na arrecadação de IPI e IR para 2015 constante do Decreto nº 8.532, de 30.09.2015; (2) Montante estimado (R$ 49.351 mil) de contratações/desembolsos exclusivamente para liquidação, concomitante, de operações do FNE com base no Art. 9º da Lei Nº 12.844 de 19.07.2013, inclusive parcelas de constante do item "Recebimentos para Liquidação Operações FNE - Art. 9º Lei 12.844"; (3) Considerados: Reembolsos de créditos baixados como PJ, Cobertura de parcelas de risco do BNB e Cobertura de risco por fundos/PROAGRO/INCRA, num total de R$ 0,56 bilhão; (4) Total estimado (R$ 10.648 mil) de contratações/desembolsos exclusivamente para liquidação, concomitante, de operações de outras fontes com base no Art. 9º da Lei Nº 12.844 de 19.07.2013. Não se item "Desembolsos para Liquidação Operações de outras Fontes - Art. 9º Lei 12.844"; (5) Considerados: Remuneração do BNB sobre Operações PRONAF, Prêmio de Performance sobre Reembolsos do PRONAF e Despesas de Auditoria Externa e </t>
    </r>
    <r>
      <rPr>
        <i/>
        <sz val="10"/>
        <rFont val="Arial"/>
        <family val="2"/>
      </rPr>
      <t>Del Credere</t>
    </r>
    <r>
      <rPr>
        <sz val="10"/>
        <rFont val="Arial"/>
        <family val="2"/>
      </rPr>
      <t xml:space="preserve"> de Instituições Operadoras, num total de R$ 0,31 bilhão; (6) Não foram consideradas as disponibilidades relativas aos repasses do FNE ao BNB com base no Art. 9º A da Lei 9.827/89 (R$ 1,1 bilhão).</t>
    </r>
  </si>
  <si>
    <t>Tabela 84</t>
  </si>
  <si>
    <t>Valores da reprogramação de recursos</t>
  </si>
  <si>
    <t>SETOR / UF</t>
  </si>
  <si>
    <r>
      <t xml:space="preserve">Agricultura </t>
    </r>
    <r>
      <rPr>
        <b/>
        <vertAlign val="superscript"/>
        <sz val="8"/>
        <color rgb="FFFFFFFF"/>
        <rFont val="Arial"/>
        <family val="2"/>
      </rPr>
      <t>(1) (2)</t>
    </r>
  </si>
  <si>
    <r>
      <t xml:space="preserve">Pecuária </t>
    </r>
    <r>
      <rPr>
        <b/>
        <vertAlign val="superscript"/>
        <sz val="8"/>
        <color rgb="FFFFFFFF"/>
        <rFont val="Arial"/>
        <family val="2"/>
      </rPr>
      <t>(2) (3)</t>
    </r>
  </si>
  <si>
    <r>
      <t xml:space="preserve">Indústria </t>
    </r>
    <r>
      <rPr>
        <b/>
        <vertAlign val="superscript"/>
        <sz val="8"/>
        <color rgb="FFFFFFFF"/>
        <rFont val="Arial"/>
        <family val="2"/>
      </rPr>
      <t>(1)</t>
    </r>
  </si>
  <si>
    <r>
      <t xml:space="preserve">Agro-indústria </t>
    </r>
    <r>
      <rPr>
        <b/>
        <vertAlign val="superscript"/>
        <sz val="8"/>
        <color rgb="FFFFFFFF"/>
        <rFont val="Arial"/>
        <family val="2"/>
      </rPr>
      <t>(2) (4)</t>
    </r>
  </si>
  <si>
    <r>
      <t xml:space="preserve">Com. e Serv. </t>
    </r>
    <r>
      <rPr>
        <b/>
        <vertAlign val="superscript"/>
        <sz val="8"/>
        <color rgb="FFFFFFFF"/>
        <rFont val="Arial"/>
        <family val="2"/>
      </rPr>
      <t>(1)</t>
    </r>
    <r>
      <rPr>
        <b/>
        <sz val="8"/>
        <color rgb="FFFFFFFF"/>
        <rFont val="Arial"/>
        <family val="2"/>
      </rPr>
      <t xml:space="preserve"> </t>
    </r>
  </si>
  <si>
    <r>
      <t xml:space="preserve">Infra-estrutura </t>
    </r>
    <r>
      <rPr>
        <b/>
        <vertAlign val="superscript"/>
        <sz val="8"/>
        <color rgb="FFFFFFFF"/>
        <rFont val="Arial"/>
        <family val="2"/>
      </rPr>
      <t>(4)</t>
    </r>
  </si>
  <si>
    <t xml:space="preserve"> [%] UF</t>
  </si>
  <si>
    <t xml:space="preserve"> -</t>
  </si>
  <si>
    <t>SETOR (%)</t>
  </si>
  <si>
    <t>(*) Os valores são indicações para efeito de planejamento; (**) O BNB poderá repassar até 3% do total dos valores programados para 2015 a outras instituições financeiras autorizadas a funcionar pelo Bacen, observados os limites de crédito aprovados a cada instituição, a existência de recursos para o atendimento da de 15.08.2014.</t>
  </si>
  <si>
    <t>Notas: (1) Inclusive Meio Ambiente/ Inovação; (2) Inclusive Pronaf; (3) Inclusive Aquicultura e Pesca; (4) Inclusive Meio Ambiente.</t>
  </si>
  <si>
    <t>Tabela 85</t>
  </si>
  <si>
    <t>Orçamento por UF e setor (*) (**)</t>
  </si>
  <si>
    <t>Tabela 86 - Ticket médio das contratações por estado e setor - Exercícios 2014 e 2015</t>
  </si>
  <si>
    <t xml:space="preserve"> AL </t>
  </si>
  <si>
    <t xml:space="preserve"> BA </t>
  </si>
  <si>
    <t xml:space="preserve"> CE </t>
  </si>
  <si>
    <t xml:space="preserve"> ES </t>
  </si>
  <si>
    <t xml:space="preserve"> MA </t>
  </si>
  <si>
    <t xml:space="preserve"> MG </t>
  </si>
  <si>
    <t xml:space="preserve"> PB </t>
  </si>
  <si>
    <t xml:space="preserve"> PE </t>
  </si>
  <si>
    <t xml:space="preserve"> PI </t>
  </si>
  <si>
    <t xml:space="preserve"> RN </t>
  </si>
  <si>
    <t xml:space="preserve"> SE </t>
  </si>
  <si>
    <r>
      <t>Tabela 69 – FNE – Contratações</t>
    </r>
    <r>
      <rPr>
        <b/>
        <vertAlign val="superscript"/>
        <sz val="10"/>
        <rFont val="Arial"/>
        <family val="2"/>
      </rPr>
      <t>(1)</t>
    </r>
    <r>
      <rPr>
        <b/>
        <sz val="10"/>
        <rFont val="Arial"/>
        <family val="2"/>
      </rPr>
      <t xml:space="preserve"> em mesorregiões por setor – Exercício de 2015</t>
    </r>
  </si>
  <si>
    <t>Vr. contratado</t>
  </si>
  <si>
    <t xml:space="preserve">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</si>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</sst>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5">
    <numFmt numFmtId="41" formatCode="_-* #,##0_-;\-* #,##0_-;_-* &quot;-&quot;_-;_-@_-"/>
    <numFmt numFmtId="43" formatCode="_-* #,##0.00_-;\-* #,##0.00_-;_-* &quot;-&quot;??_-;_-@_-"/>
    <numFmt numFmtId="164" formatCode="_(* #,##0_);_(* \(#,##0\);_(* &quot;-&quot;_);_(@_)"/>
    <numFmt numFmtId="165" formatCode="_(* #,##0.0000_);_(* \(#,##0.0000\);_(* &quot;-&quot;_);_(@_)"/>
    <numFmt numFmtId="166" formatCode="_(* #,##0.0_);_(* \(#,##0.0\);_(* &quot;-&quot;?_);_(@_)"/>
    <numFmt numFmtId="167" formatCode="_(* #,##0.00_);_(* \(#,##0.00\);_(* &quot;-&quot;??_);_(@_)"/>
    <numFmt numFmtId="168" formatCode="_(* #,##0_);_(* \(#,##0\);_(* &quot;-&quot;??_);_(@_)"/>
    <numFmt numFmtId="169" formatCode="_-* #,##0.0_-;\-* #,##0.0_-;_-* &quot;-&quot;?_-;_-@_-"/>
    <numFmt numFmtId="170" formatCode="#,##0.0000"/>
    <numFmt numFmtId="171" formatCode="#,##0.0_);\(#,##0.0\)"/>
    <numFmt numFmtId="172" formatCode="#,##0.000_);\(#,##0.000\)"/>
    <numFmt numFmtId="173" formatCode="#,##0.0000_);\(#,##0.0000\)"/>
    <numFmt numFmtId="174" formatCode="0.0%"/>
    <numFmt numFmtId="175" formatCode="0.0000000"/>
    <numFmt numFmtId="176" formatCode="_(* #,##0.0000000_);_(* \(#,##0.0000000\);_(* &quot;-&quot;???????_);_(@_)"/>
    <numFmt numFmtId="177" formatCode="0.000"/>
    <numFmt numFmtId="178" formatCode="0.0"/>
    <numFmt numFmtId="179" formatCode="0.0000"/>
    <numFmt numFmtId="180" formatCode="_(* #,##0.0_);_(* \(#,##0.0\);_(* &quot;-&quot;??_);_(@_)"/>
    <numFmt numFmtId="181" formatCode="_(* #,##0.0000_);_(* \(#,##0.0000\);_(* &quot;-&quot;??_);_(@_)"/>
    <numFmt numFmtId="182" formatCode="_(* #,##0.0_);_(* \(#,##0.0\);_(* &quot;-&quot;_);_(@_)"/>
    <numFmt numFmtId="183" formatCode="#,##0_ ;[Red]\-#,##0\ "/>
    <numFmt numFmtId="184" formatCode="#,##0.00000"/>
    <numFmt numFmtId="185" formatCode="_(* #,##0.000_);_(* \(#,##0.000\);_(* &quot;-&quot;?_);_(@_)"/>
    <numFmt numFmtId="186" formatCode="#,##0.0"/>
    <numFmt numFmtId="187" formatCode="#,##0.000"/>
    <numFmt numFmtId="188" formatCode="_(* #,##0.000_);_(* \(#,##0.000\);_(* &quot;-&quot;??_);_(@_)"/>
    <numFmt numFmtId="189" formatCode="_(* #,##0.000_);_(* \(#,##0.000\);_(* &quot;-&quot;_);_(@_)"/>
    <numFmt numFmtId="190" formatCode="_-* #,##0_-;\-* #,##0_-;_-* &quot;-&quot;??_-;_-@_-"/>
    <numFmt numFmtId="191" formatCode="_-* #,##0.0_-;\-* #,##0.0_-;_-* &quot;-&quot;??_-;_-@_-"/>
    <numFmt numFmtId="192" formatCode="_(* #,##0.00_);_(* \(#,##0.00\);_(* &quot;-&quot;_);_(@_)"/>
    <numFmt numFmtId="193" formatCode="_(* #,##0.00_);_(* \(#,##0.00\);_(* &quot;-&quot;?_);_(@_)"/>
    <numFmt numFmtId="194" formatCode="#,##0_ ;[Red]\(#,##0\)\ "/>
    <numFmt numFmtId="195" formatCode="mmm/yyyy"/>
    <numFmt numFmtId="196" formatCode="#,##0;[Red]\(#,##0\)"/>
  </numFmts>
  <fonts count="1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indexed="16"/>
      <name val="Arial"/>
      <family val="2"/>
    </font>
    <font>
      <b/>
      <sz val="10"/>
      <color indexed="16"/>
      <name val="Arial"/>
      <family val="2"/>
    </font>
    <font>
      <sz val="12"/>
      <color indexed="16"/>
      <name val="Arial"/>
      <family val="2"/>
    </font>
    <font>
      <sz val="10"/>
      <color indexed="16"/>
      <name val="Arial"/>
      <family val="2"/>
    </font>
    <font>
      <b/>
      <sz val="11"/>
      <color indexed="9"/>
      <name val="Arial"/>
      <family val="2"/>
    </font>
    <font>
      <b/>
      <sz val="12"/>
      <color rgb="FFFF0000"/>
      <name val="Arial"/>
      <family val="2"/>
    </font>
    <font>
      <sz val="11"/>
      <name val="Arial"/>
      <family val="2"/>
    </font>
    <font>
      <b/>
      <sz val="10"/>
      <color indexed="8"/>
      <name val="Arial"/>
      <family val="2"/>
    </font>
    <font>
      <sz val="10"/>
      <name val="Arial"/>
      <family val="2"/>
    </font>
    <font>
      <sz val="10"/>
      <color indexed="8"/>
      <name val="Arial"/>
      <family val="2"/>
    </font>
    <font>
      <b/>
      <sz val="10"/>
      <color indexed="10"/>
      <name val="Arial"/>
      <family val="2"/>
    </font>
    <font>
      <sz val="10"/>
      <color indexed="10"/>
      <name val="Arial"/>
      <family val="2"/>
    </font>
    <font>
      <b/>
      <sz val="10"/>
      <name val="Arial"/>
      <family val="2"/>
    </font>
    <font>
      <b/>
      <sz val="11"/>
      <name val="Arial"/>
      <family val="2"/>
    </font>
    <font>
      <sz val="10"/>
      <color indexed="24"/>
      <name val="Arial"/>
      <family val="2"/>
    </font>
    <font>
      <b/>
      <sz val="14"/>
      <color rgb="FFFF0000"/>
      <name val="Arial"/>
      <family val="2"/>
    </font>
    <font>
      <vertAlign val="superscript"/>
      <sz val="12"/>
      <color indexed="16"/>
      <name val="Arial"/>
      <family val="2"/>
    </font>
    <font>
      <b/>
      <sz val="11"/>
      <color rgb="FFFF0000"/>
      <name val="Arial"/>
      <family val="2"/>
    </font>
    <font>
      <b/>
      <sz val="10.5"/>
      <name val="Arial"/>
      <family val="2"/>
    </font>
    <font>
      <sz val="10.5"/>
      <color indexed="8"/>
      <name val="Arial"/>
      <family val="2"/>
    </font>
    <font>
      <sz val="10.5"/>
      <name val="Helvetica"/>
      <family val="2"/>
    </font>
    <font>
      <b/>
      <sz val="10.5"/>
      <color indexed="8"/>
      <name val="Arial"/>
      <family val="2"/>
    </font>
    <font>
      <sz val="9"/>
      <name val="Arial"/>
      <family val="2"/>
    </font>
    <font>
      <b/>
      <sz val="8"/>
      <name val="Arial"/>
      <family val="2"/>
    </font>
    <font>
      <sz val="8"/>
      <name val="Arial"/>
      <family val="2"/>
    </font>
    <font>
      <b/>
      <sz val="11"/>
      <color indexed="10"/>
      <name val="Arial"/>
      <family val="2"/>
    </font>
    <font>
      <vertAlign val="superscript"/>
      <sz val="10"/>
      <name val="Arial"/>
      <family val="2"/>
    </font>
    <font>
      <sz val="9"/>
      <color indexed="8"/>
      <name val="Arial"/>
      <family val="2"/>
    </font>
    <font>
      <sz val="10.5"/>
      <name val="Arial"/>
      <family val="2"/>
    </font>
    <font>
      <b/>
      <sz val="9"/>
      <name val="Arial"/>
      <family val="2"/>
    </font>
    <font>
      <b/>
      <sz val="8"/>
      <color indexed="8"/>
      <name val="Arial"/>
      <family val="2"/>
    </font>
    <font>
      <sz val="8"/>
      <color indexed="8"/>
      <name val="Arial"/>
      <family val="2"/>
    </font>
    <font>
      <b/>
      <vertAlign val="superscript"/>
      <sz val="11"/>
      <color indexed="9"/>
      <name val="Arial"/>
      <family val="2"/>
    </font>
    <font>
      <sz val="12"/>
      <name val="Arial"/>
      <family val="2"/>
    </font>
    <font>
      <sz val="11"/>
      <color indexed="8"/>
      <name val="Arial"/>
      <family val="2"/>
    </font>
    <font>
      <sz val="12"/>
      <color indexed="60"/>
      <name val="Times New Roman"/>
      <family val="1"/>
    </font>
    <font>
      <sz val="10"/>
      <color indexed="60"/>
      <name val="Arial"/>
      <family val="2"/>
    </font>
    <font>
      <vertAlign val="superscript"/>
      <sz val="11"/>
      <color indexed="8"/>
      <name val="Arial"/>
      <family val="2"/>
    </font>
    <font>
      <b/>
      <sz val="9"/>
      <color indexed="10"/>
      <name val="Arial"/>
      <family val="2"/>
    </font>
    <font>
      <sz val="10"/>
      <color indexed="60"/>
      <name val="Times New Roman"/>
      <family val="1"/>
    </font>
    <font>
      <b/>
      <sz val="12"/>
      <color indexed="9"/>
      <name val="Arial"/>
      <family val="2"/>
    </font>
    <font>
      <sz val="10"/>
      <color indexed="9"/>
      <name val="Arial"/>
      <family val="2"/>
    </font>
    <font>
      <b/>
      <sz val="10"/>
      <color indexed="9"/>
      <name val="Arial"/>
      <family val="2"/>
    </font>
    <font>
      <b/>
      <sz val="11"/>
      <color theme="8" tint="-0.249977111117893"/>
      <name val="Arial"/>
      <family val="2"/>
    </font>
    <font>
      <b/>
      <sz val="11"/>
      <color indexed="60"/>
      <name val="Arial"/>
      <family val="2"/>
    </font>
    <font>
      <b/>
      <sz val="9"/>
      <color indexed="60"/>
      <name val="Arial"/>
      <family val="2"/>
    </font>
    <font>
      <b/>
      <sz val="11"/>
      <color theme="3" tint="0.39997558519241921"/>
      <name val="Arial"/>
      <family val="2"/>
    </font>
    <font>
      <b/>
      <sz val="9"/>
      <color indexed="9"/>
      <name val="Arial"/>
      <family val="2"/>
    </font>
    <font>
      <b/>
      <sz val="10"/>
      <color rgb="FFFF0000"/>
      <name val="Arial"/>
      <family val="2"/>
    </font>
    <font>
      <sz val="12"/>
      <color indexed="62"/>
      <name val="Arial"/>
      <family val="2"/>
    </font>
    <font>
      <b/>
      <sz val="9"/>
      <color indexed="16"/>
      <name val="Arial"/>
      <family val="2"/>
    </font>
    <font>
      <sz val="9"/>
      <color indexed="16"/>
      <name val="Arial"/>
      <family val="2"/>
    </font>
    <font>
      <sz val="10"/>
      <color indexed="62"/>
      <name val="Arial"/>
      <family val="2"/>
    </font>
    <font>
      <b/>
      <sz val="12"/>
      <name val="Arial"/>
      <family val="2"/>
    </font>
    <font>
      <b/>
      <sz val="11"/>
      <color indexed="8"/>
      <name val="Arial"/>
      <family val="2"/>
    </font>
    <font>
      <vertAlign val="superscript"/>
      <sz val="11"/>
      <name val="Arial"/>
      <family val="2"/>
    </font>
    <font>
      <sz val="9"/>
      <color indexed="12"/>
      <name val="Arial"/>
      <family val="2"/>
    </font>
    <font>
      <sz val="11"/>
      <color indexed="9"/>
      <name val="Arial"/>
      <family val="2"/>
    </font>
    <font>
      <vertAlign val="superscript"/>
      <sz val="11"/>
      <color indexed="9"/>
      <name val="Arial"/>
      <family val="2"/>
    </font>
    <font>
      <b/>
      <vertAlign val="superscript"/>
      <sz val="10"/>
      <color indexed="9"/>
      <name val="Arial"/>
      <family val="2"/>
    </font>
    <font>
      <b/>
      <sz val="10"/>
      <color indexed="20"/>
      <name val="Arial"/>
      <family val="2"/>
    </font>
    <font>
      <sz val="10"/>
      <color rgb="FF7030A0"/>
      <name val="Arial"/>
      <family val="2"/>
    </font>
    <font>
      <b/>
      <sz val="11"/>
      <color rgb="FF7030A0"/>
      <name val="Arial"/>
      <family val="2"/>
    </font>
    <font>
      <sz val="10"/>
      <color rgb="FFFF0000"/>
      <name val="Arial"/>
      <family val="2"/>
    </font>
    <font>
      <b/>
      <sz val="10"/>
      <color theme="0"/>
      <name val="Arial"/>
      <family val="2"/>
    </font>
    <font>
      <b/>
      <sz val="9"/>
      <color indexed="8"/>
      <name val="Arial"/>
      <family val="2"/>
    </font>
    <font>
      <sz val="9"/>
      <color rgb="FF000000"/>
      <name val="Arial"/>
      <family val="2"/>
    </font>
    <font>
      <b/>
      <sz val="11"/>
      <color theme="1"/>
      <name val="Calibri"/>
      <family val="2"/>
      <scheme val="minor"/>
    </font>
    <font>
      <b/>
      <sz val="11"/>
      <color theme="0"/>
      <name val="Arial"/>
      <family val="2"/>
    </font>
    <font>
      <b/>
      <sz val="9"/>
      <color rgb="FFFF0000"/>
      <name val="Arial"/>
      <family val="2"/>
    </font>
    <font>
      <b/>
      <vertAlign val="superscript"/>
      <sz val="9"/>
      <color indexed="8"/>
      <name val="Arial"/>
      <family val="2"/>
    </font>
    <font>
      <b/>
      <sz val="10"/>
      <color indexed="60"/>
      <name val="Arial"/>
      <family val="2"/>
    </font>
    <font>
      <sz val="10"/>
      <color indexed="62"/>
      <name val="Times New Roman"/>
      <family val="1"/>
    </font>
    <font>
      <sz val="10"/>
      <color theme="0"/>
      <name val="Arial"/>
      <family val="2"/>
    </font>
    <font>
      <b/>
      <vertAlign val="superscript"/>
      <sz val="12"/>
      <name val="Arial"/>
      <family val="2"/>
    </font>
    <font>
      <b/>
      <sz val="12"/>
      <color theme="1"/>
      <name val="Arial"/>
      <family val="2"/>
    </font>
    <font>
      <b/>
      <vertAlign val="superscript"/>
      <sz val="12"/>
      <color indexed="8"/>
      <name val="Arial"/>
      <family val="2"/>
    </font>
    <font>
      <b/>
      <sz val="12"/>
      <color indexed="8"/>
      <name val="Arial"/>
      <family val="2"/>
    </font>
    <font>
      <b/>
      <sz val="11"/>
      <name val="Calibri"/>
      <family val="2"/>
      <scheme val="minor"/>
    </font>
    <font>
      <sz val="11"/>
      <name val="Calibri"/>
      <family val="2"/>
      <scheme val="minor"/>
    </font>
    <font>
      <b/>
      <sz val="12"/>
      <name val="Calibri"/>
      <family val="2"/>
      <scheme val="minor"/>
    </font>
    <font>
      <b/>
      <vertAlign val="superscript"/>
      <sz val="12"/>
      <name val="Calibri"/>
      <family val="2"/>
    </font>
    <font>
      <b/>
      <sz val="12"/>
      <name val="Calibri"/>
      <family val="2"/>
    </font>
    <font>
      <b/>
      <vertAlign val="superscript"/>
      <sz val="11"/>
      <color indexed="8"/>
      <name val="Calibri"/>
      <family val="2"/>
    </font>
    <font>
      <b/>
      <sz val="11"/>
      <color indexed="8"/>
      <name val="Calibri"/>
      <family val="2"/>
    </font>
    <font>
      <b/>
      <vertAlign val="superscript"/>
      <sz val="11"/>
      <name val="Arial"/>
      <family val="2"/>
    </font>
    <font>
      <sz val="9"/>
      <color indexed="81"/>
      <name val="Tahoma"/>
      <family val="2"/>
    </font>
    <font>
      <b/>
      <sz val="9"/>
      <color indexed="81"/>
      <name val="Tahoma"/>
      <family val="2"/>
    </font>
    <font>
      <sz val="12"/>
      <color rgb="FFA6193C"/>
      <name val="Trebuchet MS"/>
      <family val="2"/>
    </font>
    <font>
      <sz val="11"/>
      <color theme="1"/>
      <name val="Trebuchet MS"/>
      <family val="2"/>
    </font>
    <font>
      <sz val="11"/>
      <color rgb="FFA6193C"/>
      <name val="Trebuchet MS"/>
      <family val="2"/>
    </font>
    <font>
      <b/>
      <sz val="9"/>
      <color rgb="FFA6193C"/>
      <name val="Trebuchet MS"/>
      <family val="2"/>
    </font>
    <font>
      <b/>
      <sz val="11"/>
      <color theme="0"/>
      <name val="Trebuchet MS"/>
      <family val="2"/>
    </font>
    <font>
      <b/>
      <sz val="11"/>
      <color indexed="9"/>
      <name val="Trebuchet MS"/>
      <family val="2"/>
    </font>
    <font>
      <b/>
      <vertAlign val="superscript"/>
      <sz val="11"/>
      <color indexed="9"/>
      <name val="Trebuchet MS"/>
      <family val="2"/>
    </font>
    <font>
      <sz val="10"/>
      <color theme="1"/>
      <name val="Trebuchet MS"/>
      <family val="2"/>
    </font>
    <font>
      <b/>
      <sz val="12"/>
      <color theme="0"/>
      <name val="Trebuchet MS"/>
      <family val="2"/>
    </font>
    <font>
      <sz val="9"/>
      <name val="Trebuchet MS"/>
      <family val="2"/>
    </font>
    <font>
      <sz val="8"/>
      <name val="Trebuchet MS"/>
      <family val="2"/>
    </font>
    <font>
      <vertAlign val="superscript"/>
      <sz val="12"/>
      <color rgb="FFA6193C"/>
      <name val="Trebuchet MS"/>
      <family val="2"/>
    </font>
    <font>
      <sz val="10"/>
      <color rgb="FFA6193C"/>
      <name val="Trebuchet MS"/>
      <family val="2"/>
    </font>
    <font>
      <sz val="10"/>
      <name val="Trebuchet MS"/>
      <family val="2"/>
    </font>
    <font>
      <b/>
      <sz val="10"/>
      <color rgb="FFA6193C"/>
      <name val="Trebuchet MS"/>
      <family val="2"/>
    </font>
    <font>
      <sz val="9"/>
      <color theme="1"/>
      <name val="Trebuchet MS"/>
      <family val="2"/>
    </font>
    <font>
      <b/>
      <sz val="10"/>
      <color rgb="FF000000"/>
      <name val="Trebuchet MS"/>
      <family val="2"/>
    </font>
    <font>
      <sz val="10"/>
      <color rgb="FF000000"/>
      <name val="Trebuchet MS"/>
      <family val="2"/>
    </font>
    <font>
      <b/>
      <sz val="10"/>
      <color indexed="9"/>
      <name val="Trebuchet MS"/>
      <family val="2"/>
    </font>
    <font>
      <b/>
      <sz val="10"/>
      <name val="Trebuchet MS"/>
      <family val="2"/>
    </font>
    <font>
      <b/>
      <sz val="11"/>
      <color theme="1"/>
      <name val="Trebuchet MS"/>
      <family val="2"/>
    </font>
    <font>
      <i/>
      <sz val="11"/>
      <color indexed="8"/>
      <name val="Trebuchet MS"/>
      <family val="2"/>
    </font>
    <font>
      <sz val="11"/>
      <color indexed="8"/>
      <name val="Trebuchet MS"/>
      <family val="2"/>
    </font>
    <font>
      <b/>
      <sz val="11"/>
      <name val="Trebuchet MS"/>
      <family val="2"/>
    </font>
    <font>
      <b/>
      <sz val="10"/>
      <color indexed="8"/>
      <name val="Trebuchet MS"/>
      <family val="2"/>
    </font>
    <font>
      <b/>
      <sz val="11"/>
      <color theme="0"/>
      <name val="Calibri"/>
      <family val="2"/>
      <scheme val="minor"/>
    </font>
    <font>
      <b/>
      <sz val="12"/>
      <color rgb="FFA6193C"/>
      <name val="Trebuchet MS"/>
      <family val="2"/>
    </font>
    <font>
      <b/>
      <sz val="12"/>
      <color rgb="FFFF0000"/>
      <name val="Trebuchet MS"/>
      <family val="2"/>
    </font>
    <font>
      <sz val="10"/>
      <color indexed="8"/>
      <name val="Trebuchet MS"/>
      <family val="2"/>
    </font>
    <font>
      <b/>
      <sz val="10"/>
      <color indexed="10"/>
      <name val="Trebuchet MS"/>
      <family val="2"/>
    </font>
    <font>
      <sz val="9"/>
      <color indexed="8"/>
      <name val="Trebuchet MS"/>
      <family val="2"/>
    </font>
    <font>
      <sz val="11"/>
      <name val="Trebuchet MS"/>
      <family val="2"/>
    </font>
    <font>
      <b/>
      <sz val="12"/>
      <color rgb="FF0070C0"/>
      <name val="Trebuchet MS"/>
      <family val="2"/>
    </font>
    <font>
      <sz val="11"/>
      <color indexed="9"/>
      <name val="Trebuchet MS"/>
      <family val="2"/>
    </font>
    <font>
      <sz val="12"/>
      <name val="Times New Roman"/>
      <family val="1"/>
    </font>
    <font>
      <sz val="10"/>
      <name val="Calibri"/>
      <family val="2"/>
    </font>
    <font>
      <b/>
      <vertAlign val="superscript"/>
      <sz val="10"/>
      <name val="Arial"/>
      <family val="2"/>
    </font>
    <font>
      <sz val="10"/>
      <color rgb="FF000000"/>
      <name val="Arial"/>
      <family val="2"/>
    </font>
    <font>
      <b/>
      <sz val="10"/>
      <color rgb="FFFFFFFF"/>
      <name val="Arial"/>
      <family val="2"/>
    </font>
    <font>
      <b/>
      <vertAlign val="superscript"/>
      <sz val="10"/>
      <color theme="0"/>
      <name val="Arial"/>
      <family val="2"/>
    </font>
    <font>
      <sz val="8"/>
      <color indexed="16"/>
      <name val="Arial"/>
      <family val="2"/>
    </font>
    <font>
      <b/>
      <sz val="12"/>
      <color rgb="FF871903"/>
      <name val="Arial"/>
      <family val="2"/>
    </font>
    <font>
      <b/>
      <sz val="12"/>
      <color rgb="FF871903"/>
      <name val="Times New Roman"/>
      <family val="1"/>
    </font>
    <font>
      <b/>
      <vertAlign val="superscript"/>
      <sz val="12"/>
      <color rgb="FF871903"/>
      <name val="Times New Roman"/>
      <family val="1"/>
    </font>
    <font>
      <b/>
      <sz val="10"/>
      <color rgb="FF871903"/>
      <name val="Arial"/>
      <family val="2"/>
    </font>
    <font>
      <b/>
      <vertAlign val="superscript"/>
      <sz val="10"/>
      <color rgb="FF871903"/>
      <name val="Arial"/>
      <family val="2"/>
    </font>
    <font>
      <b/>
      <sz val="8"/>
      <color rgb="FFA6193C"/>
      <name val="Trebuchet MS"/>
      <family val="2"/>
    </font>
    <font>
      <sz val="12"/>
      <color rgb="FFFF0000"/>
      <name val="Arial"/>
      <family val="2"/>
    </font>
    <font>
      <vertAlign val="superscript"/>
      <sz val="11"/>
      <name val="Trebuchet MS"/>
      <family val="2"/>
    </font>
    <font>
      <b/>
      <sz val="11"/>
      <color rgb="FF0070C0"/>
      <name val="Trebuchet MS"/>
      <family val="2"/>
    </font>
    <font>
      <b/>
      <sz val="8"/>
      <name val="Trebuchet MS"/>
      <family val="2"/>
    </font>
    <font>
      <b/>
      <sz val="10"/>
      <color rgb="FF000000"/>
      <name val="Arial"/>
      <family val="2"/>
    </font>
    <font>
      <sz val="12"/>
      <color rgb="FF000000"/>
      <name val="Times New Roman"/>
      <family val="1"/>
    </font>
    <font>
      <vertAlign val="superscript"/>
      <sz val="10"/>
      <color rgb="FF000000"/>
      <name val="Arial"/>
      <family val="2"/>
    </font>
    <font>
      <i/>
      <sz val="10"/>
      <color rgb="FF000000"/>
      <name val="Arial"/>
      <family val="2"/>
    </font>
    <font>
      <i/>
      <sz val="10"/>
      <name val="Arial"/>
      <family val="2"/>
    </font>
    <font>
      <b/>
      <sz val="12"/>
      <color rgb="FF000000"/>
      <name val="Times New Roman"/>
      <family val="1"/>
    </font>
    <font>
      <vertAlign val="superscript"/>
      <sz val="12"/>
      <color rgb="FF000000"/>
      <name val="Times New Roman"/>
      <family val="1"/>
    </font>
    <font>
      <i/>
      <sz val="12"/>
      <color rgb="FF000000"/>
      <name val="Times New Roman"/>
      <family val="1"/>
    </font>
    <font>
      <b/>
      <sz val="8"/>
      <color rgb="FFFFFFFF"/>
      <name val="Arial"/>
      <family val="2"/>
    </font>
    <font>
      <b/>
      <vertAlign val="superscript"/>
      <sz val="8"/>
      <color rgb="FFFFFFFF"/>
      <name val="Arial"/>
      <family val="2"/>
    </font>
    <font>
      <sz val="8"/>
      <color rgb="FF000000"/>
      <name val="Arial"/>
      <family val="2"/>
    </font>
    <font>
      <b/>
      <sz val="8"/>
      <color rgb="FF000000"/>
      <name val="Arial"/>
      <family val="2"/>
    </font>
    <font>
      <sz val="8"/>
      <color rgb="FFFFFFFF"/>
      <name val="Arial"/>
      <family val="2"/>
    </font>
  </fonts>
  <fills count="16">
    <fill>
      <patternFill patternType="none"/>
    </fill>
    <fill>
      <patternFill patternType="gray125"/>
    </fill>
    <fill>
      <patternFill patternType="solid">
        <fgColor indexed="16"/>
        <bgColor indexed="64"/>
      </patternFill>
    </fill>
    <fill>
      <patternFill patternType="solid">
        <fgColor indexed="9"/>
        <bgColor indexed="64"/>
      </patternFill>
    </fill>
    <fill>
      <patternFill patternType="solid">
        <fgColor rgb="FF990000"/>
        <bgColor indexed="64"/>
      </patternFill>
    </fill>
    <fill>
      <patternFill patternType="solid">
        <fgColor rgb="FF800000"/>
        <bgColor indexed="64"/>
      </patternFill>
    </fill>
    <fill>
      <patternFill patternType="solid">
        <fgColor rgb="FFA6193C"/>
        <bgColor indexed="64"/>
      </patternFill>
    </fill>
    <fill>
      <patternFill patternType="solid">
        <fgColor rgb="FFFFFF00"/>
        <bgColor indexed="64"/>
      </patternFill>
    </fill>
    <fill>
      <patternFill patternType="solid">
        <fgColor rgb="FFFFFFFF"/>
        <bgColor indexed="64"/>
      </patternFill>
    </fill>
    <fill>
      <patternFill patternType="solid">
        <fgColor indexed="22"/>
        <bgColor indexed="64"/>
      </patternFill>
    </fill>
    <fill>
      <patternFill patternType="solid">
        <fgColor rgb="FF953735"/>
        <bgColor indexed="64"/>
      </patternFill>
    </fill>
    <fill>
      <patternFill patternType="solid">
        <fgColor rgb="FF963634"/>
        <bgColor indexed="64"/>
      </patternFill>
    </fill>
    <fill>
      <patternFill patternType="solid">
        <fgColor rgb="FF871903"/>
        <bgColor indexed="64"/>
      </patternFill>
    </fill>
    <fill>
      <patternFill patternType="solid">
        <fgColor rgb="FFC00000"/>
        <bgColor indexed="64"/>
      </patternFill>
    </fill>
    <fill>
      <patternFill patternType="solid">
        <fgColor rgb="FF943634"/>
        <bgColor indexed="64"/>
      </patternFill>
    </fill>
    <fill>
      <patternFill patternType="solid">
        <fgColor rgb="FFC0504D"/>
        <bgColor indexed="64"/>
      </patternFill>
    </fill>
  </fills>
  <borders count="42">
    <border>
      <left/>
      <right/>
      <top/>
      <bottom/>
      <diagonal/>
    </border>
    <border>
      <left style="thin">
        <color indexed="8"/>
      </left>
      <right/>
      <top style="thin">
        <color indexed="8"/>
      </top>
      <bottom/>
      <diagonal/>
    </border>
    <border>
      <left style="thin">
        <color indexed="8"/>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8"/>
      </left>
      <right/>
      <top style="thin">
        <color indexed="65"/>
      </top>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9"/>
      </left>
      <right/>
      <top/>
      <bottom style="thin">
        <color indexed="9"/>
      </bottom>
      <diagonal/>
    </border>
    <border>
      <left/>
      <right/>
      <top/>
      <bottom style="thin">
        <color indexed="9"/>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style="thin">
        <color indexed="9"/>
      </right>
      <top style="thin">
        <color indexed="9"/>
      </top>
      <bottom style="thin">
        <color indexed="9"/>
      </bottom>
      <diagonal/>
    </border>
    <border>
      <left/>
      <right style="thin">
        <color indexed="9"/>
      </right>
      <top/>
      <bottom/>
      <diagonal/>
    </border>
    <border>
      <left/>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theme="0"/>
      </right>
      <top/>
      <bottom style="thin">
        <color indexed="8"/>
      </bottom>
      <diagonal/>
    </border>
    <border>
      <left/>
      <right/>
      <top style="thin">
        <color indexed="9"/>
      </top>
      <bottom/>
      <diagonal/>
    </border>
    <border>
      <left/>
      <right style="thin">
        <color indexed="8"/>
      </right>
      <top style="thin">
        <color indexed="8"/>
      </top>
      <bottom/>
      <diagonal/>
    </border>
    <border>
      <left/>
      <right style="thin">
        <color indexed="8"/>
      </right>
      <top/>
      <bottom/>
      <diagonal/>
    </border>
    <border>
      <left/>
      <right style="thin">
        <color indexed="64"/>
      </right>
      <top/>
      <bottom/>
      <diagonal/>
    </border>
    <border>
      <left style="thin">
        <color indexed="64"/>
      </left>
      <right/>
      <top/>
      <bottom/>
      <diagonal/>
    </border>
    <border>
      <left style="thin">
        <color indexed="9"/>
      </left>
      <right style="thin">
        <color indexed="9"/>
      </right>
      <top style="thin">
        <color indexed="9"/>
      </top>
      <bottom style="thin">
        <color indexed="9"/>
      </bottom>
      <diagonal/>
    </border>
    <border>
      <left style="thin">
        <color indexed="64"/>
      </left>
      <right/>
      <top style="thin">
        <color indexed="9"/>
      </top>
      <bottom/>
      <diagonal/>
    </border>
    <border>
      <left/>
      <right style="thin">
        <color indexed="64"/>
      </right>
      <top style="thin">
        <color indexed="9"/>
      </top>
      <bottom/>
      <diagonal/>
    </border>
    <border>
      <left style="thin">
        <color indexed="9"/>
      </left>
      <right/>
      <top/>
      <bottom/>
      <diagonal/>
    </border>
    <border>
      <left/>
      <right/>
      <top/>
      <bottom style="medium">
        <color indexed="9"/>
      </bottom>
      <diagonal/>
    </border>
    <border>
      <left/>
      <right/>
      <top style="medium">
        <color indexed="9"/>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s>
  <cellStyleXfs count="25">
    <xf numFmtId="0" fontId="0" fillId="0" borderId="0"/>
    <xf numFmtId="167" fontId="14" fillId="0" borderId="0" applyFont="0" applyFill="0" applyBorder="0" applyAlignment="0" applyProtection="0"/>
    <xf numFmtId="9" fontId="14" fillId="0" borderId="0" applyFont="0" applyFill="0" applyBorder="0" applyAlignment="0" applyProtection="0"/>
    <xf numFmtId="0" fontId="14" fillId="0" borderId="0"/>
    <xf numFmtId="0" fontId="20" fillId="0" borderId="0" applyFont="0"/>
    <xf numFmtId="167" fontId="14" fillId="0" borderId="0" applyFont="0" applyFill="0" applyBorder="0" applyAlignment="0" applyProtection="0"/>
    <xf numFmtId="167" fontId="14"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0" fontId="15"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14" fillId="0" borderId="0"/>
    <xf numFmtId="0" fontId="14" fillId="0" borderId="0"/>
    <xf numFmtId="9" fontId="14" fillId="0" borderId="0" applyFont="0" applyFill="0" applyBorder="0" applyAlignment="0" applyProtection="0"/>
    <xf numFmtId="9"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cellStyleXfs>
  <cellXfs count="1460">
    <xf numFmtId="0" fontId="0" fillId="0" borderId="0" xfId="0"/>
    <xf numFmtId="0" fontId="7" fillId="0" borderId="0" xfId="0" applyFont="1" applyAlignment="1">
      <alignment horizontal="left"/>
    </xf>
    <xf numFmtId="0" fontId="7" fillId="0" borderId="0" xfId="0" applyFont="1"/>
    <xf numFmtId="39" fontId="7" fillId="0" borderId="0" xfId="0" applyNumberFormat="1" applyFont="1"/>
    <xf numFmtId="164" fontId="0" fillId="0" borderId="0" xfId="0" applyNumberFormat="1"/>
    <xf numFmtId="165" fontId="0" fillId="0" borderId="0" xfId="0" applyNumberFormat="1"/>
    <xf numFmtId="0" fontId="10" fillId="2" borderId="0" xfId="0" applyFont="1" applyFill="1" applyAlignment="1">
      <alignment horizontal="center" vertical="center" wrapText="1"/>
    </xf>
    <xf numFmtId="39" fontId="10" fillId="2" borderId="0" xfId="0" applyNumberFormat="1" applyFont="1" applyFill="1" applyAlignment="1">
      <alignment horizontal="center" vertical="center" wrapText="1"/>
    </xf>
    <xf numFmtId="0" fontId="13" fillId="0" borderId="0" xfId="0" applyFont="1" applyFill="1" applyAlignment="1">
      <alignment horizontal="left" vertical="center" wrapText="1"/>
    </xf>
    <xf numFmtId="164" fontId="13" fillId="0" borderId="0" xfId="0" applyNumberFormat="1" applyFont="1" applyFill="1" applyAlignment="1">
      <alignment horizontal="right" vertical="center" wrapText="1"/>
    </xf>
    <xf numFmtId="166" fontId="13" fillId="0" borderId="0" xfId="0" applyNumberFormat="1" applyFont="1" applyFill="1" applyAlignment="1">
      <alignment vertical="center" wrapText="1"/>
    </xf>
    <xf numFmtId="168" fontId="13" fillId="0" borderId="0" xfId="1" applyNumberFormat="1" applyFont="1"/>
    <xf numFmtId="37" fontId="13" fillId="0" borderId="0" xfId="0" applyNumberFormat="1" applyFont="1" applyFill="1" applyAlignment="1">
      <alignment horizontal="right" wrapText="1"/>
    </xf>
    <xf numFmtId="3" fontId="0" fillId="0" borderId="0" xfId="0" applyNumberFormat="1"/>
    <xf numFmtId="0" fontId="15" fillId="0" borderId="0" xfId="0" applyFont="1" applyFill="1" applyAlignment="1">
      <alignment horizontal="left" vertical="center"/>
    </xf>
    <xf numFmtId="164" fontId="15" fillId="0" borderId="0" xfId="0" applyNumberFormat="1" applyFont="1" applyFill="1" applyAlignment="1">
      <alignment horizontal="right" vertical="center"/>
    </xf>
    <xf numFmtId="166" fontId="15" fillId="0" borderId="0" xfId="0" applyNumberFormat="1" applyFont="1" applyFill="1" applyAlignment="1">
      <alignment vertical="center"/>
    </xf>
    <xf numFmtId="0" fontId="0" fillId="0" borderId="0" xfId="0" applyAlignment="1"/>
    <xf numFmtId="168" fontId="16" fillId="0" borderId="0" xfId="1" applyNumberFormat="1" applyFont="1" applyFill="1" applyAlignment="1">
      <alignment horizontal="right" wrapText="1"/>
    </xf>
    <xf numFmtId="168" fontId="14" fillId="0" borderId="0" xfId="1" applyNumberFormat="1" applyFont="1" applyFill="1" applyAlignment="1"/>
    <xf numFmtId="168" fontId="17" fillId="0" borderId="0" xfId="1" applyNumberFormat="1" applyFont="1" applyFill="1" applyAlignment="1">
      <alignment horizontal="right"/>
    </xf>
    <xf numFmtId="168" fontId="15" fillId="0" borderId="0" xfId="1" applyNumberFormat="1" applyFont="1" applyFill="1" applyAlignment="1">
      <alignment horizontal="right"/>
    </xf>
    <xf numFmtId="168" fontId="0" fillId="0" borderId="0" xfId="1" applyNumberFormat="1" applyFont="1" applyFill="1" applyAlignment="1"/>
    <xf numFmtId="37" fontId="0" fillId="0" borderId="0" xfId="0" applyNumberFormat="1" applyFill="1" applyAlignment="1"/>
    <xf numFmtId="0" fontId="15" fillId="0" borderId="0" xfId="0" applyFont="1" applyFill="1" applyAlignment="1">
      <alignment horizontal="left" vertical="center" wrapText="1"/>
    </xf>
    <xf numFmtId="168" fontId="13" fillId="0" borderId="0" xfId="1" applyNumberFormat="1" applyFont="1" applyFill="1" applyAlignment="1">
      <alignment horizontal="right" wrapText="1"/>
    </xf>
    <xf numFmtId="0" fontId="13" fillId="0" borderId="0" xfId="0" applyFont="1" applyFill="1" applyAlignment="1">
      <alignment horizontal="left" vertical="center"/>
    </xf>
    <xf numFmtId="164" fontId="13" fillId="0" borderId="0" xfId="0" applyNumberFormat="1" applyFont="1" applyFill="1" applyAlignment="1">
      <alignment horizontal="right" vertical="center"/>
    </xf>
    <xf numFmtId="166" fontId="13" fillId="0" borderId="0" xfId="1" applyNumberFormat="1" applyFont="1" applyFill="1" applyAlignment="1">
      <alignment vertical="center"/>
    </xf>
    <xf numFmtId="168" fontId="0" fillId="0" borderId="0" xfId="1" applyNumberFormat="1" applyFont="1" applyAlignment="1"/>
    <xf numFmtId="169" fontId="15" fillId="0" borderId="0" xfId="0" applyNumberFormat="1" applyFont="1" applyFill="1" applyAlignment="1">
      <alignment vertical="center"/>
    </xf>
    <xf numFmtId="166" fontId="13" fillId="0" borderId="0" xfId="0" applyNumberFormat="1" applyFont="1" applyFill="1" applyAlignment="1">
      <alignment vertical="center"/>
    </xf>
    <xf numFmtId="168" fontId="13" fillId="3" borderId="0" xfId="1" applyNumberFormat="1" applyFont="1" applyFill="1" applyAlignment="1">
      <alignment horizontal="right" wrapText="1"/>
    </xf>
    <xf numFmtId="168" fontId="13" fillId="3" borderId="0" xfId="1" applyNumberFormat="1" applyFont="1" applyFill="1" applyAlignment="1">
      <alignment horizontal="left" wrapText="1"/>
    </xf>
    <xf numFmtId="170" fontId="13" fillId="3" borderId="0" xfId="0" applyNumberFormat="1" applyFont="1" applyFill="1" applyAlignment="1">
      <alignment horizontal="right" wrapText="1"/>
    </xf>
    <xf numFmtId="171" fontId="0" fillId="0" borderId="0" xfId="0" applyNumberFormat="1" applyAlignment="1"/>
    <xf numFmtId="172" fontId="13" fillId="0" borderId="0" xfId="0" applyNumberFormat="1" applyFont="1" applyFill="1" applyAlignment="1">
      <alignment horizontal="right" wrapText="1"/>
    </xf>
    <xf numFmtId="164" fontId="10" fillId="2" borderId="0" xfId="0" applyNumberFormat="1" applyFont="1" applyFill="1" applyAlignment="1">
      <alignment horizontal="right" vertical="center" wrapText="1"/>
    </xf>
    <xf numFmtId="166" fontId="10" fillId="2" borderId="0" xfId="0" applyNumberFormat="1" applyFont="1" applyFill="1" applyAlignment="1">
      <alignment horizontal="right" vertical="center" wrapText="1"/>
    </xf>
    <xf numFmtId="164" fontId="0" fillId="0" borderId="0" xfId="2" applyNumberFormat="1" applyFont="1"/>
    <xf numFmtId="171" fontId="0" fillId="0" borderId="0" xfId="0" applyNumberFormat="1"/>
    <xf numFmtId="167" fontId="14" fillId="0" borderId="0" xfId="1"/>
    <xf numFmtId="0" fontId="16" fillId="0" borderId="0" xfId="0" applyFont="1"/>
    <xf numFmtId="3" fontId="18" fillId="0" borderId="0" xfId="0" applyNumberFormat="1" applyFont="1"/>
    <xf numFmtId="39" fontId="0" fillId="0" borderId="0" xfId="0" applyNumberFormat="1"/>
    <xf numFmtId="37" fontId="0" fillId="0" borderId="0" xfId="0" applyNumberFormat="1"/>
    <xf numFmtId="168" fontId="14" fillId="0" borderId="0" xfId="1" applyNumberFormat="1"/>
    <xf numFmtId="167" fontId="0" fillId="0" borderId="0" xfId="0" applyNumberFormat="1"/>
    <xf numFmtId="0" fontId="19" fillId="0" borderId="0" xfId="0" applyFont="1" applyFill="1"/>
    <xf numFmtId="173" fontId="0" fillId="0" borderId="0" xfId="0" applyNumberFormat="1"/>
    <xf numFmtId="0" fontId="18" fillId="0" borderId="0" xfId="0" applyFont="1" applyFill="1"/>
    <xf numFmtId="174" fontId="0" fillId="0" borderId="0" xfId="2" applyNumberFormat="1" applyFont="1"/>
    <xf numFmtId="0" fontId="14" fillId="0" borderId="0" xfId="0" applyFont="1" applyAlignment="1">
      <alignment horizontal="left" indent="1"/>
    </xf>
    <xf numFmtId="175" fontId="14" fillId="0" borderId="0" xfId="0" applyNumberFormat="1" applyFont="1"/>
    <xf numFmtId="168" fontId="0" fillId="0" borderId="0" xfId="1" applyNumberFormat="1" applyFont="1"/>
    <xf numFmtId="175" fontId="8" fillId="0" borderId="0" xfId="0" applyNumberFormat="1" applyFont="1" applyAlignment="1">
      <alignment horizontal="center" vertical="center"/>
    </xf>
    <xf numFmtId="0" fontId="7" fillId="0" borderId="0" xfId="0" applyFont="1" applyFill="1" applyAlignment="1">
      <alignment horizontal="left"/>
    </xf>
    <xf numFmtId="0" fontId="8" fillId="0" borderId="0" xfId="0" applyFont="1" applyFill="1" applyAlignment="1">
      <alignment horizontal="center"/>
    </xf>
    <xf numFmtId="0" fontId="23" fillId="0" borderId="0" xfId="0" applyFont="1" applyFill="1" applyAlignment="1">
      <alignment horizontal="center" vertical="center"/>
    </xf>
    <xf numFmtId="0" fontId="24" fillId="3" borderId="0" xfId="0" applyFont="1" applyFill="1" applyAlignment="1">
      <alignment wrapText="1"/>
    </xf>
    <xf numFmtId="164" fontId="24" fillId="0" borderId="0" xfId="1" applyNumberFormat="1" applyFont="1" applyFill="1" applyAlignment="1">
      <alignment horizontal="right" wrapText="1"/>
    </xf>
    <xf numFmtId="169" fontId="24" fillId="0" borderId="0" xfId="1" applyNumberFormat="1" applyFont="1" applyFill="1" applyAlignment="1">
      <alignment wrapText="1"/>
    </xf>
    <xf numFmtId="168" fontId="14" fillId="0" borderId="0" xfId="1" applyNumberFormat="1" applyFont="1" applyFill="1"/>
    <xf numFmtId="168" fontId="0" fillId="0" borderId="0" xfId="1" applyNumberFormat="1" applyFont="1" applyFill="1"/>
    <xf numFmtId="0" fontId="25" fillId="3" borderId="0" xfId="0" applyFont="1" applyFill="1" applyAlignment="1">
      <alignment horizontal="left" wrapText="1" indent="1"/>
    </xf>
    <xf numFmtId="164" fontId="15" fillId="0" borderId="0" xfId="0" applyNumberFormat="1" applyFont="1" applyFill="1" applyAlignment="1">
      <alignment horizontal="right" wrapText="1"/>
    </xf>
    <xf numFmtId="169" fontId="14" fillId="0" borderId="0" xfId="1" applyNumberFormat="1" applyFont="1" applyFill="1" applyAlignment="1">
      <alignment wrapText="1"/>
    </xf>
    <xf numFmtId="171" fontId="0" fillId="0" borderId="0" xfId="0" applyNumberFormat="1" applyFill="1"/>
    <xf numFmtId="175" fontId="14" fillId="0" borderId="0" xfId="0" applyNumberFormat="1" applyFont="1" applyFill="1"/>
    <xf numFmtId="0" fontId="26" fillId="3" borderId="0" xfId="0" applyFont="1" applyFill="1" applyAlignment="1">
      <alignment horizontal="left" wrapText="1" indent="1"/>
    </xf>
    <xf numFmtId="1" fontId="14" fillId="0" borderId="0" xfId="0" applyNumberFormat="1" applyFont="1" applyFill="1"/>
    <xf numFmtId="164" fontId="27" fillId="0" borderId="0" xfId="0" applyNumberFormat="1" applyFont="1" applyFill="1" applyAlignment="1">
      <alignment horizontal="right"/>
    </xf>
    <xf numFmtId="169" fontId="18" fillId="0" borderId="0" xfId="1" applyNumberFormat="1" applyFont="1" applyFill="1" applyAlignment="1">
      <alignment wrapText="1"/>
    </xf>
    <xf numFmtId="169" fontId="27" fillId="0" borderId="0" xfId="0" applyNumberFormat="1" applyFont="1" applyFill="1" applyAlignment="1"/>
    <xf numFmtId="175" fontId="15" fillId="0" borderId="0" xfId="0" applyNumberFormat="1" applyFont="1" applyFill="1"/>
    <xf numFmtId="164" fontId="14" fillId="0" borderId="0" xfId="1" applyNumberFormat="1" applyFont="1" applyFill="1"/>
    <xf numFmtId="164" fontId="14" fillId="0" borderId="0" xfId="1" applyNumberFormat="1" applyFill="1"/>
    <xf numFmtId="175" fontId="14" fillId="0" borderId="0" xfId="2" applyNumberFormat="1" applyFont="1" applyFill="1"/>
    <xf numFmtId="168" fontId="13" fillId="0" borderId="0" xfId="1" applyNumberFormat="1" applyFont="1" applyFill="1"/>
    <xf numFmtId="168" fontId="14" fillId="0" borderId="0" xfId="1" applyNumberFormat="1" applyFill="1"/>
    <xf numFmtId="164" fontId="25" fillId="0" borderId="0" xfId="0" applyNumberFormat="1" applyFont="1" applyFill="1" applyAlignment="1">
      <alignment horizontal="right"/>
    </xf>
    <xf numFmtId="168" fontId="25" fillId="0" borderId="0" xfId="1" applyNumberFormat="1" applyFont="1" applyFill="1" applyAlignment="1">
      <alignment horizontal="right"/>
    </xf>
    <xf numFmtId="0" fontId="25" fillId="3" borderId="0" xfId="0" applyFont="1" applyFill="1" applyAlignment="1">
      <alignment horizontal="left" indent="1"/>
    </xf>
    <xf numFmtId="167" fontId="14" fillId="0" borderId="0" xfId="1" applyFont="1"/>
    <xf numFmtId="168" fontId="25" fillId="3" borderId="0" xfId="1" applyNumberFormat="1" applyFont="1" applyFill="1" applyAlignment="1">
      <alignment horizontal="right"/>
    </xf>
    <xf numFmtId="0" fontId="10" fillId="2" borderId="0" xfId="0" applyFont="1" applyFill="1" applyAlignment="1">
      <alignment horizontal="center" vertical="center"/>
    </xf>
    <xf numFmtId="164" fontId="10" fillId="2" borderId="0" xfId="1" applyNumberFormat="1" applyFont="1" applyFill="1" applyAlignment="1">
      <alignment horizontal="right" vertical="center"/>
    </xf>
    <xf numFmtId="169" fontId="10" fillId="2" borderId="0" xfId="1" applyNumberFormat="1" applyFont="1" applyFill="1" applyAlignment="1">
      <alignment horizontal="right" vertical="center"/>
    </xf>
    <xf numFmtId="169" fontId="10" fillId="2" borderId="0" xfId="1" applyNumberFormat="1" applyFont="1" applyFill="1" applyAlignment="1">
      <alignment vertical="center"/>
    </xf>
    <xf numFmtId="168" fontId="14" fillId="0" borderId="0" xfId="1" applyNumberFormat="1" applyFont="1"/>
    <xf numFmtId="0" fontId="14" fillId="0" borderId="0" xfId="0" applyFont="1"/>
    <xf numFmtId="171" fontId="14" fillId="0" borderId="0" xfId="1" applyNumberFormat="1"/>
    <xf numFmtId="37" fontId="14" fillId="0" borderId="0" xfId="1" applyNumberFormat="1"/>
    <xf numFmtId="169" fontId="0" fillId="0" borderId="0" xfId="0" applyNumberFormat="1"/>
    <xf numFmtId="0" fontId="18" fillId="0" borderId="0" xfId="0" applyFont="1"/>
    <xf numFmtId="176" fontId="0" fillId="0" borderId="0" xfId="0" applyNumberFormat="1"/>
    <xf numFmtId="0" fontId="15" fillId="0" borderId="0" xfId="0" applyFont="1" applyFill="1" applyAlignment="1"/>
    <xf numFmtId="0" fontId="10" fillId="2" borderId="0" xfId="0" applyFont="1" applyFill="1" applyAlignment="1">
      <alignment horizontal="center" vertical="center" wrapText="1"/>
    </xf>
    <xf numFmtId="0" fontId="9" fillId="0" borderId="0" xfId="0" applyFont="1" applyFill="1"/>
    <xf numFmtId="0" fontId="9" fillId="0" borderId="0" xfId="0" applyFont="1"/>
    <xf numFmtId="0" fontId="0" fillId="0" borderId="1" xfId="0" applyBorder="1"/>
    <xf numFmtId="164" fontId="14" fillId="0" borderId="0" xfId="0" applyNumberFormat="1" applyFont="1" applyFill="1" applyAlignment="1">
      <alignment wrapText="1"/>
    </xf>
    <xf numFmtId="166" fontId="14" fillId="0" borderId="0" xfId="0" applyNumberFormat="1" applyFont="1" applyFill="1" applyAlignment="1">
      <alignment horizontal="right" wrapText="1"/>
    </xf>
    <xf numFmtId="0" fontId="31" fillId="0" borderId="0" xfId="0" applyFont="1" applyFill="1" applyAlignment="1">
      <alignment horizontal="center" vertical="center"/>
    </xf>
    <xf numFmtId="9" fontId="0" fillId="0" borderId="0" xfId="2" applyFont="1"/>
    <xf numFmtId="0" fontId="0" fillId="0" borderId="2" xfId="0" applyBorder="1"/>
    <xf numFmtId="0" fontId="14" fillId="0" borderId="2" xfId="0" applyFont="1" applyBorder="1"/>
    <xf numFmtId="164" fontId="10" fillId="2" borderId="0" xfId="1" applyNumberFormat="1" applyFont="1" applyFill="1" applyAlignment="1">
      <alignment horizontal="right" vertical="center" wrapText="1"/>
    </xf>
    <xf numFmtId="166" fontId="10" fillId="2" borderId="0" xfId="1" applyNumberFormat="1" applyFont="1" applyFill="1" applyAlignment="1">
      <alignment horizontal="right" vertical="center" wrapText="1"/>
    </xf>
    <xf numFmtId="166" fontId="0" fillId="0" borderId="0" xfId="0" applyNumberFormat="1"/>
    <xf numFmtId="0" fontId="0" fillId="3" borderId="0" xfId="0" applyFill="1"/>
    <xf numFmtId="0" fontId="8" fillId="3" borderId="0" xfId="0" applyFont="1" applyFill="1" applyAlignment="1">
      <alignment horizontal="center" vertical="center" wrapText="1"/>
    </xf>
    <xf numFmtId="0" fontId="18" fillId="3" borderId="0" xfId="0" applyFont="1" applyFill="1"/>
    <xf numFmtId="0" fontId="12" fillId="3" borderId="0" xfId="0" applyFont="1" applyFill="1" applyAlignment="1">
      <alignment wrapText="1"/>
    </xf>
    <xf numFmtId="164" fontId="12" fillId="3" borderId="0" xfId="0" applyNumberFormat="1" applyFont="1" applyFill="1" applyAlignment="1">
      <alignment wrapText="1"/>
    </xf>
    <xf numFmtId="166" fontId="12" fillId="3" borderId="0" xfId="0" applyNumberFormat="1" applyFont="1" applyFill="1" applyAlignment="1">
      <alignment wrapText="1"/>
    </xf>
    <xf numFmtId="167" fontId="14" fillId="3" borderId="0" xfId="1" applyFill="1"/>
    <xf numFmtId="3" fontId="0" fillId="3" borderId="0" xfId="0" applyNumberFormat="1" applyFill="1"/>
    <xf numFmtId="164" fontId="12" fillId="0" borderId="0" xfId="0" applyNumberFormat="1" applyFont="1" applyFill="1" applyAlignment="1">
      <alignment wrapText="1"/>
    </xf>
    <xf numFmtId="166" fontId="12" fillId="0" borderId="0" xfId="0" applyNumberFormat="1" applyFont="1" applyFill="1" applyAlignment="1">
      <alignment wrapText="1"/>
    </xf>
    <xf numFmtId="0" fontId="10" fillId="2" borderId="0" xfId="0" applyFont="1" applyFill="1" applyBorder="1" applyAlignment="1">
      <alignment horizontal="center" vertical="center" wrapText="1"/>
    </xf>
    <xf numFmtId="164" fontId="10" fillId="2" borderId="0" xfId="0" applyNumberFormat="1" applyFont="1" applyFill="1" applyBorder="1" applyAlignment="1">
      <alignment vertical="center" wrapText="1"/>
    </xf>
    <xf numFmtId="166" fontId="10" fillId="2" borderId="0" xfId="0" applyNumberFormat="1" applyFont="1" applyFill="1" applyBorder="1" applyAlignment="1">
      <alignment vertical="center" wrapText="1"/>
    </xf>
    <xf numFmtId="0" fontId="14" fillId="0" borderId="0" xfId="0" applyFont="1" applyBorder="1" applyAlignment="1">
      <alignment horizontal="left" wrapText="1"/>
    </xf>
    <xf numFmtId="0" fontId="0" fillId="0" borderId="0" xfId="0" applyBorder="1" applyAlignment="1"/>
    <xf numFmtId="174" fontId="14" fillId="3" borderId="0" xfId="2" applyNumberFormat="1" applyFill="1"/>
    <xf numFmtId="171" fontId="18" fillId="0" borderId="0" xfId="0" applyNumberFormat="1" applyFont="1" applyFill="1"/>
    <xf numFmtId="0" fontId="7" fillId="0" borderId="0" xfId="0" applyFont="1" applyFill="1"/>
    <xf numFmtId="0" fontId="19" fillId="0" borderId="0" xfId="0" applyFont="1" applyFill="1" applyAlignment="1">
      <alignment horizontal="center" vertical="center" wrapText="1"/>
    </xf>
    <xf numFmtId="0" fontId="24" fillId="3" borderId="0" xfId="0" applyFont="1" applyFill="1"/>
    <xf numFmtId="164" fontId="24" fillId="0" borderId="0" xfId="0" applyNumberFormat="1" applyFont="1" applyFill="1" applyAlignment="1">
      <alignment horizontal="right" wrapText="1"/>
    </xf>
    <xf numFmtId="166" fontId="24" fillId="0" borderId="0" xfId="0" applyNumberFormat="1" applyFont="1" applyFill="1" applyAlignment="1">
      <alignment horizontal="right" wrapText="1"/>
    </xf>
    <xf numFmtId="177" fontId="0" fillId="0" borderId="0" xfId="0" applyNumberFormat="1"/>
    <xf numFmtId="0" fontId="14" fillId="3" borderId="0" xfId="0" applyFont="1" applyFill="1" applyAlignment="1">
      <alignment horizontal="left" indent="1"/>
    </xf>
    <xf numFmtId="164" fontId="14" fillId="0" borderId="0" xfId="0" applyNumberFormat="1" applyFont="1" applyFill="1" applyAlignment="1">
      <alignment horizontal="right" wrapText="1"/>
    </xf>
    <xf numFmtId="10" fontId="0" fillId="0" borderId="0" xfId="2" applyNumberFormat="1" applyFont="1"/>
    <xf numFmtId="178" fontId="0" fillId="0" borderId="0" xfId="0" applyNumberFormat="1"/>
    <xf numFmtId="179" fontId="0" fillId="0" borderId="0" xfId="0" applyNumberFormat="1"/>
    <xf numFmtId="0" fontId="14" fillId="0" borderId="0" xfId="0" applyFont="1" applyFill="1" applyAlignment="1">
      <alignment horizontal="left" indent="1"/>
    </xf>
    <xf numFmtId="0" fontId="34" fillId="3" borderId="0" xfId="0" applyFont="1" applyFill="1" applyAlignment="1">
      <alignment horizontal="left" wrapText="1"/>
    </xf>
    <xf numFmtId="164" fontId="34" fillId="0" borderId="0" xfId="1" applyNumberFormat="1" applyFont="1" applyFill="1" applyAlignment="1">
      <alignment horizontal="right" wrapText="1"/>
    </xf>
    <xf numFmtId="166" fontId="34" fillId="0" borderId="0" xfId="1" applyNumberFormat="1" applyFont="1" applyFill="1" applyAlignment="1">
      <alignment horizontal="right" wrapText="1"/>
    </xf>
    <xf numFmtId="167" fontId="14" fillId="0" borderId="0" xfId="1" applyFont="1" applyAlignment="1">
      <alignment horizontal="right"/>
    </xf>
    <xf numFmtId="0" fontId="14" fillId="0" borderId="0" xfId="0" applyFont="1" applyAlignment="1">
      <alignment horizontal="left" wrapText="1"/>
    </xf>
    <xf numFmtId="167" fontId="0" fillId="0" borderId="0" xfId="1" applyFont="1"/>
    <xf numFmtId="0" fontId="14" fillId="3" borderId="0" xfId="0" applyFont="1" applyFill="1" applyAlignment="1">
      <alignment horizontal="left" wrapText="1"/>
    </xf>
    <xf numFmtId="164" fontId="34" fillId="0" borderId="0" xfId="1" applyNumberFormat="1" applyFont="1" applyFill="1" applyBorder="1" applyAlignment="1">
      <alignment horizontal="right" wrapText="1"/>
    </xf>
    <xf numFmtId="167" fontId="18" fillId="0" borderId="0" xfId="1" applyFont="1"/>
    <xf numFmtId="0" fontId="8" fillId="0" borderId="0" xfId="0" applyFont="1" applyAlignment="1">
      <alignment horizontal="justify"/>
    </xf>
    <xf numFmtId="0" fontId="10" fillId="2" borderId="0" xfId="0" applyFont="1" applyFill="1" applyAlignment="1">
      <alignment horizontal="left" vertical="center" wrapText="1"/>
    </xf>
    <xf numFmtId="0" fontId="12" fillId="0" borderId="0" xfId="0" applyFont="1" applyFill="1" applyAlignment="1">
      <alignment horizontal="center" vertical="center" wrapText="1"/>
    </xf>
    <xf numFmtId="0" fontId="14" fillId="3" borderId="0" xfId="0" applyFont="1" applyFill="1"/>
    <xf numFmtId="164" fontId="14" fillId="0" borderId="0" xfId="0" applyNumberFormat="1" applyFont="1" applyFill="1" applyAlignment="1">
      <alignment horizontal="right"/>
    </xf>
    <xf numFmtId="164" fontId="10" fillId="2" borderId="0" xfId="0" applyNumberFormat="1" applyFont="1" applyFill="1" applyAlignment="1">
      <alignment horizontal="right" vertical="center"/>
    </xf>
    <xf numFmtId="0" fontId="10" fillId="2" borderId="0" xfId="0" applyFont="1" applyFill="1" applyAlignment="1">
      <alignment horizontal="center" vertical="center" wrapText="1"/>
    </xf>
    <xf numFmtId="0" fontId="8" fillId="3" borderId="0" xfId="0" applyFont="1" applyFill="1" applyAlignment="1">
      <alignment horizontal="center" vertical="center" wrapText="1"/>
    </xf>
    <xf numFmtId="0" fontId="12" fillId="0" borderId="0" xfId="0" applyFont="1" applyFill="1" applyAlignment="1">
      <alignment wrapText="1"/>
    </xf>
    <xf numFmtId="0" fontId="7" fillId="0" borderId="0" xfId="0" applyFont="1" applyFill="1" applyAlignment="1">
      <alignment horizontal="center"/>
    </xf>
    <xf numFmtId="0" fontId="23" fillId="0" borderId="0" xfId="0" applyFont="1" applyFill="1" applyAlignment="1">
      <alignment horizontal="center" vertical="center"/>
    </xf>
    <xf numFmtId="0" fontId="10" fillId="2" borderId="0" xfId="0" applyFont="1" applyFill="1" applyAlignment="1">
      <alignment horizontal="center"/>
    </xf>
    <xf numFmtId="0" fontId="10" fillId="2" borderId="0" xfId="0" applyFont="1" applyFill="1" applyAlignment="1">
      <alignment horizontal="center" wrapText="1"/>
    </xf>
    <xf numFmtId="0" fontId="40" fillId="3" borderId="0" xfId="0" applyFont="1" applyFill="1" applyAlignment="1">
      <alignment wrapText="1"/>
    </xf>
    <xf numFmtId="164" fontId="12" fillId="0" borderId="0" xfId="0" applyNumberFormat="1" applyFont="1" applyFill="1" applyAlignment="1">
      <alignment horizontal="right" wrapText="1"/>
    </xf>
    <xf numFmtId="168" fontId="12" fillId="0" borderId="0" xfId="1" applyNumberFormat="1" applyFont="1" applyFill="1" applyAlignment="1">
      <alignment horizontal="right" wrapText="1"/>
    </xf>
    <xf numFmtId="167" fontId="12" fillId="0" borderId="0" xfId="1" applyNumberFormat="1" applyFont="1" applyFill="1" applyAlignment="1">
      <alignment horizontal="right" wrapText="1"/>
    </xf>
    <xf numFmtId="164" fontId="12" fillId="0" borderId="0" xfId="0" applyNumberFormat="1" applyFont="1" applyFill="1" applyAlignment="1">
      <alignment horizontal="center" wrapText="1"/>
    </xf>
    <xf numFmtId="3" fontId="40" fillId="3" borderId="0" xfId="0" applyNumberFormat="1" applyFont="1" applyFill="1" applyAlignment="1">
      <alignment horizontal="right" wrapText="1"/>
    </xf>
    <xf numFmtId="3" fontId="12" fillId="3" borderId="0" xfId="0" applyNumberFormat="1" applyFont="1" applyFill="1" applyAlignment="1">
      <alignment horizontal="right" wrapText="1"/>
    </xf>
    <xf numFmtId="10" fontId="14" fillId="0" borderId="0" xfId="2" applyNumberFormat="1"/>
    <xf numFmtId="3" fontId="12" fillId="0" borderId="0" xfId="0" applyNumberFormat="1" applyFont="1" applyAlignment="1">
      <alignment horizontal="right" wrapText="1"/>
    </xf>
    <xf numFmtId="0" fontId="40" fillId="0" borderId="0" xfId="0" applyFont="1" applyFill="1" applyAlignment="1">
      <alignment wrapText="1"/>
    </xf>
    <xf numFmtId="168" fontId="10" fillId="2" borderId="0" xfId="1" applyNumberFormat="1" applyFont="1" applyFill="1" applyAlignment="1">
      <alignment horizontal="right" vertical="center" wrapText="1"/>
    </xf>
    <xf numFmtId="167" fontId="10" fillId="2" borderId="0" xfId="1" applyNumberFormat="1" applyFont="1" applyFill="1" applyAlignment="1">
      <alignment horizontal="right" vertical="center" wrapText="1"/>
    </xf>
    <xf numFmtId="164" fontId="10" fillId="2" borderId="0" xfId="0" applyNumberFormat="1" applyFont="1" applyFill="1" applyAlignment="1">
      <alignment horizontal="center" vertical="center" wrapText="1"/>
    </xf>
    <xf numFmtId="170" fontId="40" fillId="3" borderId="0" xfId="0" applyNumberFormat="1" applyFont="1" applyFill="1" applyAlignment="1">
      <alignment horizontal="right" wrapText="1"/>
    </xf>
    <xf numFmtId="177" fontId="14" fillId="0" borderId="0" xfId="2" applyNumberFormat="1"/>
    <xf numFmtId="3" fontId="19" fillId="0" borderId="0" xfId="0" applyNumberFormat="1" applyFont="1"/>
    <xf numFmtId="0" fontId="0" fillId="0" borderId="0" xfId="0" applyFill="1" applyAlignment="1">
      <alignment wrapText="1"/>
    </xf>
    <xf numFmtId="181" fontId="0" fillId="0" borderId="0" xfId="0" applyNumberFormat="1"/>
    <xf numFmtId="4" fontId="0" fillId="0" borderId="0" xfId="0" applyNumberFormat="1"/>
    <xf numFmtId="0" fontId="41" fillId="3" borderId="0" xfId="0" applyFont="1" applyFill="1" applyAlignment="1">
      <alignment horizontal="center"/>
    </xf>
    <xf numFmtId="0" fontId="42" fillId="3" borderId="0" xfId="0" applyFont="1" applyFill="1"/>
    <xf numFmtId="164" fontId="40" fillId="0" borderId="0" xfId="0" applyNumberFormat="1" applyFont="1" applyFill="1" applyAlignment="1">
      <alignment wrapText="1"/>
    </xf>
    <xf numFmtId="166" fontId="40" fillId="3" borderId="0" xfId="0" applyNumberFormat="1" applyFont="1" applyFill="1" applyAlignment="1">
      <alignment horizontal="right" vertical="top" wrapText="1"/>
    </xf>
    <xf numFmtId="164" fontId="10" fillId="2" borderId="0" xfId="0" applyNumberFormat="1" applyFont="1" applyFill="1" applyAlignment="1">
      <alignment vertical="center" wrapText="1"/>
    </xf>
    <xf numFmtId="2" fontId="0" fillId="3" borderId="0" xfId="0" applyNumberFormat="1" applyFill="1"/>
    <xf numFmtId="3" fontId="29" fillId="0" borderId="0" xfId="0" applyNumberFormat="1" applyFont="1"/>
    <xf numFmtId="0" fontId="45" fillId="3" borderId="0" xfId="0" applyFont="1" applyFill="1" applyAlignment="1">
      <alignment horizontal="center"/>
    </xf>
    <xf numFmtId="0" fontId="46" fillId="2" borderId="0" xfId="0" applyFont="1" applyFill="1" applyAlignment="1">
      <alignment horizontal="center" vertical="center" wrapText="1"/>
    </xf>
    <xf numFmtId="0" fontId="39" fillId="0" borderId="0" xfId="0" applyFont="1" applyFill="1" applyAlignment="1">
      <alignment wrapText="1"/>
    </xf>
    <xf numFmtId="164" fontId="12" fillId="0" borderId="0" xfId="1" applyNumberFormat="1" applyFont="1" applyFill="1" applyAlignment="1">
      <alignment horizontal="right" wrapText="1"/>
    </xf>
    <xf numFmtId="166" fontId="12" fillId="0" borderId="0" xfId="0" applyNumberFormat="1" applyFont="1" applyFill="1"/>
    <xf numFmtId="0" fontId="39" fillId="0" borderId="3" xfId="0" applyFont="1" applyFill="1" applyBorder="1" applyAlignment="1">
      <alignment wrapText="1"/>
    </xf>
    <xf numFmtId="164" fontId="12" fillId="0" borderId="3" xfId="1" applyNumberFormat="1" applyFont="1" applyFill="1" applyBorder="1" applyAlignment="1">
      <alignment horizontal="right" wrapText="1"/>
    </xf>
    <xf numFmtId="0" fontId="47" fillId="3" borderId="0" xfId="0" applyFont="1" applyFill="1"/>
    <xf numFmtId="164" fontId="0" fillId="3" borderId="0" xfId="0" applyNumberFormat="1" applyFill="1"/>
    <xf numFmtId="0" fontId="47" fillId="0" borderId="0" xfId="0" applyFont="1"/>
    <xf numFmtId="0" fontId="14" fillId="0" borderId="0" xfId="0" applyFont="1" applyFill="1" applyAlignment="1">
      <alignment wrapText="1"/>
    </xf>
    <xf numFmtId="164" fontId="14" fillId="0" borderId="0" xfId="1" applyNumberFormat="1" applyFont="1" applyFill="1" applyAlignment="1">
      <alignment horizontal="right" wrapText="1"/>
    </xf>
    <xf numFmtId="164" fontId="12" fillId="0" borderId="0" xfId="1" applyNumberFormat="1" applyFont="1" applyFill="1"/>
    <xf numFmtId="168" fontId="14" fillId="3" borderId="0" xfId="0" applyNumberFormat="1" applyFont="1" applyFill="1"/>
    <xf numFmtId="168" fontId="0" fillId="3" borderId="0" xfId="1" applyNumberFormat="1" applyFont="1" applyFill="1"/>
    <xf numFmtId="0" fontId="48" fillId="2" borderId="0" xfId="0" applyFont="1" applyFill="1" applyAlignment="1">
      <alignment horizontal="center" vertical="center" wrapText="1"/>
    </xf>
    <xf numFmtId="164" fontId="48" fillId="2" borderId="0" xfId="1" applyNumberFormat="1" applyFont="1" applyFill="1" applyAlignment="1">
      <alignment horizontal="right" vertical="center" wrapText="1"/>
    </xf>
    <xf numFmtId="168" fontId="0" fillId="3" borderId="0" xfId="0" applyNumberFormat="1" applyFill="1"/>
    <xf numFmtId="167" fontId="0" fillId="3" borderId="0" xfId="1" applyFont="1" applyFill="1"/>
    <xf numFmtId="3" fontId="0" fillId="3" borderId="0" xfId="2" applyNumberFormat="1" applyFont="1" applyFill="1"/>
    <xf numFmtId="0" fontId="42" fillId="0" borderId="0" xfId="0" applyFont="1"/>
    <xf numFmtId="0" fontId="49" fillId="0" borderId="0" xfId="0" applyFont="1" applyFill="1" applyAlignment="1">
      <alignment horizontal="center" vertical="center"/>
    </xf>
    <xf numFmtId="0" fontId="10" fillId="0" borderId="0" xfId="0" applyFont="1" applyFill="1" applyAlignment="1">
      <alignment horizontal="center" vertical="center" wrapText="1"/>
    </xf>
    <xf numFmtId="0" fontId="16" fillId="0" borderId="0" xfId="0" applyFont="1" applyFill="1" applyAlignment="1">
      <alignment horizontal="center"/>
    </xf>
    <xf numFmtId="0" fontId="50" fillId="0" borderId="0" xfId="0" applyFont="1" applyFill="1" applyAlignment="1">
      <alignment horizontal="center" vertical="center" wrapText="1"/>
    </xf>
    <xf numFmtId="0" fontId="18" fillId="0" borderId="5" xfId="0" applyFont="1" applyFill="1" applyBorder="1" applyAlignment="1">
      <alignment horizontal="left" wrapText="1"/>
    </xf>
    <xf numFmtId="164" fontId="14" fillId="0" borderId="5" xfId="1" applyNumberFormat="1" applyFont="1" applyFill="1" applyBorder="1" applyAlignment="1">
      <alignment horizontal="left" wrapText="1"/>
    </xf>
    <xf numFmtId="164" fontId="14" fillId="0" borderId="0" xfId="1" applyNumberFormat="1" applyFont="1" applyFill="1" applyBorder="1"/>
    <xf numFmtId="167" fontId="14" fillId="0" borderId="0" xfId="1" applyFont="1" applyFill="1"/>
    <xf numFmtId="0" fontId="18" fillId="0" borderId="6" xfId="0" applyFont="1" applyFill="1" applyBorder="1" applyAlignment="1">
      <alignment horizontal="left" wrapText="1"/>
    </xf>
    <xf numFmtId="164" fontId="14" fillId="0" borderId="6" xfId="1" applyNumberFormat="1" applyFont="1" applyFill="1" applyBorder="1" applyAlignment="1">
      <alignment horizontal="left" wrapText="1"/>
    </xf>
    <xf numFmtId="164" fontId="14" fillId="0" borderId="7" xfId="1" applyNumberFormat="1" applyFont="1" applyFill="1" applyBorder="1"/>
    <xf numFmtId="174" fontId="14" fillId="0" borderId="0" xfId="2" applyNumberFormat="1" applyFont="1" applyFill="1"/>
    <xf numFmtId="0" fontId="18" fillId="0" borderId="8" xfId="0" applyFont="1" applyFill="1" applyBorder="1" applyAlignment="1">
      <alignment horizontal="left" wrapText="1"/>
    </xf>
    <xf numFmtId="164" fontId="14" fillId="0" borderId="8" xfId="1" applyNumberFormat="1" applyFont="1" applyFill="1" applyBorder="1" applyAlignment="1">
      <alignment horizontal="left" wrapText="1"/>
    </xf>
    <xf numFmtId="164" fontId="14" fillId="0" borderId="9" xfId="1" applyNumberFormat="1" applyFont="1" applyFill="1" applyBorder="1"/>
    <xf numFmtId="3" fontId="14" fillId="0" borderId="0" xfId="1" applyNumberFormat="1" applyFont="1" applyFill="1"/>
    <xf numFmtId="3" fontId="14" fillId="0" borderId="0" xfId="2" applyNumberFormat="1" applyFont="1" applyFill="1"/>
    <xf numFmtId="0" fontId="48" fillId="2" borderId="0" xfId="0" applyFont="1" applyFill="1" applyBorder="1" applyAlignment="1">
      <alignment horizontal="center" vertical="center" wrapText="1"/>
    </xf>
    <xf numFmtId="164" fontId="48" fillId="2" borderId="0" xfId="1" applyNumberFormat="1" applyFont="1" applyFill="1" applyBorder="1" applyAlignment="1">
      <alignment horizontal="right" vertical="center" wrapText="1"/>
    </xf>
    <xf numFmtId="164" fontId="48" fillId="0" borderId="0" xfId="1" applyNumberFormat="1" applyFont="1" applyFill="1" applyAlignment="1">
      <alignment horizontal="right" vertical="center" wrapText="1"/>
    </xf>
    <xf numFmtId="164" fontId="18" fillId="0" borderId="0" xfId="1" applyNumberFormat="1" applyFont="1" applyFill="1" applyAlignment="1">
      <alignment horizontal="right" vertical="center" wrapText="1"/>
    </xf>
    <xf numFmtId="174" fontId="18" fillId="0" borderId="0" xfId="2" applyNumberFormat="1" applyFont="1" applyFill="1" applyAlignment="1">
      <alignment horizontal="right" vertical="center" wrapText="1"/>
    </xf>
    <xf numFmtId="0" fontId="29" fillId="0" borderId="0" xfId="0" applyFont="1" applyAlignment="1">
      <alignment wrapText="1"/>
    </xf>
    <xf numFmtId="0" fontId="30" fillId="0" borderId="0" xfId="0" applyFont="1" applyAlignment="1">
      <alignment wrapText="1"/>
    </xf>
    <xf numFmtId="164" fontId="30" fillId="0" borderId="0" xfId="0" applyNumberFormat="1" applyFont="1" applyAlignment="1">
      <alignment wrapText="1"/>
    </xf>
    <xf numFmtId="168" fontId="14" fillId="3" borderId="0" xfId="1" applyNumberFormat="1" applyFill="1"/>
    <xf numFmtId="0" fontId="51" fillId="0" borderId="0" xfId="0" applyFont="1" applyAlignment="1">
      <alignment horizontal="right"/>
    </xf>
    <xf numFmtId="168" fontId="0" fillId="0" borderId="1" xfId="0" applyNumberFormat="1" applyFill="1" applyBorder="1"/>
    <xf numFmtId="0" fontId="0" fillId="0" borderId="10" xfId="0" applyBorder="1"/>
    <xf numFmtId="168" fontId="0" fillId="0" borderId="2" xfId="0" applyNumberFormat="1" applyFill="1" applyBorder="1"/>
    <xf numFmtId="164" fontId="18" fillId="0" borderId="0" xfId="1" applyNumberFormat="1" applyFont="1" applyFill="1"/>
    <xf numFmtId="167" fontId="14" fillId="0" borderId="0" xfId="1" applyFont="1" applyFill="1" applyAlignment="1">
      <alignment horizontal="right" wrapText="1"/>
    </xf>
    <xf numFmtId="164" fontId="14" fillId="0" borderId="0" xfId="1" applyNumberFormat="1" applyFont="1" applyFill="1" applyAlignment="1">
      <alignment horizontal="center"/>
    </xf>
    <xf numFmtId="164" fontId="14" fillId="0" borderId="11" xfId="1" applyNumberFormat="1" applyFont="1" applyFill="1" applyBorder="1"/>
    <xf numFmtId="164" fontId="42" fillId="0" borderId="0" xfId="1" applyNumberFormat="1" applyFont="1" applyFill="1"/>
    <xf numFmtId="168" fontId="0" fillId="0" borderId="2" xfId="0" applyNumberFormat="1" applyBorder="1"/>
    <xf numFmtId="0" fontId="48" fillId="4" borderId="0" xfId="0" applyFont="1" applyFill="1" applyAlignment="1">
      <alignment horizontal="center" vertical="center" wrapText="1"/>
    </xf>
    <xf numFmtId="164" fontId="48" fillId="4" borderId="0" xfId="1" applyNumberFormat="1" applyFont="1" applyFill="1" applyAlignment="1">
      <alignment horizontal="right" vertical="center" wrapText="1"/>
    </xf>
    <xf numFmtId="0" fontId="29" fillId="0" borderId="0" xfId="0" applyFont="1" applyAlignment="1"/>
    <xf numFmtId="0" fontId="30" fillId="0" borderId="0" xfId="0" applyFont="1" applyAlignment="1"/>
    <xf numFmtId="164" fontId="30" fillId="0" borderId="0" xfId="0" applyNumberFormat="1" applyFont="1" applyAlignment="1"/>
    <xf numFmtId="0" fontId="18" fillId="0" borderId="0" xfId="0" applyFont="1" applyFill="1" applyBorder="1" applyAlignment="1">
      <alignment horizontal="center" vertical="center" wrapText="1"/>
    </xf>
    <xf numFmtId="0" fontId="14" fillId="3" borderId="0" xfId="0" applyFont="1" applyFill="1" applyBorder="1" applyAlignment="1">
      <alignment wrapText="1"/>
    </xf>
    <xf numFmtId="164" fontId="0" fillId="0" borderId="0" xfId="1" applyNumberFormat="1" applyFont="1"/>
    <xf numFmtId="166" fontId="14" fillId="0" borderId="0" xfId="1" applyNumberFormat="1" applyFont="1" applyFill="1" applyBorder="1" applyAlignment="1">
      <alignment horizontal="right" wrapText="1"/>
    </xf>
    <xf numFmtId="164" fontId="14" fillId="0" borderId="0" xfId="1" applyNumberFormat="1" applyFont="1" applyFill="1" applyBorder="1" applyAlignment="1">
      <alignment horizontal="right" wrapText="1"/>
    </xf>
    <xf numFmtId="3" fontId="0" fillId="0" borderId="0" xfId="0" applyNumberFormat="1" applyFill="1"/>
    <xf numFmtId="168" fontId="0" fillId="0" borderId="0" xfId="0" applyNumberFormat="1"/>
    <xf numFmtId="0" fontId="14" fillId="0" borderId="0" xfId="0" applyFont="1" applyBorder="1" applyAlignment="1">
      <alignment wrapText="1"/>
    </xf>
    <xf numFmtId="164" fontId="0" fillId="0" borderId="0" xfId="1" applyNumberFormat="1" applyFont="1" applyFill="1"/>
    <xf numFmtId="0" fontId="0" fillId="0" borderId="0" xfId="0" applyFill="1"/>
    <xf numFmtId="164" fontId="48" fillId="2" borderId="0" xfId="0" applyNumberFormat="1" applyFont="1" applyFill="1" applyBorder="1" applyAlignment="1">
      <alignment horizontal="right" vertical="center" wrapText="1"/>
    </xf>
    <xf numFmtId="3" fontId="16" fillId="0" borderId="0" xfId="0" applyNumberFormat="1" applyFont="1" applyFill="1"/>
    <xf numFmtId="10" fontId="0" fillId="0" borderId="0" xfId="2" applyNumberFormat="1" applyFont="1" applyFill="1"/>
    <xf numFmtId="164" fontId="14" fillId="0" borderId="0" xfId="1" applyNumberFormat="1" applyFont="1"/>
    <xf numFmtId="0" fontId="52" fillId="0" borderId="0" xfId="0" applyFont="1" applyFill="1" applyAlignment="1">
      <alignment vertical="center"/>
    </xf>
    <xf numFmtId="0" fontId="0" fillId="0" borderId="0" xfId="0" applyBorder="1"/>
    <xf numFmtId="168" fontId="0" fillId="0" borderId="0" xfId="0" applyNumberFormat="1" applyBorder="1"/>
    <xf numFmtId="167" fontId="0" fillId="0" borderId="0" xfId="0" applyNumberFormat="1" applyBorder="1"/>
    <xf numFmtId="166" fontId="48" fillId="2" borderId="0" xfId="1" applyNumberFormat="1" applyFont="1" applyFill="1" applyBorder="1" applyAlignment="1">
      <alignment horizontal="right" vertical="center" wrapText="1"/>
    </xf>
    <xf numFmtId="164" fontId="48" fillId="2" borderId="0" xfId="1" applyNumberFormat="1" applyFont="1" applyFill="1" applyBorder="1" applyAlignment="1">
      <alignment horizontal="center" vertical="center" wrapText="1"/>
    </xf>
    <xf numFmtId="164" fontId="14" fillId="0" borderId="0" xfId="1" applyNumberFormat="1" applyFont="1" applyAlignment="1">
      <alignment horizontal="center"/>
    </xf>
    <xf numFmtId="164" fontId="14" fillId="0" borderId="0" xfId="1" applyNumberFormat="1" applyFont="1" applyAlignment="1"/>
    <xf numFmtId="0" fontId="14" fillId="0" borderId="0" xfId="3"/>
    <xf numFmtId="0" fontId="9" fillId="0" borderId="0" xfId="3" applyFont="1"/>
    <xf numFmtId="0" fontId="48" fillId="2" borderId="0" xfId="3" applyFont="1" applyFill="1" applyBorder="1" applyAlignment="1">
      <alignment horizontal="center" vertical="center" wrapText="1"/>
    </xf>
    <xf numFmtId="0" fontId="23" fillId="0" borderId="0" xfId="3" applyFont="1" applyFill="1" applyAlignment="1">
      <alignment horizontal="center" vertical="center"/>
    </xf>
    <xf numFmtId="3" fontId="14" fillId="0" borderId="0" xfId="3" applyNumberFormat="1" applyFill="1"/>
    <xf numFmtId="0" fontId="18" fillId="0" borderId="0" xfId="3" applyFont="1"/>
    <xf numFmtId="0" fontId="14" fillId="0" borderId="0" xfId="3" applyFill="1"/>
    <xf numFmtId="3" fontId="16" fillId="0" borderId="0" xfId="3" applyNumberFormat="1" applyFont="1" applyFill="1"/>
    <xf numFmtId="0" fontId="16" fillId="0" borderId="0" xfId="3" applyFont="1"/>
    <xf numFmtId="0" fontId="18" fillId="0" borderId="0" xfId="3" applyFont="1" applyFill="1" applyBorder="1" applyAlignment="1">
      <alignment horizontal="center" vertical="center" wrapText="1"/>
    </xf>
    <xf numFmtId="0" fontId="15" fillId="0" borderId="0" xfId="3" applyFont="1" applyFill="1" applyAlignment="1">
      <alignment horizontal="left" wrapText="1"/>
    </xf>
    <xf numFmtId="164" fontId="14" fillId="0" borderId="0" xfId="3" applyNumberFormat="1" applyFont="1" applyFill="1" applyBorder="1" applyAlignment="1">
      <alignment horizontal="right" wrapText="1"/>
    </xf>
    <xf numFmtId="166" fontId="14" fillId="0" borderId="0" xfId="3" applyNumberFormat="1" applyFont="1" applyFill="1" applyBorder="1" applyAlignment="1">
      <alignment horizontal="right" wrapText="1"/>
    </xf>
    <xf numFmtId="3" fontId="14" fillId="0" borderId="0" xfId="3" applyNumberFormat="1"/>
    <xf numFmtId="164" fontId="14" fillId="0" borderId="0" xfId="3" applyNumberFormat="1"/>
    <xf numFmtId="164" fontId="14" fillId="0" borderId="0" xfId="1" applyNumberFormat="1"/>
    <xf numFmtId="3" fontId="14" fillId="0" borderId="0" xfId="1" applyNumberFormat="1" applyFill="1"/>
    <xf numFmtId="167" fontId="14" fillId="0" borderId="0" xfId="1" applyFill="1"/>
    <xf numFmtId="0" fontId="10" fillId="2" borderId="0" xfId="0" applyFont="1" applyFill="1" applyAlignment="1">
      <alignment horizontal="center" vertical="center" wrapText="1"/>
    </xf>
    <xf numFmtId="0" fontId="8" fillId="3" borderId="0" xfId="0" applyFont="1" applyFill="1" applyAlignment="1">
      <alignment horizontal="center" vertical="center" wrapText="1"/>
    </xf>
    <xf numFmtId="0" fontId="0" fillId="0" borderId="0" xfId="0" applyAlignment="1"/>
    <xf numFmtId="0" fontId="23" fillId="0" borderId="0" xfId="0" applyFont="1" applyFill="1" applyAlignment="1">
      <alignment horizontal="center" vertical="center"/>
    </xf>
    <xf numFmtId="0" fontId="14" fillId="0" borderId="0" xfId="0" applyFont="1" applyFill="1" applyBorder="1" applyAlignment="1">
      <alignment horizontal="left" vertical="center" wrapText="1"/>
    </xf>
    <xf numFmtId="164" fontId="14" fillId="0" borderId="0" xfId="0" applyNumberFormat="1" applyFont="1" applyFill="1"/>
    <xf numFmtId="164" fontId="14" fillId="3" borderId="0" xfId="0" applyNumberFormat="1" applyFont="1" applyFill="1" applyAlignment="1">
      <alignment wrapText="1"/>
    </xf>
    <xf numFmtId="164" fontId="14" fillId="3" borderId="0" xfId="0" applyNumberFormat="1" applyFont="1" applyFill="1"/>
    <xf numFmtId="164" fontId="48" fillId="2" borderId="0" xfId="0" applyNumberFormat="1" applyFont="1" applyFill="1" applyAlignment="1">
      <alignment horizontal="right" vertical="center"/>
    </xf>
    <xf numFmtId="164" fontId="48" fillId="2" borderId="0" xfId="0" applyNumberFormat="1" applyFont="1" applyFill="1" applyAlignment="1">
      <alignment horizontal="right" vertical="center" wrapText="1"/>
    </xf>
    <xf numFmtId="0" fontId="9" fillId="3" borderId="0" xfId="0" applyFont="1" applyFill="1"/>
    <xf numFmtId="168" fontId="14" fillId="3" borderId="0" xfId="1" applyNumberFormat="1" applyFont="1" applyFill="1"/>
    <xf numFmtId="164" fontId="18" fillId="0" borderId="0" xfId="0" applyNumberFormat="1" applyFont="1" applyFill="1" applyAlignment="1">
      <alignment horizontal="right" vertical="center"/>
    </xf>
    <xf numFmtId="0" fontId="0" fillId="0" borderId="0" xfId="0" applyAlignment="1">
      <alignment horizontal="justify"/>
    </xf>
    <xf numFmtId="164" fontId="0" fillId="3" borderId="0" xfId="2" applyNumberFormat="1" applyFont="1" applyFill="1"/>
    <xf numFmtId="0" fontId="12" fillId="3" borderId="12" xfId="0" applyFont="1" applyFill="1" applyBorder="1" applyAlignment="1">
      <alignment vertical="center" wrapText="1"/>
    </xf>
    <xf numFmtId="3" fontId="14" fillId="0" borderId="12" xfId="0" applyNumberFormat="1" applyFont="1" applyFill="1" applyBorder="1"/>
    <xf numFmtId="164" fontId="14" fillId="0" borderId="12" xfId="0" applyNumberFormat="1" applyFont="1" applyFill="1" applyBorder="1" applyAlignment="1">
      <alignment wrapText="1"/>
    </xf>
    <xf numFmtId="164" fontId="14" fillId="0" borderId="12" xfId="0" applyNumberFormat="1" applyFont="1" applyFill="1" applyBorder="1"/>
    <xf numFmtId="168" fontId="0" fillId="3" borderId="0" xfId="1" applyNumberFormat="1" applyFont="1" applyFill="1" applyAlignment="1">
      <alignment horizontal="center"/>
    </xf>
    <xf numFmtId="168" fontId="0" fillId="3" borderId="0" xfId="0" applyNumberFormat="1" applyFill="1" applyAlignment="1">
      <alignment horizontal="center"/>
    </xf>
    <xf numFmtId="0" fontId="0" fillId="3" borderId="0" xfId="0" applyFill="1" applyAlignment="1">
      <alignment horizontal="center"/>
    </xf>
    <xf numFmtId="3" fontId="14" fillId="0" borderId="0" xfId="0" applyNumberFormat="1" applyFont="1" applyFill="1" applyBorder="1"/>
    <xf numFmtId="164" fontId="14" fillId="0" borderId="0" xfId="0" applyNumberFormat="1" applyFont="1" applyFill="1" applyBorder="1" applyAlignment="1">
      <alignment wrapText="1"/>
    </xf>
    <xf numFmtId="164" fontId="14" fillId="0" borderId="0" xfId="0" applyNumberFormat="1" applyFont="1" applyFill="1" applyBorder="1"/>
    <xf numFmtId="0" fontId="12" fillId="3" borderId="13" xfId="0" applyFont="1" applyFill="1" applyBorder="1" applyAlignment="1">
      <alignment vertical="center" wrapText="1"/>
    </xf>
    <xf numFmtId="3" fontId="14" fillId="0" borderId="13" xfId="0" applyNumberFormat="1" applyFont="1" applyFill="1" applyBorder="1"/>
    <xf numFmtId="164" fontId="14" fillId="0" borderId="13" xfId="0" applyNumberFormat="1" applyFont="1" applyFill="1" applyBorder="1" applyAlignment="1">
      <alignment wrapText="1"/>
    </xf>
    <xf numFmtId="164" fontId="14" fillId="0" borderId="13" xfId="0" applyNumberFormat="1" applyFont="1" applyFill="1" applyBorder="1"/>
    <xf numFmtId="0" fontId="12" fillId="3" borderId="0" xfId="0" applyFont="1" applyFill="1" applyAlignment="1">
      <alignment vertical="center" wrapText="1"/>
    </xf>
    <xf numFmtId="3" fontId="14" fillId="0" borderId="0" xfId="0" applyNumberFormat="1" applyFont="1" applyFill="1"/>
    <xf numFmtId="3" fontId="14" fillId="0" borderId="14" xfId="0" applyNumberFormat="1" applyFont="1" applyFill="1" applyBorder="1"/>
    <xf numFmtId="164" fontId="14" fillId="0" borderId="14" xfId="0" applyNumberFormat="1" applyFont="1" applyFill="1" applyBorder="1" applyAlignment="1">
      <alignment wrapText="1"/>
    </xf>
    <xf numFmtId="164" fontId="14" fillId="0" borderId="14" xfId="0" applyNumberFormat="1" applyFont="1" applyFill="1" applyBorder="1"/>
    <xf numFmtId="0" fontId="7" fillId="3" borderId="0" xfId="0" applyFont="1" applyFill="1"/>
    <xf numFmtId="0" fontId="19" fillId="0" borderId="0" xfId="0" applyFont="1" applyFill="1" applyBorder="1" applyAlignment="1">
      <alignment horizontal="left" vertical="center" wrapText="1"/>
    </xf>
    <xf numFmtId="0" fontId="48" fillId="3" borderId="0" xfId="0" applyFont="1" applyFill="1" applyAlignment="1">
      <alignment vertical="center"/>
    </xf>
    <xf numFmtId="164" fontId="18" fillId="3" borderId="0" xfId="0" applyNumberFormat="1" applyFont="1" applyFill="1" applyAlignment="1">
      <alignment vertical="center"/>
    </xf>
    <xf numFmtId="0" fontId="14" fillId="3" borderId="0" xfId="0" applyFont="1" applyFill="1" applyAlignment="1">
      <alignment vertical="center"/>
    </xf>
    <xf numFmtId="0" fontId="47" fillId="3" borderId="0" xfId="0" applyFont="1" applyFill="1" applyAlignment="1">
      <alignment vertical="center"/>
    </xf>
    <xf numFmtId="0" fontId="12" fillId="0" borderId="0" xfId="0" applyFont="1" applyFill="1" applyBorder="1" applyAlignment="1">
      <alignment horizontal="left" vertical="center" wrapText="1"/>
    </xf>
    <xf numFmtId="0" fontId="12" fillId="0" borderId="0" xfId="0" applyFont="1" applyFill="1" applyBorder="1" applyAlignment="1">
      <alignment vertical="center" wrapText="1"/>
    </xf>
    <xf numFmtId="164" fontId="0" fillId="0" borderId="0" xfId="0" applyNumberFormat="1" applyFill="1" applyBorder="1" applyAlignment="1">
      <alignment vertical="center"/>
    </xf>
    <xf numFmtId="3" fontId="0" fillId="0" borderId="0" xfId="0" applyNumberFormat="1" applyFill="1" applyAlignment="1">
      <alignment vertical="center"/>
    </xf>
    <xf numFmtId="3" fontId="0" fillId="3" borderId="0" xfId="0" applyNumberFormat="1" applyFill="1" applyAlignment="1">
      <alignment vertical="center"/>
    </xf>
    <xf numFmtId="168" fontId="14" fillId="3" borderId="0" xfId="1" applyNumberFormat="1" applyFont="1" applyFill="1" applyAlignment="1">
      <alignment vertical="center"/>
    </xf>
    <xf numFmtId="168" fontId="14" fillId="3" borderId="0" xfId="0" applyNumberFormat="1" applyFont="1" applyFill="1" applyAlignment="1">
      <alignment vertical="center"/>
    </xf>
    <xf numFmtId="164" fontId="14" fillId="3" borderId="0" xfId="0" applyNumberFormat="1" applyFont="1" applyFill="1" applyAlignment="1">
      <alignment vertical="center"/>
    </xf>
    <xf numFmtId="0" fontId="19" fillId="0" borderId="0" xfId="0" applyFont="1" applyFill="1" applyBorder="1" applyAlignment="1">
      <alignment horizontal="left" vertical="center"/>
    </xf>
    <xf numFmtId="0" fontId="19" fillId="0" borderId="0" xfId="0" applyFont="1" applyFill="1" applyBorder="1" applyAlignment="1">
      <alignment vertical="center" wrapText="1"/>
    </xf>
    <xf numFmtId="164" fontId="18" fillId="0" borderId="0" xfId="0" applyNumberFormat="1" applyFont="1" applyFill="1" applyBorder="1" applyAlignment="1">
      <alignment vertical="center"/>
    </xf>
    <xf numFmtId="164" fontId="14" fillId="0" borderId="0" xfId="0" applyNumberFormat="1" applyFont="1" applyFill="1" applyBorder="1" applyAlignment="1">
      <alignment vertical="center"/>
    </xf>
    <xf numFmtId="3" fontId="14" fillId="3" borderId="0" xfId="0" applyNumberFormat="1" applyFont="1" applyFill="1" applyAlignment="1">
      <alignment vertical="center"/>
    </xf>
    <xf numFmtId="164" fontId="48" fillId="2" borderId="0" xfId="0" applyNumberFormat="1" applyFont="1" applyFill="1"/>
    <xf numFmtId="174" fontId="14" fillId="3" borderId="0" xfId="2" applyNumberFormat="1" applyFont="1" applyFill="1"/>
    <xf numFmtId="0" fontId="14" fillId="3" borderId="0" xfId="0" applyFont="1" applyFill="1" applyBorder="1"/>
    <xf numFmtId="0" fontId="50" fillId="0" borderId="0" xfId="0" applyFont="1" applyFill="1" applyAlignment="1">
      <alignment horizontal="center" vertical="center"/>
    </xf>
    <xf numFmtId="3" fontId="14" fillId="3" borderId="0" xfId="0" applyNumberFormat="1" applyFont="1" applyFill="1"/>
    <xf numFmtId="0" fontId="48" fillId="2" borderId="0" xfId="0" applyFont="1" applyFill="1" applyBorder="1" applyAlignment="1">
      <alignment horizontal="center" vertical="center" wrapText="1"/>
    </xf>
    <xf numFmtId="0" fontId="18" fillId="0" borderId="1" xfId="0" applyFont="1" applyBorder="1" applyAlignment="1">
      <alignment horizontal="center"/>
    </xf>
    <xf numFmtId="0" fontId="18" fillId="0" borderId="10" xfId="0" applyFont="1" applyBorder="1" applyAlignment="1">
      <alignment horizontal="center"/>
    </xf>
    <xf numFmtId="0" fontId="28" fillId="0" borderId="0" xfId="0" applyFont="1" applyFill="1" applyBorder="1"/>
    <xf numFmtId="0" fontId="28" fillId="0" borderId="0" xfId="0" applyFont="1"/>
    <xf numFmtId="0" fontId="28" fillId="0" borderId="0" xfId="3" applyFont="1" applyAlignment="1">
      <alignment horizontal="center"/>
    </xf>
    <xf numFmtId="0" fontId="14" fillId="0" borderId="0" xfId="3" applyAlignment="1">
      <alignment vertical="center"/>
    </xf>
    <xf numFmtId="4" fontId="14" fillId="0" borderId="0" xfId="3" applyNumberFormat="1" applyFill="1"/>
    <xf numFmtId="0" fontId="14" fillId="0" borderId="0" xfId="3" applyFill="1" applyBorder="1"/>
    <xf numFmtId="0" fontId="18" fillId="0" borderId="0" xfId="3" applyFont="1" applyAlignment="1">
      <alignment horizontal="center"/>
    </xf>
    <xf numFmtId="0" fontId="14" fillId="0" borderId="0" xfId="3" applyAlignment="1">
      <alignment horizontal="center"/>
    </xf>
    <xf numFmtId="167" fontId="0" fillId="0" borderId="0" xfId="1" applyFont="1" applyFill="1"/>
    <xf numFmtId="0" fontId="14" fillId="0" borderId="0" xfId="0" applyFont="1" applyFill="1"/>
    <xf numFmtId="0" fontId="0" fillId="0" borderId="0" xfId="0" applyFill="1" applyBorder="1"/>
    <xf numFmtId="180" fontId="14" fillId="0" borderId="0" xfId="1" applyNumberFormat="1" applyFont="1"/>
    <xf numFmtId="0" fontId="9" fillId="0" borderId="0" xfId="0" applyFont="1" applyAlignment="1">
      <alignment horizontal="center"/>
    </xf>
    <xf numFmtId="0" fontId="7" fillId="0" borderId="0" xfId="0" applyFont="1" applyAlignment="1">
      <alignment horizontal="right"/>
    </xf>
    <xf numFmtId="0" fontId="35" fillId="0" borderId="0" xfId="0" applyFont="1" applyBorder="1" applyAlignment="1">
      <alignment horizontal="center"/>
    </xf>
    <xf numFmtId="0" fontId="28" fillId="0" borderId="0" xfId="0" applyFont="1" applyBorder="1"/>
    <xf numFmtId="164" fontId="0" fillId="0" borderId="0" xfId="0" applyNumberFormat="1" applyFill="1"/>
    <xf numFmtId="168" fontId="0" fillId="0" borderId="0" xfId="0" applyNumberFormat="1" applyFill="1"/>
    <xf numFmtId="0" fontId="18" fillId="0" borderId="0" xfId="0" applyFont="1" applyAlignment="1">
      <alignment horizontal="center"/>
    </xf>
    <xf numFmtId="167" fontId="7" fillId="0" borderId="0" xfId="1" applyFont="1" applyFill="1" applyBorder="1" applyAlignment="1">
      <alignment vertical="center" wrapText="1"/>
    </xf>
    <xf numFmtId="164" fontId="14" fillId="0" borderId="0" xfId="1" applyNumberFormat="1" applyFill="1" applyBorder="1" applyAlignment="1">
      <alignment horizontal="right" indent="2"/>
    </xf>
    <xf numFmtId="164" fontId="14" fillId="0" borderId="0" xfId="1" applyNumberFormat="1" applyFont="1" applyFill="1" applyBorder="1" applyAlignment="1">
      <alignment horizontal="right" indent="2"/>
    </xf>
    <xf numFmtId="164" fontId="48" fillId="2" borderId="0" xfId="1" applyNumberFormat="1" applyFont="1" applyFill="1" applyBorder="1" applyAlignment="1">
      <alignment horizontal="center" vertical="center"/>
    </xf>
    <xf numFmtId="164" fontId="14" fillId="0" borderId="0" xfId="1" applyNumberFormat="1" applyFont="1" applyFill="1" applyAlignment="1">
      <alignment horizontal="right"/>
    </xf>
    <xf numFmtId="0" fontId="16" fillId="0" borderId="0" xfId="0" applyFont="1" applyAlignment="1">
      <alignment horizontal="left"/>
    </xf>
    <xf numFmtId="41" fontId="10" fillId="2" borderId="0" xfId="1" applyNumberFormat="1" applyFont="1" applyFill="1" applyAlignment="1">
      <alignment horizontal="right" vertical="center" wrapText="1"/>
    </xf>
    <xf numFmtId="0" fontId="9" fillId="0" borderId="0" xfId="3" applyFont="1" applyAlignment="1">
      <alignment horizontal="center"/>
    </xf>
    <xf numFmtId="0" fontId="58" fillId="0" borderId="0" xfId="3" applyFont="1" applyFill="1" applyBorder="1" applyAlignment="1">
      <alignment horizontal="left"/>
    </xf>
    <xf numFmtId="164" fontId="14" fillId="0" borderId="0" xfId="3" applyNumberFormat="1" applyFill="1"/>
    <xf numFmtId="0" fontId="14" fillId="0" borderId="0" xfId="3" applyBorder="1"/>
    <xf numFmtId="0" fontId="8" fillId="0" borderId="0" xfId="0" applyFont="1" applyFill="1" applyAlignment="1">
      <alignment horizontal="center" vertical="center"/>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0" fillId="0" borderId="0" xfId="0" applyAlignment="1"/>
    <xf numFmtId="0" fontId="9" fillId="0" borderId="0" xfId="0" applyFont="1" applyAlignment="1">
      <alignment horizontal="center" vertical="center" wrapText="1"/>
    </xf>
    <xf numFmtId="0" fontId="23" fillId="0" borderId="0" xfId="0" applyFont="1" applyFill="1" applyAlignment="1">
      <alignment horizontal="center" vertical="center"/>
    </xf>
    <xf numFmtId="0" fontId="29" fillId="0" borderId="0" xfId="0" applyFont="1" applyAlignment="1">
      <alignment horizontal="justify" wrapText="1"/>
    </xf>
    <xf numFmtId="0" fontId="9" fillId="0" borderId="0" xfId="0" applyFont="1" applyFill="1" applyAlignment="1"/>
    <xf numFmtId="0" fontId="48" fillId="2" borderId="0" xfId="0" applyFont="1" applyFill="1" applyBorder="1" applyAlignment="1">
      <alignment horizontal="center" vertical="center" wrapText="1"/>
    </xf>
    <xf numFmtId="0" fontId="8" fillId="0" borderId="0" xfId="0" applyFont="1" applyAlignment="1">
      <alignment horizontal="center" vertical="center" wrapText="1"/>
    </xf>
    <xf numFmtId="0" fontId="12" fillId="0" borderId="0" xfId="0" applyFont="1" applyFill="1" applyBorder="1" applyAlignment="1">
      <alignment horizontal="center" vertical="center" wrapText="1"/>
    </xf>
    <xf numFmtId="0" fontId="12" fillId="0" borderId="0" xfId="0" applyFont="1" applyFill="1" applyAlignment="1">
      <alignment horizontal="center" wrapText="1"/>
    </xf>
    <xf numFmtId="166" fontId="12" fillId="3" borderId="0" xfId="1" applyNumberFormat="1" applyFont="1" applyFill="1" applyAlignment="1">
      <alignment horizontal="right" wrapText="1"/>
    </xf>
    <xf numFmtId="166" fontId="12" fillId="0" borderId="0" xfId="1" applyNumberFormat="1" applyFont="1" applyAlignment="1">
      <alignment horizontal="right"/>
    </xf>
    <xf numFmtId="0" fontId="31" fillId="0" borderId="0" xfId="0" applyFont="1" applyFill="1" applyBorder="1" applyAlignment="1">
      <alignment horizontal="center" vertical="center" wrapText="1"/>
    </xf>
    <xf numFmtId="0" fontId="12" fillId="0" borderId="0" xfId="0" applyFont="1" applyFill="1" applyBorder="1" applyAlignment="1">
      <alignment horizontal="center" wrapText="1"/>
    </xf>
    <xf numFmtId="1" fontId="12" fillId="0" borderId="0" xfId="0" applyNumberFormat="1" applyFont="1" applyFill="1" applyBorder="1" applyAlignment="1">
      <alignment horizontal="center" wrapText="1"/>
    </xf>
    <xf numFmtId="49" fontId="12" fillId="0" borderId="0" xfId="0" applyNumberFormat="1" applyFont="1" applyFill="1" applyBorder="1" applyAlignment="1">
      <alignment horizontal="center" wrapText="1"/>
    </xf>
    <xf numFmtId="166" fontId="12" fillId="0" borderId="0" xfId="1" applyNumberFormat="1" applyFont="1" applyFill="1" applyBorder="1" applyAlignment="1">
      <alignment horizontal="right" wrapText="1"/>
    </xf>
    <xf numFmtId="166" fontId="12" fillId="0" borderId="0" xfId="1" applyNumberFormat="1" applyFont="1" applyBorder="1" applyAlignment="1">
      <alignment horizontal="right"/>
    </xf>
    <xf numFmtId="166" fontId="12" fillId="0" borderId="0" xfId="1" applyNumberFormat="1" applyFont="1" applyFill="1" applyAlignment="1">
      <alignment horizontal="right" wrapText="1"/>
    </xf>
    <xf numFmtId="166" fontId="12" fillId="0" borderId="0" xfId="1" applyNumberFormat="1" applyFont="1" applyFill="1" applyBorder="1" applyAlignment="1">
      <alignment horizontal="right"/>
    </xf>
    <xf numFmtId="0" fontId="28" fillId="0" borderId="0" xfId="0" applyFont="1" applyFill="1" applyAlignment="1">
      <alignment wrapText="1"/>
    </xf>
    <xf numFmtId="164" fontId="12" fillId="0" borderId="25" xfId="0" applyNumberFormat="1" applyFont="1" applyFill="1" applyBorder="1" applyAlignment="1">
      <alignment wrapText="1"/>
    </xf>
    <xf numFmtId="166" fontId="12" fillId="0" borderId="0" xfId="0" applyNumberFormat="1" applyFont="1" applyFill="1" applyBorder="1" applyAlignment="1">
      <alignment wrapText="1"/>
    </xf>
    <xf numFmtId="3" fontId="0" fillId="3" borderId="0" xfId="0" applyNumberFormat="1" applyFill="1" applyBorder="1"/>
    <xf numFmtId="166" fontId="10" fillId="5" borderId="0" xfId="0" applyNumberFormat="1" applyFont="1" applyFill="1" applyBorder="1" applyAlignment="1">
      <alignment vertical="center" wrapText="1"/>
    </xf>
    <xf numFmtId="3" fontId="14" fillId="3" borderId="0" xfId="0" applyNumberFormat="1" applyFont="1" applyFill="1" applyBorder="1" applyAlignment="1">
      <alignment wrapText="1"/>
    </xf>
    <xf numFmtId="0" fontId="0" fillId="3" borderId="0" xfId="0" applyFill="1" applyBorder="1"/>
    <xf numFmtId="174" fontId="0" fillId="3" borderId="0" xfId="2" applyNumberFormat="1" applyFont="1" applyFill="1"/>
    <xf numFmtId="0" fontId="24" fillId="0" borderId="0" xfId="0" applyFont="1" applyAlignment="1">
      <alignment wrapText="1"/>
    </xf>
    <xf numFmtId="0" fontId="14" fillId="3" borderId="0" xfId="0" applyFont="1" applyFill="1" applyAlignment="1">
      <alignment horizontal="left" wrapText="1" indent="1"/>
    </xf>
    <xf numFmtId="0" fontId="14" fillId="0" borderId="0" xfId="0" applyFont="1" applyAlignment="1">
      <alignment horizontal="left" wrapText="1" indent="1"/>
    </xf>
    <xf numFmtId="2" fontId="0" fillId="0" borderId="0" xfId="0" applyNumberFormat="1"/>
    <xf numFmtId="0" fontId="14" fillId="0" borderId="0" xfId="0" applyFont="1" applyFill="1" applyAlignment="1">
      <alignment horizontal="left" wrapText="1" indent="1"/>
    </xf>
    <xf numFmtId="0" fontId="0" fillId="0" borderId="0" xfId="0" applyFill="1" applyAlignment="1">
      <alignment horizontal="left" wrapText="1" indent="1"/>
    </xf>
    <xf numFmtId="164" fontId="34" fillId="0" borderId="0" xfId="0" applyNumberFormat="1" applyFont="1" applyFill="1" applyAlignment="1">
      <alignment horizontal="right" wrapText="1"/>
    </xf>
    <xf numFmtId="164" fontId="60" fillId="0" borderId="0" xfId="0" applyNumberFormat="1" applyFont="1" applyFill="1" applyAlignment="1">
      <alignment horizontal="right" wrapText="1"/>
    </xf>
    <xf numFmtId="182" fontId="60" fillId="0" borderId="0" xfId="0" applyNumberFormat="1" applyFont="1" applyFill="1" applyAlignment="1">
      <alignment horizontal="right" wrapText="1"/>
    </xf>
    <xf numFmtId="166" fontId="19" fillId="0" borderId="0" xfId="0" applyNumberFormat="1" applyFont="1" applyFill="1" applyAlignment="1">
      <alignment horizontal="right" wrapText="1"/>
    </xf>
    <xf numFmtId="0" fontId="24" fillId="0" borderId="0" xfId="0" applyFont="1" applyFill="1" applyAlignment="1">
      <alignment wrapText="1"/>
    </xf>
    <xf numFmtId="0" fontId="0" fillId="3" borderId="0" xfId="0" applyFill="1" applyAlignment="1">
      <alignment horizontal="left" wrapText="1" indent="1"/>
    </xf>
    <xf numFmtId="166" fontId="10" fillId="5" borderId="0" xfId="1" applyNumberFormat="1" applyFont="1" applyFill="1" applyAlignment="1">
      <alignment horizontal="right" vertical="center" wrapText="1"/>
    </xf>
    <xf numFmtId="0" fontId="14" fillId="0" borderId="0" xfId="0" applyFont="1" applyFill="1" applyAlignment="1">
      <alignment horizontal="left" vertical="center" wrapText="1"/>
    </xf>
    <xf numFmtId="164" fontId="14" fillId="3" borderId="0" xfId="0" applyNumberFormat="1" applyFont="1" applyFill="1" applyAlignment="1">
      <alignment horizontal="right"/>
    </xf>
    <xf numFmtId="166" fontId="14" fillId="3" borderId="0" xfId="0" applyNumberFormat="1" applyFont="1" applyFill="1" applyAlignment="1">
      <alignment horizontal="right" wrapText="1"/>
    </xf>
    <xf numFmtId="166" fontId="10" fillId="5" borderId="0" xfId="0" applyNumberFormat="1" applyFont="1" applyFill="1" applyAlignment="1">
      <alignment horizontal="right" vertical="center" wrapText="1"/>
    </xf>
    <xf numFmtId="164" fontId="9" fillId="0" borderId="0" xfId="0" applyNumberFormat="1" applyFont="1"/>
    <xf numFmtId="166" fontId="9" fillId="0" borderId="0" xfId="0" applyNumberFormat="1" applyFont="1"/>
    <xf numFmtId="184" fontId="0" fillId="0" borderId="0" xfId="0" applyNumberFormat="1"/>
    <xf numFmtId="3" fontId="14" fillId="0" borderId="0" xfId="0" applyNumberFormat="1" applyFont="1"/>
    <xf numFmtId="0" fontId="18" fillId="3" borderId="0" xfId="0" applyFont="1" applyFill="1" applyAlignment="1">
      <alignment wrapText="1"/>
    </xf>
    <xf numFmtId="164" fontId="18" fillId="0" borderId="0" xfId="0" applyNumberFormat="1" applyFont="1" applyFill="1" applyAlignment="1">
      <alignment horizontal="right"/>
    </xf>
    <xf numFmtId="166" fontId="18" fillId="0" borderId="0" xfId="0" applyNumberFormat="1" applyFont="1" applyFill="1" applyAlignment="1">
      <alignment horizontal="right" wrapText="1"/>
    </xf>
    <xf numFmtId="3" fontId="14" fillId="3" borderId="0" xfId="0" applyNumberFormat="1" applyFont="1" applyFill="1" applyAlignment="1">
      <alignment horizontal="right" wrapText="1"/>
    </xf>
    <xf numFmtId="3" fontId="39" fillId="0" borderId="0" xfId="0" applyNumberFormat="1" applyFont="1" applyFill="1" applyBorder="1"/>
    <xf numFmtId="3" fontId="39" fillId="0" borderId="0" xfId="2" applyNumberFormat="1" applyFont="1" applyFill="1" applyBorder="1"/>
    <xf numFmtId="3" fontId="14" fillId="3" borderId="0" xfId="0" applyNumberFormat="1" applyFont="1" applyFill="1" applyBorder="1" applyAlignment="1">
      <alignment horizontal="right" wrapText="1"/>
    </xf>
    <xf numFmtId="3" fontId="14" fillId="3" borderId="0" xfId="1" applyNumberFormat="1" applyFont="1" applyFill="1" applyAlignment="1">
      <alignment horizontal="right" wrapText="1"/>
    </xf>
    <xf numFmtId="0" fontId="14" fillId="0" borderId="0" xfId="0" applyFont="1" applyFill="1" applyBorder="1"/>
    <xf numFmtId="0" fontId="0" fillId="3" borderId="0" xfId="0" applyFont="1" applyFill="1" applyBorder="1"/>
    <xf numFmtId="180" fontId="0" fillId="0" borderId="0" xfId="1" applyNumberFormat="1" applyFont="1"/>
    <xf numFmtId="0" fontId="10" fillId="2" borderId="0" xfId="0" applyFont="1" applyFill="1" applyBorder="1" applyAlignment="1">
      <alignment horizontal="center" vertical="center" wrapText="1"/>
    </xf>
    <xf numFmtId="0" fontId="14" fillId="0" borderId="0" xfId="0" applyFont="1" applyFill="1" applyAlignment="1">
      <alignment horizontal="center" vertical="center" wrapText="1"/>
    </xf>
    <xf numFmtId="166" fontId="14" fillId="0" borderId="0" xfId="0" applyNumberFormat="1" applyFont="1" applyFill="1" applyAlignment="1">
      <alignment horizontal="right"/>
    </xf>
    <xf numFmtId="185" fontId="14" fillId="0" borderId="0" xfId="0" applyNumberFormat="1" applyFont="1" applyFill="1" applyAlignment="1">
      <alignment horizontal="right"/>
    </xf>
    <xf numFmtId="0" fontId="10" fillId="2" borderId="0" xfId="0" applyFont="1" applyFill="1" applyBorder="1" applyAlignment="1">
      <alignment horizontal="center"/>
    </xf>
    <xf numFmtId="166" fontId="10" fillId="2" borderId="0" xfId="0" applyNumberFormat="1" applyFont="1" applyFill="1" applyBorder="1" applyAlignment="1">
      <alignment horizontal="right"/>
    </xf>
    <xf numFmtId="164" fontId="10" fillId="2" borderId="0" xfId="0" applyNumberFormat="1" applyFont="1" applyFill="1" applyBorder="1" applyAlignment="1">
      <alignment horizontal="right"/>
    </xf>
    <xf numFmtId="0" fontId="44" fillId="0" borderId="0" xfId="0" applyFont="1" applyAlignment="1">
      <alignment vertical="center" wrapText="1"/>
    </xf>
    <xf numFmtId="164" fontId="44" fillId="0" borderId="0" xfId="0" applyNumberFormat="1" applyFont="1" applyAlignment="1">
      <alignment vertical="center" wrapText="1"/>
    </xf>
    <xf numFmtId="180" fontId="14" fillId="0" borderId="0" xfId="1" applyNumberFormat="1"/>
    <xf numFmtId="166" fontId="12" fillId="0" borderId="0" xfId="0" applyNumberFormat="1" applyFont="1" applyFill="1" applyAlignment="1">
      <alignment horizontal="right" wrapText="1"/>
    </xf>
    <xf numFmtId="3" fontId="0" fillId="0" borderId="0" xfId="0" applyNumberFormat="1" applyBorder="1"/>
    <xf numFmtId="0" fontId="14" fillId="0" borderId="0" xfId="0" applyFont="1" applyAlignment="1">
      <alignment vertical="center" wrapText="1"/>
    </xf>
    <xf numFmtId="168" fontId="14" fillId="0" borderId="0" xfId="1" applyNumberFormat="1" applyFont="1" applyFill="1" applyBorder="1" applyAlignment="1">
      <alignment horizontal="right" wrapText="1"/>
    </xf>
    <xf numFmtId="164" fontId="14" fillId="0" borderId="0" xfId="1" applyNumberFormat="1" applyFont="1" applyFill="1" applyBorder="1" applyAlignment="1">
      <alignment horizontal="center" vertical="center" wrapText="1"/>
    </xf>
    <xf numFmtId="166" fontId="14" fillId="0" borderId="0" xfId="1" applyNumberFormat="1" applyFont="1" applyFill="1" applyBorder="1" applyAlignment="1">
      <alignment horizontal="center" vertical="center" wrapText="1"/>
    </xf>
    <xf numFmtId="166" fontId="48" fillId="5" borderId="0" xfId="1" applyNumberFormat="1" applyFont="1" applyFill="1" applyBorder="1" applyAlignment="1">
      <alignment horizontal="right" vertical="center" wrapText="1"/>
    </xf>
    <xf numFmtId="0" fontId="23" fillId="0" borderId="0" xfId="0" applyFont="1" applyFill="1" applyAlignment="1">
      <alignment horizontal="center" vertical="center"/>
    </xf>
    <xf numFmtId="0" fontId="10" fillId="2" borderId="0" xfId="0" applyFont="1" applyFill="1" applyBorder="1" applyAlignment="1">
      <alignment horizontal="center" vertical="center" wrapText="1"/>
    </xf>
    <xf numFmtId="0" fontId="54" fillId="0" borderId="0" xfId="0" applyFont="1" applyFill="1" applyAlignment="1">
      <alignment horizontal="center" vertical="center"/>
    </xf>
    <xf numFmtId="164" fontId="39" fillId="0" borderId="0" xfId="0" applyNumberFormat="1" applyFont="1" applyFill="1" applyAlignment="1">
      <alignment horizontal="right" wrapText="1"/>
    </xf>
    <xf numFmtId="166" fontId="39" fillId="0" borderId="0" xfId="0" applyNumberFormat="1" applyFont="1" applyFill="1" applyAlignment="1">
      <alignment horizontal="right" wrapText="1"/>
    </xf>
    <xf numFmtId="168" fontId="12" fillId="0" borderId="0" xfId="1" applyNumberFormat="1" applyFont="1"/>
    <xf numFmtId="186" fontId="0" fillId="0" borderId="0" xfId="0" applyNumberFormat="1"/>
    <xf numFmtId="186" fontId="12" fillId="0" borderId="0" xfId="1" applyNumberFormat="1" applyFont="1"/>
    <xf numFmtId="0" fontId="12" fillId="0" borderId="0" xfId="0" applyFont="1"/>
    <xf numFmtId="0" fontId="16" fillId="0" borderId="0" xfId="0" applyFont="1" applyAlignment="1">
      <alignment horizontal="center"/>
    </xf>
    <xf numFmtId="0" fontId="28" fillId="0" borderId="0" xfId="0" applyFont="1" applyAlignment="1">
      <alignment horizontal="justify"/>
    </xf>
    <xf numFmtId="0" fontId="62" fillId="0" borderId="0" xfId="0" applyFont="1" applyAlignment="1">
      <alignment horizontal="justify"/>
    </xf>
    <xf numFmtId="0" fontId="16" fillId="0" borderId="0" xfId="0" applyFont="1" applyFill="1"/>
    <xf numFmtId="0" fontId="58" fillId="0" borderId="0" xfId="0" applyFont="1" applyAlignment="1">
      <alignment vertical="center" wrapText="1"/>
    </xf>
    <xf numFmtId="164" fontId="14" fillId="0" borderId="0" xfId="0" applyNumberFormat="1" applyFont="1" applyAlignment="1">
      <alignment horizontal="right"/>
    </xf>
    <xf numFmtId="164" fontId="14" fillId="3" borderId="0" xfId="0" applyNumberFormat="1" applyFont="1" applyFill="1" applyAlignment="1"/>
    <xf numFmtId="164" fontId="14" fillId="0" borderId="0" xfId="0" applyNumberFormat="1" applyFont="1" applyAlignment="1"/>
    <xf numFmtId="166" fontId="14" fillId="0" borderId="0" xfId="0" applyNumberFormat="1" applyFont="1" applyAlignment="1">
      <alignment horizontal="right"/>
    </xf>
    <xf numFmtId="166" fontId="10" fillId="2" borderId="0" xfId="0" applyNumberFormat="1" applyFont="1" applyFill="1" applyAlignment="1">
      <alignment horizontal="right" vertical="center"/>
    </xf>
    <xf numFmtId="0" fontId="15" fillId="3" borderId="0" xfId="0" applyFont="1" applyFill="1" applyAlignment="1">
      <alignment wrapText="1"/>
    </xf>
    <xf numFmtId="164" fontId="10" fillId="2" borderId="0" xfId="0" applyNumberFormat="1" applyFont="1" applyFill="1" applyBorder="1" applyAlignment="1">
      <alignment horizontal="right" vertical="center" wrapText="1"/>
    </xf>
    <xf numFmtId="174" fontId="14" fillId="0" borderId="0" xfId="2" applyNumberFormat="1" applyFill="1"/>
    <xf numFmtId="168" fontId="18" fillId="0" borderId="0" xfId="1" applyNumberFormat="1" applyFont="1" applyAlignment="1">
      <alignment horizontal="center"/>
    </xf>
    <xf numFmtId="164" fontId="10" fillId="5" borderId="0" xfId="0" applyNumberFormat="1" applyFont="1" applyFill="1" applyAlignment="1">
      <alignment horizontal="right" vertical="center"/>
    </xf>
    <xf numFmtId="166" fontId="10" fillId="5" borderId="0" xfId="0" applyNumberFormat="1" applyFont="1" applyFill="1" applyAlignment="1">
      <alignment horizontal="right" vertical="center"/>
    </xf>
    <xf numFmtId="0" fontId="28" fillId="0" borderId="0" xfId="0" applyFont="1" applyAlignment="1">
      <alignment vertical="center"/>
    </xf>
    <xf numFmtId="10" fontId="0" fillId="0" borderId="0" xfId="0" applyNumberFormat="1"/>
    <xf numFmtId="168" fontId="12" fillId="0" borderId="0" xfId="1" applyNumberFormat="1" applyFont="1" applyFill="1" applyAlignment="1">
      <alignment horizontal="right" vertical="center" wrapText="1"/>
    </xf>
    <xf numFmtId="3" fontId="14" fillId="0" borderId="0" xfId="2" applyNumberFormat="1" applyFont="1"/>
    <xf numFmtId="174" fontId="30" fillId="0" borderId="0" xfId="2" applyNumberFormat="1" applyFont="1"/>
    <xf numFmtId="164" fontId="14" fillId="0" borderId="0" xfId="0" applyNumberFormat="1" applyFont="1"/>
    <xf numFmtId="178" fontId="14" fillId="0" borderId="0" xfId="0" applyNumberFormat="1" applyFont="1"/>
    <xf numFmtId="3" fontId="30" fillId="0" borderId="0" xfId="0" applyNumberFormat="1" applyFont="1"/>
    <xf numFmtId="186" fontId="14" fillId="0" borderId="0" xfId="0" applyNumberFormat="1" applyFont="1"/>
    <xf numFmtId="4" fontId="14" fillId="0" borderId="0" xfId="0" applyNumberFormat="1" applyFont="1" applyBorder="1"/>
    <xf numFmtId="164" fontId="48" fillId="5" borderId="0" xfId="1" applyNumberFormat="1" applyFont="1" applyFill="1" applyAlignment="1">
      <alignment horizontal="right" vertical="center" wrapText="1"/>
    </xf>
    <xf numFmtId="0" fontId="40" fillId="3" borderId="0" xfId="0" applyFont="1" applyFill="1" applyBorder="1" applyAlignment="1">
      <alignment wrapText="1"/>
    </xf>
    <xf numFmtId="164" fontId="12" fillId="0" borderId="0" xfId="0" applyNumberFormat="1" applyFont="1" applyFill="1" applyBorder="1" applyAlignment="1">
      <alignment horizontal="right" wrapText="1"/>
    </xf>
    <xf numFmtId="166" fontId="12" fillId="3" borderId="0" xfId="0" applyNumberFormat="1" applyFont="1" applyFill="1" applyAlignment="1">
      <alignment horizontal="right" wrapText="1"/>
    </xf>
    <xf numFmtId="167" fontId="18" fillId="0" borderId="0" xfId="1" applyFont="1" applyAlignment="1">
      <alignment horizontal="center"/>
    </xf>
    <xf numFmtId="0" fontId="66" fillId="0" borderId="0" xfId="0" applyFont="1" applyFill="1"/>
    <xf numFmtId="167" fontId="0" fillId="0" borderId="0" xfId="1" applyFont="1" applyAlignment="1"/>
    <xf numFmtId="0" fontId="14" fillId="0" borderId="0" xfId="0" applyFont="1" applyFill="1" applyBorder="1" applyAlignment="1">
      <alignment horizontal="left" vertical="center"/>
    </xf>
    <xf numFmtId="0" fontId="14" fillId="0" borderId="12" xfId="0" applyFont="1" applyFill="1" applyBorder="1" applyAlignment="1">
      <alignment vertical="center"/>
    </xf>
    <xf numFmtId="0" fontId="14" fillId="0" borderId="12" xfId="0" applyFont="1" applyFill="1" applyBorder="1" applyAlignment="1">
      <alignment horizontal="left" vertical="center" wrapText="1"/>
    </xf>
    <xf numFmtId="164" fontId="14" fillId="0" borderId="12" xfId="1" applyNumberFormat="1" applyFont="1" applyFill="1" applyBorder="1" applyAlignment="1">
      <alignment horizontal="center" vertical="center" wrapText="1"/>
    </xf>
    <xf numFmtId="166" fontId="14" fillId="0" borderId="12" xfId="1" applyNumberFormat="1" applyFont="1" applyFill="1" applyBorder="1" applyAlignment="1">
      <alignment horizontal="center" vertical="center" wrapText="1"/>
    </xf>
    <xf numFmtId="164" fontId="0" fillId="0" borderId="12" xfId="1" applyNumberFormat="1" applyFont="1" applyBorder="1"/>
    <xf numFmtId="0" fontId="14" fillId="0" borderId="12" xfId="0" applyFont="1" applyFill="1" applyBorder="1" applyAlignment="1">
      <alignment horizontal="left" vertical="center"/>
    </xf>
    <xf numFmtId="164" fontId="0" fillId="0" borderId="12" xfId="1" applyNumberFormat="1" applyFont="1" applyFill="1" applyBorder="1"/>
    <xf numFmtId="164" fontId="0" fillId="0" borderId="0" xfId="1" applyNumberFormat="1" applyFont="1" applyFill="1" applyBorder="1"/>
    <xf numFmtId="0" fontId="14" fillId="0" borderId="14" xfId="0" applyFont="1" applyFill="1" applyBorder="1" applyAlignment="1">
      <alignment horizontal="left" vertical="center"/>
    </xf>
    <xf numFmtId="0" fontId="14" fillId="0" borderId="14" xfId="0" applyFont="1" applyFill="1" applyBorder="1" applyAlignment="1">
      <alignment horizontal="left" vertical="center" wrapText="1"/>
    </xf>
    <xf numFmtId="164" fontId="14" fillId="0" borderId="14" xfId="1" applyNumberFormat="1" applyFont="1" applyFill="1" applyBorder="1" applyAlignment="1">
      <alignment horizontal="center" vertical="center" wrapText="1"/>
    </xf>
    <xf numFmtId="166" fontId="14" fillId="0" borderId="14" xfId="1" applyNumberFormat="1" applyFont="1" applyFill="1" applyBorder="1" applyAlignment="1">
      <alignment horizontal="center" vertical="center" wrapText="1"/>
    </xf>
    <xf numFmtId="164" fontId="0" fillId="0" borderId="14" xfId="1" applyNumberFormat="1" applyFont="1" applyFill="1" applyBorder="1"/>
    <xf numFmtId="0" fontId="18" fillId="0" borderId="13" xfId="0" applyFont="1" applyFill="1" applyBorder="1" applyAlignment="1">
      <alignment horizontal="center" vertical="center" wrapText="1"/>
    </xf>
    <xf numFmtId="0" fontId="14" fillId="0" borderId="13" xfId="0" applyFont="1" applyFill="1" applyBorder="1" applyAlignment="1">
      <alignment horizontal="left" vertical="center"/>
    </xf>
    <xf numFmtId="164" fontId="14" fillId="0" borderId="13" xfId="1" applyNumberFormat="1" applyFont="1" applyFill="1" applyBorder="1" applyAlignment="1">
      <alignment horizontal="center" vertical="center" wrapText="1"/>
    </xf>
    <xf numFmtId="166" fontId="14" fillId="0" borderId="13" xfId="1" applyNumberFormat="1" applyFont="1" applyFill="1" applyBorder="1" applyAlignment="1">
      <alignment horizontal="center" vertical="center" wrapText="1"/>
    </xf>
    <xf numFmtId="164" fontId="0" fillId="0" borderId="13" xfId="1" applyNumberFormat="1" applyFont="1" applyFill="1" applyBorder="1"/>
    <xf numFmtId="164" fontId="14" fillId="0" borderId="0" xfId="0" applyNumberFormat="1" applyFont="1" applyFill="1" applyBorder="1" applyAlignment="1">
      <alignment horizontal="right" wrapText="1"/>
    </xf>
    <xf numFmtId="166" fontId="14" fillId="0" borderId="0" xfId="1" applyNumberFormat="1" applyFont="1" applyFill="1" applyBorder="1" applyAlignment="1">
      <alignment horizontal="right" vertical="center"/>
    </xf>
    <xf numFmtId="0" fontId="19" fillId="0" borderId="0" xfId="0" applyFont="1" applyFill="1" applyBorder="1" applyAlignment="1">
      <alignment horizontal="center" vertical="center" wrapText="1"/>
    </xf>
    <xf numFmtId="3" fontId="14" fillId="0" borderId="0" xfId="2" applyNumberFormat="1" applyFont="1" applyFill="1" applyAlignment="1">
      <alignment horizontal="right"/>
    </xf>
    <xf numFmtId="3" fontId="14" fillId="0" borderId="0" xfId="2" applyNumberFormat="1" applyFont="1" applyFill="1" applyAlignment="1">
      <alignment horizontal="right" wrapText="1"/>
    </xf>
    <xf numFmtId="3" fontId="19" fillId="0" borderId="0" xfId="0" applyNumberFormat="1" applyFont="1" applyFill="1"/>
    <xf numFmtId="168" fontId="14" fillId="0" borderId="0" xfId="1" applyNumberFormat="1" applyFont="1" applyFill="1" applyAlignment="1">
      <alignment horizontal="right"/>
    </xf>
    <xf numFmtId="168" fontId="0" fillId="0" borderId="0" xfId="0" applyNumberFormat="1" applyFill="1" applyAlignment="1">
      <alignment horizontal="right"/>
    </xf>
    <xf numFmtId="0" fontId="67" fillId="0" borderId="0" xfId="0" applyFont="1" applyFill="1"/>
    <xf numFmtId="0" fontId="68" fillId="0" borderId="0" xfId="0" applyFont="1" applyFill="1" applyBorder="1" applyAlignment="1">
      <alignment horizontal="center" vertical="center" wrapText="1"/>
    </xf>
    <xf numFmtId="0" fontId="0" fillId="0" borderId="0" xfId="0" applyFill="1" applyAlignment="1">
      <alignment horizontal="center"/>
    </xf>
    <xf numFmtId="0" fontId="15" fillId="3" borderId="25" xfId="0" applyFont="1" applyFill="1" applyBorder="1" applyAlignment="1">
      <alignment wrapText="1"/>
    </xf>
    <xf numFmtId="164" fontId="14" fillId="0" borderId="25" xfId="0" applyNumberFormat="1" applyFont="1" applyFill="1" applyBorder="1" applyAlignment="1">
      <alignment horizontal="right"/>
    </xf>
    <xf numFmtId="164" fontId="14" fillId="0" borderId="25" xfId="0" applyNumberFormat="1" applyFont="1" applyFill="1" applyBorder="1" applyAlignment="1">
      <alignment horizontal="right" wrapText="1"/>
    </xf>
    <xf numFmtId="167" fontId="17" fillId="0" borderId="0" xfId="1" applyFont="1" applyFill="1" applyAlignment="1">
      <alignment horizontal="right"/>
    </xf>
    <xf numFmtId="164" fontId="67" fillId="0" borderId="0" xfId="1" applyNumberFormat="1" applyFont="1" applyFill="1"/>
    <xf numFmtId="3" fontId="17" fillId="0" borderId="0" xfId="0" applyNumberFormat="1" applyFont="1" applyFill="1" applyAlignment="1">
      <alignment horizontal="right"/>
    </xf>
    <xf numFmtId="3" fontId="17" fillId="0" borderId="0" xfId="0" applyNumberFormat="1" applyFont="1" applyFill="1"/>
    <xf numFmtId="164" fontId="67" fillId="0" borderId="0" xfId="0" applyNumberFormat="1" applyFont="1" applyFill="1"/>
    <xf numFmtId="164" fontId="18" fillId="0" borderId="0" xfId="2" applyNumberFormat="1" applyFont="1" applyFill="1"/>
    <xf numFmtId="3" fontId="18" fillId="0" borderId="0" xfId="0" applyNumberFormat="1" applyFont="1" applyFill="1"/>
    <xf numFmtId="0" fontId="15" fillId="0" borderId="25" xfId="0" applyFont="1" applyFill="1" applyBorder="1" applyAlignment="1">
      <alignment horizontal="right" wrapText="1"/>
    </xf>
    <xf numFmtId="0" fontId="69" fillId="0" borderId="0" xfId="0" applyFont="1" applyFill="1" applyAlignment="1">
      <alignment horizontal="right" wrapText="1"/>
    </xf>
    <xf numFmtId="3" fontId="54" fillId="0" borderId="0" xfId="0" applyNumberFormat="1" applyFont="1" applyFill="1"/>
    <xf numFmtId="0" fontId="69" fillId="0" borderId="0" xfId="0" applyFont="1" applyFill="1"/>
    <xf numFmtId="0" fontId="69" fillId="0" borderId="0" xfId="0" applyFont="1"/>
    <xf numFmtId="0" fontId="15" fillId="0" borderId="0" xfId="0" applyFont="1" applyFill="1" applyAlignment="1">
      <alignment horizontal="right" wrapText="1"/>
    </xf>
    <xf numFmtId="3" fontId="18" fillId="0" borderId="0" xfId="0" applyNumberFormat="1" applyFont="1" applyFill="1" applyAlignment="1">
      <alignment horizontal="center"/>
    </xf>
    <xf numFmtId="0" fontId="6" fillId="0" borderId="0" xfId="3" applyFont="1" applyAlignment="1">
      <alignment horizontal="center" vertical="center" wrapText="1"/>
    </xf>
    <xf numFmtId="0" fontId="14" fillId="0" borderId="0" xfId="3" applyFont="1"/>
    <xf numFmtId="0" fontId="8" fillId="0" borderId="0" xfId="3" applyFont="1" applyFill="1" applyAlignment="1">
      <alignment horizontal="center" vertical="center" wrapText="1"/>
    </xf>
    <xf numFmtId="0" fontId="9" fillId="0" borderId="0" xfId="3" applyFont="1" applyFill="1" applyAlignment="1">
      <alignment horizontal="center" vertical="center" wrapText="1"/>
    </xf>
    <xf numFmtId="0" fontId="48" fillId="2" borderId="0" xfId="3" applyFont="1" applyFill="1" applyAlignment="1">
      <alignment horizontal="center" vertical="center" wrapText="1"/>
    </xf>
    <xf numFmtId="0" fontId="12" fillId="0" borderId="0" xfId="3" applyFont="1" applyFill="1" applyAlignment="1">
      <alignment horizontal="center" vertical="center" wrapText="1"/>
    </xf>
    <xf numFmtId="0" fontId="14" fillId="3" borderId="0" xfId="3" applyFont="1" applyFill="1" applyAlignment="1">
      <alignment horizontal="left" vertical="center" wrapText="1"/>
    </xf>
    <xf numFmtId="164" fontId="14" fillId="0" borderId="0" xfId="3" applyNumberFormat="1" applyFont="1" applyFill="1" applyAlignment="1">
      <alignment horizontal="right" wrapText="1"/>
    </xf>
    <xf numFmtId="166" fontId="14" fillId="0" borderId="0" xfId="3" applyNumberFormat="1" applyFont="1" applyFill="1" applyAlignment="1">
      <alignment horizontal="right" vertical="center" wrapText="1"/>
    </xf>
    <xf numFmtId="164" fontId="14" fillId="3" borderId="0" xfId="3" applyNumberFormat="1" applyFont="1" applyFill="1" applyAlignment="1">
      <alignment horizontal="right" wrapText="1"/>
    </xf>
    <xf numFmtId="0" fontId="23" fillId="0" borderId="0" xfId="3" applyFont="1" applyFill="1" applyAlignment="1">
      <alignment vertical="center"/>
    </xf>
    <xf numFmtId="187" fontId="19" fillId="3" borderId="0" xfId="3" applyNumberFormat="1" applyFont="1" applyFill="1" applyAlignment="1">
      <alignment horizontal="right" wrapText="1"/>
    </xf>
    <xf numFmtId="172" fontId="14" fillId="0" borderId="0" xfId="3" applyNumberFormat="1" applyFill="1"/>
    <xf numFmtId="180" fontId="14" fillId="0" borderId="0" xfId="1" applyNumberFormat="1" applyFill="1"/>
    <xf numFmtId="187" fontId="40" fillId="3" borderId="0" xfId="3" applyNumberFormat="1" applyFont="1" applyFill="1" applyAlignment="1">
      <alignment horizontal="right" wrapText="1"/>
    </xf>
    <xf numFmtId="181" fontId="14" fillId="0" borderId="0" xfId="1" applyNumberFormat="1" applyFill="1"/>
    <xf numFmtId="0" fontId="16" fillId="0" borderId="0" xfId="3" applyFont="1" applyAlignment="1">
      <alignment vertical="justify"/>
    </xf>
    <xf numFmtId="0" fontId="14" fillId="0" borderId="0" xfId="3" applyFont="1" applyFill="1" applyAlignment="1">
      <alignment horizontal="left" vertical="center" wrapText="1"/>
    </xf>
    <xf numFmtId="167" fontId="14" fillId="0" borderId="0" xfId="1" applyNumberFormat="1" applyFill="1"/>
    <xf numFmtId="164" fontId="48" fillId="2" borderId="0" xfId="3" applyNumberFormat="1" applyFont="1" applyFill="1" applyAlignment="1">
      <alignment horizontal="right" vertical="center" wrapText="1"/>
    </xf>
    <xf numFmtId="166" fontId="48" fillId="2" borderId="0" xfId="3" applyNumberFormat="1" applyFont="1" applyFill="1" applyAlignment="1">
      <alignment horizontal="right" vertical="center" wrapText="1"/>
    </xf>
    <xf numFmtId="167" fontId="14" fillId="0" borderId="0" xfId="3" applyNumberFormat="1" applyFill="1"/>
    <xf numFmtId="0" fontId="14" fillId="0" borderId="0" xfId="3" applyFill="1" applyAlignment="1">
      <alignment vertical="justify" wrapText="1"/>
    </xf>
    <xf numFmtId="181" fontId="14" fillId="0" borderId="0" xfId="1" applyNumberFormat="1"/>
    <xf numFmtId="165" fontId="14" fillId="0" borderId="0" xfId="3" applyNumberFormat="1"/>
    <xf numFmtId="0" fontId="10" fillId="2" borderId="0" xfId="3" applyFont="1" applyFill="1" applyAlignment="1">
      <alignment horizontal="center" vertical="center"/>
    </xf>
    <xf numFmtId="0" fontId="14" fillId="0" borderId="0" xfId="3" applyFont="1" applyFill="1" applyAlignment="1">
      <alignment horizontal="left" vertical="center"/>
    </xf>
    <xf numFmtId="164" fontId="10" fillId="2" borderId="0" xfId="3" applyNumberFormat="1" applyFont="1" applyFill="1" applyAlignment="1">
      <alignment horizontal="right" vertical="center" wrapText="1"/>
    </xf>
    <xf numFmtId="0" fontId="0" fillId="0" borderId="2" xfId="0" applyBorder="1" applyAlignment="1">
      <alignment horizontal="left" indent="1"/>
    </xf>
    <xf numFmtId="178" fontId="14" fillId="0" borderId="0" xfId="0" applyNumberFormat="1" applyFont="1" applyFill="1" applyBorder="1" applyAlignment="1">
      <alignment horizontal="right" wrapText="1"/>
    </xf>
    <xf numFmtId="168" fontId="16" fillId="0" borderId="0" xfId="1" applyNumberFormat="1" applyFont="1" applyFill="1"/>
    <xf numFmtId="178" fontId="48" fillId="2" borderId="0" xfId="0" applyNumberFormat="1" applyFont="1" applyFill="1" applyBorder="1" applyAlignment="1">
      <alignment horizontal="right" vertical="center" wrapText="1"/>
    </xf>
    <xf numFmtId="0" fontId="13" fillId="0" borderId="0" xfId="0" applyFont="1" applyFill="1" applyAlignment="1">
      <alignment wrapText="1"/>
    </xf>
    <xf numFmtId="164" fontId="18" fillId="0" borderId="0" xfId="1" applyNumberFormat="1" applyFont="1" applyFill="1" applyBorder="1" applyAlignment="1">
      <alignment horizontal="right" wrapText="1"/>
    </xf>
    <xf numFmtId="166" fontId="18" fillId="0" borderId="0" xfId="1" applyNumberFormat="1" applyFont="1" applyFill="1" applyBorder="1" applyAlignment="1">
      <alignment horizontal="right" wrapText="1"/>
    </xf>
    <xf numFmtId="0" fontId="15" fillId="0" borderId="0" xfId="0" applyFont="1" applyFill="1" applyAlignment="1">
      <alignment horizontal="left" wrapText="1" indent="1"/>
    </xf>
    <xf numFmtId="0" fontId="18" fillId="0" borderId="0" xfId="0" applyFont="1" applyBorder="1" applyAlignment="1">
      <alignment wrapText="1"/>
    </xf>
    <xf numFmtId="188" fontId="0" fillId="0" borderId="0" xfId="0" applyNumberFormat="1" applyFill="1"/>
    <xf numFmtId="167" fontId="14" fillId="0" borderId="0" xfId="1" applyFont="1" applyFill="1" applyBorder="1" applyAlignment="1">
      <alignment horizontal="right" wrapText="1"/>
    </xf>
    <xf numFmtId="0" fontId="18" fillId="3" borderId="0" xfId="0" applyFont="1" applyFill="1" applyBorder="1" applyAlignment="1">
      <alignment wrapText="1"/>
    </xf>
    <xf numFmtId="164" fontId="18" fillId="0" borderId="0" xfId="1" applyNumberFormat="1" applyFont="1"/>
    <xf numFmtId="0" fontId="13" fillId="0" borderId="0" xfId="0" applyFont="1" applyFill="1" applyAlignment="1"/>
    <xf numFmtId="0" fontId="48" fillId="2" borderId="0" xfId="0" applyFont="1" applyFill="1" applyAlignment="1">
      <alignment horizontal="center" wrapText="1"/>
    </xf>
    <xf numFmtId="0" fontId="5" fillId="0" borderId="0" xfId="7"/>
    <xf numFmtId="190" fontId="5" fillId="0" borderId="0" xfId="8" applyNumberFormat="1" applyFont="1"/>
    <xf numFmtId="190" fontId="48" fillId="2" borderId="0" xfId="3" applyNumberFormat="1" applyFont="1" applyFill="1" applyAlignment="1">
      <alignment horizontal="center" vertical="center" wrapText="1"/>
    </xf>
    <xf numFmtId="0" fontId="28" fillId="0" borderId="0" xfId="7" applyFont="1" applyAlignment="1"/>
    <xf numFmtId="0" fontId="72" fillId="8" borderId="0" xfId="7" applyFont="1" applyFill="1" applyAlignment="1">
      <alignment vertical="center"/>
    </xf>
    <xf numFmtId="0" fontId="10" fillId="2" borderId="0" xfId="3" applyFont="1" applyFill="1" applyAlignment="1">
      <alignment horizontal="center" vertical="center" wrapText="1"/>
    </xf>
    <xf numFmtId="0" fontId="8" fillId="0" borderId="0" xfId="3" applyFont="1" applyFill="1" applyAlignment="1">
      <alignment horizontal="center"/>
    </xf>
    <xf numFmtId="0" fontId="6" fillId="0" borderId="0" xfId="3" applyFont="1" applyAlignment="1">
      <alignment horizontal="center"/>
    </xf>
    <xf numFmtId="0" fontId="48" fillId="2" borderId="0" xfId="3" applyFont="1" applyFill="1" applyBorder="1" applyAlignment="1">
      <alignment horizontal="center" vertical="center" wrapText="1"/>
    </xf>
    <xf numFmtId="0" fontId="14" fillId="0" borderId="0" xfId="3" applyAlignment="1"/>
    <xf numFmtId="0" fontId="10" fillId="2" borderId="0" xfId="3" applyFont="1" applyFill="1" applyBorder="1" applyAlignment="1">
      <alignment horizontal="center" vertical="center" wrapText="1"/>
    </xf>
    <xf numFmtId="0" fontId="4" fillId="0" borderId="0" xfId="9"/>
    <xf numFmtId="0" fontId="74" fillId="5" borderId="0" xfId="9" applyFont="1" applyFill="1" applyAlignment="1">
      <alignment horizontal="right" vertical="center" wrapText="1"/>
    </xf>
    <xf numFmtId="0" fontId="74" fillId="5" borderId="0" xfId="9" applyFont="1" applyFill="1" applyAlignment="1">
      <alignment horizontal="center" vertical="center" wrapText="1"/>
    </xf>
    <xf numFmtId="0" fontId="30" fillId="0" borderId="0" xfId="3" applyFont="1"/>
    <xf numFmtId="0" fontId="42" fillId="0" borderId="0" xfId="3" applyFont="1"/>
    <xf numFmtId="0" fontId="57" fillId="0" borderId="0" xfId="3" applyFont="1" applyAlignment="1">
      <alignment horizontal="center"/>
    </xf>
    <xf numFmtId="0" fontId="30" fillId="0" borderId="0" xfId="3" applyFont="1" applyAlignment="1"/>
    <xf numFmtId="0" fontId="9" fillId="0" borderId="0" xfId="3" applyFont="1" applyFill="1" applyBorder="1" applyAlignment="1">
      <alignment horizontal="left"/>
    </xf>
    <xf numFmtId="0" fontId="56" fillId="0" borderId="0" xfId="3" applyFont="1" applyAlignment="1">
      <alignment horizontal="right"/>
    </xf>
    <xf numFmtId="0" fontId="28" fillId="0" borderId="0" xfId="3" applyFont="1" applyBorder="1" applyAlignment="1">
      <alignment vertical="center"/>
    </xf>
    <xf numFmtId="0" fontId="30" fillId="0" borderId="0" xfId="3" applyFont="1" applyAlignment="1">
      <alignment horizontal="center"/>
    </xf>
    <xf numFmtId="0" fontId="18" fillId="0" borderId="0" xfId="3" applyFont="1" applyAlignment="1">
      <alignment horizontal="center" vertical="center"/>
    </xf>
    <xf numFmtId="0" fontId="14" fillId="0" borderId="0" xfId="3" applyBorder="1" applyAlignment="1">
      <alignment horizontal="left" vertical="center" wrapText="1"/>
    </xf>
    <xf numFmtId="164" fontId="14" fillId="0" borderId="0" xfId="3" applyNumberFormat="1" applyFill="1" applyBorder="1" applyAlignment="1">
      <alignment horizontal="right" vertical="center" wrapText="1"/>
    </xf>
    <xf numFmtId="166" fontId="14" fillId="0" borderId="0" xfId="3" applyNumberFormat="1" applyFill="1" applyBorder="1" applyAlignment="1">
      <alignment horizontal="right" vertical="center" wrapText="1"/>
    </xf>
    <xf numFmtId="0" fontId="18" fillId="0" borderId="0" xfId="3" applyFont="1" applyFill="1" applyAlignment="1">
      <alignment horizontal="center" vertical="center"/>
    </xf>
    <xf numFmtId="0" fontId="30" fillId="0" borderId="0" xfId="3" applyFont="1" applyFill="1"/>
    <xf numFmtId="167" fontId="30" fillId="0" borderId="0" xfId="1" applyFont="1" applyFill="1"/>
    <xf numFmtId="167" fontId="30" fillId="0" borderId="0" xfId="3" applyNumberFormat="1" applyFont="1"/>
    <xf numFmtId="164" fontId="53" fillId="2" borderId="0" xfId="3" applyNumberFormat="1" applyFont="1" applyFill="1" applyBorder="1" applyAlignment="1">
      <alignment horizontal="right" vertical="center"/>
    </xf>
    <xf numFmtId="166" fontId="53" fillId="2" borderId="0" xfId="3" applyNumberFormat="1" applyFont="1" applyFill="1" applyBorder="1" applyAlignment="1">
      <alignment horizontal="right" vertical="center"/>
    </xf>
    <xf numFmtId="166" fontId="48" fillId="2" borderId="0" xfId="1" applyNumberFormat="1" applyFont="1" applyFill="1" applyBorder="1" applyAlignment="1">
      <alignment horizontal="right" vertical="center"/>
    </xf>
    <xf numFmtId="0" fontId="18" fillId="0" borderId="0" xfId="3" applyFont="1" applyAlignment="1">
      <alignment vertical="center"/>
    </xf>
    <xf numFmtId="167" fontId="18" fillId="0" borderId="0" xfId="3" applyNumberFormat="1" applyFont="1" applyAlignment="1">
      <alignment vertical="center"/>
    </xf>
    <xf numFmtId="0" fontId="14" fillId="0" borderId="0" xfId="3" applyFont="1" applyBorder="1" applyAlignment="1">
      <alignment wrapText="1"/>
    </xf>
    <xf numFmtId="0" fontId="58" fillId="0" borderId="0" xfId="3" applyFont="1" applyFill="1" applyBorder="1" applyAlignment="1">
      <alignment horizontal="right"/>
    </xf>
    <xf numFmtId="0" fontId="54" fillId="0" borderId="0" xfId="3" applyFont="1" applyAlignment="1">
      <alignment horizontal="left"/>
    </xf>
    <xf numFmtId="0" fontId="75" fillId="0" borderId="0" xfId="3" applyFont="1" applyAlignment="1">
      <alignment horizontal="left"/>
    </xf>
    <xf numFmtId="164" fontId="14" fillId="0" borderId="0" xfId="3" applyNumberFormat="1" applyBorder="1"/>
    <xf numFmtId="166" fontId="10" fillId="2" borderId="0" xfId="3" applyNumberFormat="1" applyFont="1" applyFill="1" applyAlignment="1">
      <alignment horizontal="right" vertical="center" wrapText="1"/>
    </xf>
    <xf numFmtId="164" fontId="10" fillId="2" borderId="0" xfId="3" applyNumberFormat="1" applyFont="1" applyFill="1" applyBorder="1" applyAlignment="1">
      <alignment horizontal="right" vertical="center" wrapText="1"/>
    </xf>
    <xf numFmtId="164" fontId="15" fillId="0" borderId="0" xfId="3" applyNumberFormat="1" applyFont="1" applyFill="1" applyAlignment="1">
      <alignment horizontal="right" wrapText="1"/>
    </xf>
    <xf numFmtId="166" fontId="15" fillId="0" borderId="0" xfId="3" applyNumberFormat="1" applyFont="1" applyFill="1" applyAlignment="1">
      <alignment horizontal="right" wrapText="1"/>
    </xf>
    <xf numFmtId="164" fontId="15" fillId="0" borderId="0" xfId="3" applyNumberFormat="1" applyFont="1" applyFill="1" applyBorder="1" applyAlignment="1">
      <alignment horizontal="right" wrapText="1"/>
    </xf>
    <xf numFmtId="164" fontId="15" fillId="3" borderId="0" xfId="3" applyNumberFormat="1" applyFont="1" applyFill="1" applyBorder="1" applyAlignment="1">
      <alignment horizontal="right" wrapText="1"/>
    </xf>
    <xf numFmtId="0" fontId="15" fillId="3" borderId="0" xfId="3" applyFont="1" applyFill="1" applyBorder="1" applyAlignment="1"/>
    <xf numFmtId="0" fontId="15" fillId="0" borderId="0" xfId="3" applyFont="1" applyFill="1" applyBorder="1" applyAlignment="1"/>
    <xf numFmtId="164" fontId="13" fillId="9" borderId="0" xfId="3" applyNumberFormat="1" applyFont="1" applyFill="1" applyAlignment="1">
      <alignment horizontal="right" wrapText="1"/>
    </xf>
    <xf numFmtId="166" fontId="13" fillId="9" borderId="0" xfId="3" applyNumberFormat="1" applyFont="1" applyFill="1" applyAlignment="1">
      <alignment horizontal="right" wrapText="1"/>
    </xf>
    <xf numFmtId="164" fontId="13" fillId="9" borderId="0" xfId="3" applyNumberFormat="1" applyFont="1" applyFill="1" applyBorder="1" applyAlignment="1">
      <alignment horizontal="right" wrapText="1"/>
    </xf>
    <xf numFmtId="0" fontId="13" fillId="9" borderId="0" xfId="3" applyFont="1" applyFill="1" applyBorder="1" applyAlignment="1"/>
    <xf numFmtId="164" fontId="15" fillId="3" borderId="0" xfId="3" applyNumberFormat="1" applyFont="1" applyFill="1" applyAlignment="1">
      <alignment horizontal="right" wrapText="1"/>
    </xf>
    <xf numFmtId="164" fontId="15" fillId="0" borderId="0" xfId="3" applyNumberFormat="1" applyFont="1" applyFill="1" applyAlignment="1">
      <alignment horizontal="right"/>
    </xf>
    <xf numFmtId="0" fontId="15" fillId="0" borderId="0" xfId="3" applyFont="1" applyFill="1" applyAlignment="1">
      <alignment vertical="center" wrapText="1"/>
    </xf>
    <xf numFmtId="0" fontId="15" fillId="3" borderId="0" xfId="3" applyFont="1" applyFill="1" applyAlignment="1">
      <alignment vertical="center"/>
    </xf>
    <xf numFmtId="164" fontId="13" fillId="9" borderId="0" xfId="3" applyNumberFormat="1" applyFont="1" applyFill="1" applyAlignment="1">
      <alignment horizontal="right"/>
    </xf>
    <xf numFmtId="0" fontId="13" fillId="9" borderId="0" xfId="3" applyFont="1" applyFill="1" applyAlignment="1">
      <alignment wrapText="1"/>
    </xf>
    <xf numFmtId="0" fontId="9" fillId="0" borderId="0" xfId="3" applyFont="1" applyAlignment="1">
      <alignment horizontal="right"/>
    </xf>
    <xf numFmtId="0" fontId="9" fillId="0" borderId="0" xfId="3" applyFont="1" applyAlignment="1">
      <alignment horizontal="center" vertical="center" wrapText="1"/>
    </xf>
    <xf numFmtId="0" fontId="8" fillId="0" borderId="0" xfId="3" applyFont="1" applyAlignment="1">
      <alignment horizontal="center" vertical="center"/>
    </xf>
    <xf numFmtId="0" fontId="16" fillId="0" borderId="0" xfId="3" applyFont="1" applyFill="1" applyBorder="1" applyAlignment="1">
      <alignment horizontal="center" vertical="center"/>
    </xf>
    <xf numFmtId="0" fontId="24" fillId="9" borderId="0" xfId="3" applyFont="1" applyFill="1" applyAlignment="1">
      <alignment wrapText="1"/>
    </xf>
    <xf numFmtId="164" fontId="24" fillId="9" borderId="0" xfId="3" applyNumberFormat="1" applyFont="1" applyFill="1" applyAlignment="1">
      <alignment horizontal="right" wrapText="1"/>
    </xf>
    <xf numFmtId="164" fontId="24" fillId="9" borderId="0" xfId="1" applyNumberFormat="1" applyFont="1" applyFill="1" applyAlignment="1">
      <alignment horizontal="right" wrapText="1"/>
    </xf>
    <xf numFmtId="166" fontId="18" fillId="9" borderId="0" xfId="3" applyNumberFormat="1" applyFont="1" applyFill="1"/>
    <xf numFmtId="0" fontId="25" fillId="3" borderId="0" xfId="3" applyFont="1" applyFill="1" applyAlignment="1">
      <alignment horizontal="left" wrapText="1" indent="1"/>
    </xf>
    <xf numFmtId="164" fontId="25" fillId="0" borderId="0" xfId="3" applyNumberFormat="1" applyFont="1" applyFill="1" applyAlignment="1">
      <alignment horizontal="right" wrapText="1"/>
    </xf>
    <xf numFmtId="166" fontId="14" fillId="0" borderId="0" xfId="3" applyNumberFormat="1" applyAlignment="1">
      <alignment horizontal="right"/>
    </xf>
    <xf numFmtId="164" fontId="10" fillId="2" borderId="0" xfId="3" applyNumberFormat="1" applyFont="1" applyFill="1" applyAlignment="1">
      <alignment horizontal="right" vertical="center"/>
    </xf>
    <xf numFmtId="166" fontId="10" fillId="2" borderId="0" xfId="1" applyNumberFormat="1" applyFont="1" applyFill="1" applyAlignment="1">
      <alignment horizontal="right" vertical="center"/>
    </xf>
    <xf numFmtId="164" fontId="6" fillId="0" borderId="0" xfId="3" applyNumberFormat="1" applyFont="1" applyAlignment="1">
      <alignment horizontal="center"/>
    </xf>
    <xf numFmtId="172" fontId="14" fillId="0" borderId="0" xfId="1" applyNumberFormat="1"/>
    <xf numFmtId="0" fontId="10" fillId="2" borderId="0" xfId="3" applyFont="1" applyFill="1" applyAlignment="1">
      <alignment horizontal="right" vertical="center" wrapText="1"/>
    </xf>
    <xf numFmtId="164" fontId="18" fillId="9" borderId="0" xfId="3" applyNumberFormat="1" applyFont="1" applyFill="1" applyAlignment="1">
      <alignment horizontal="center"/>
    </xf>
    <xf numFmtId="164" fontId="18" fillId="9" borderId="0" xfId="3" applyNumberFormat="1" applyFont="1" applyFill="1" applyAlignment="1">
      <alignment horizontal="right" wrapText="1"/>
    </xf>
    <xf numFmtId="166" fontId="18" fillId="9" borderId="0" xfId="3" applyNumberFormat="1" applyFont="1" applyFill="1" applyAlignment="1">
      <alignment horizontal="right" wrapText="1"/>
    </xf>
    <xf numFmtId="166" fontId="14" fillId="3" borderId="0" xfId="3" applyNumberFormat="1" applyFont="1" applyFill="1" applyAlignment="1">
      <alignment horizontal="right" wrapText="1"/>
    </xf>
    <xf numFmtId="185" fontId="14" fillId="0" borderId="0" xfId="3" applyNumberFormat="1"/>
    <xf numFmtId="179" fontId="14" fillId="3" borderId="0" xfId="3" applyNumberFormat="1" applyFont="1" applyFill="1" applyAlignment="1">
      <alignment horizontal="right" wrapText="1"/>
    </xf>
    <xf numFmtId="0" fontId="14" fillId="3" borderId="0" xfId="3" applyFont="1" applyFill="1"/>
    <xf numFmtId="164" fontId="14" fillId="3" borderId="0" xfId="3" applyNumberFormat="1" applyFont="1" applyFill="1" applyAlignment="1">
      <alignment horizontal="center"/>
    </xf>
    <xf numFmtId="0" fontId="18" fillId="9" borderId="0" xfId="3" applyFont="1" applyFill="1"/>
    <xf numFmtId="164" fontId="10" fillId="2" borderId="0" xfId="3" applyNumberFormat="1" applyFont="1" applyFill="1" applyAlignment="1">
      <alignment horizontal="center" vertical="center" wrapText="1"/>
    </xf>
    <xf numFmtId="166" fontId="10" fillId="2" borderId="0" xfId="3" applyNumberFormat="1" applyFont="1" applyFill="1" applyAlignment="1">
      <alignment horizontal="right" vertical="center"/>
    </xf>
    <xf numFmtId="0" fontId="9" fillId="0" borderId="0" xfId="3" applyFont="1" applyFill="1"/>
    <xf numFmtId="0" fontId="12" fillId="3" borderId="0" xfId="3" applyFont="1" applyFill="1" applyAlignment="1">
      <alignment wrapText="1"/>
    </xf>
    <xf numFmtId="164" fontId="12" fillId="0" borderId="0" xfId="3" applyNumberFormat="1" applyFont="1" applyFill="1" applyAlignment="1">
      <alignment horizontal="center" wrapText="1"/>
    </xf>
    <xf numFmtId="166" fontId="12" fillId="3" borderId="0" xfId="3" applyNumberFormat="1" applyFont="1" applyFill="1" applyAlignment="1">
      <alignment horizontal="right" wrapText="1"/>
    </xf>
    <xf numFmtId="164" fontId="12" fillId="3" borderId="0" xfId="3" applyNumberFormat="1" applyFont="1" applyFill="1" applyAlignment="1">
      <alignment horizontal="right" wrapText="1"/>
    </xf>
    <xf numFmtId="0" fontId="10" fillId="2" borderId="0" xfId="3" applyFont="1" applyFill="1" applyAlignment="1">
      <alignment horizontal="center" wrapText="1"/>
    </xf>
    <xf numFmtId="164" fontId="10" fillId="2" borderId="0" xfId="3" applyNumberFormat="1" applyFont="1" applyFill="1" applyAlignment="1">
      <alignment horizontal="center" wrapText="1"/>
    </xf>
    <xf numFmtId="166" fontId="10" fillId="2" borderId="0" xfId="3" applyNumberFormat="1" applyFont="1" applyFill="1" applyAlignment="1">
      <alignment horizontal="right" wrapText="1"/>
    </xf>
    <xf numFmtId="164" fontId="10" fillId="2" borderId="0" xfId="3" applyNumberFormat="1" applyFont="1" applyFill="1" applyAlignment="1">
      <alignment horizontal="right" wrapText="1"/>
    </xf>
    <xf numFmtId="0" fontId="77" fillId="0" borderId="0" xfId="3" applyFont="1" applyAlignment="1">
      <alignment horizontal="center"/>
    </xf>
    <xf numFmtId="0" fontId="14" fillId="3" borderId="0" xfId="3" applyFill="1"/>
    <xf numFmtId="164" fontId="14" fillId="0" borderId="0" xfId="3" applyNumberFormat="1" applyFont="1" applyFill="1" applyAlignment="1">
      <alignment horizontal="right"/>
    </xf>
    <xf numFmtId="166" fontId="14" fillId="0" borderId="0" xfId="3" applyNumberFormat="1" applyFont="1" applyFill="1" applyAlignment="1">
      <alignment horizontal="right"/>
    </xf>
    <xf numFmtId="0" fontId="10" fillId="2" borderId="0" xfId="3" applyFont="1" applyFill="1" applyAlignment="1">
      <alignment horizontal="center"/>
    </xf>
    <xf numFmtId="164" fontId="10" fillId="2" borderId="0" xfId="3" applyNumberFormat="1" applyFont="1" applyFill="1" applyAlignment="1">
      <alignment horizontal="right"/>
    </xf>
    <xf numFmtId="166" fontId="10" fillId="2" borderId="0" xfId="3" applyNumberFormat="1" applyFont="1" applyFill="1" applyAlignment="1">
      <alignment horizontal="right"/>
    </xf>
    <xf numFmtId="1" fontId="14" fillId="0" borderId="0" xfId="3" applyNumberFormat="1"/>
    <xf numFmtId="164" fontId="14" fillId="3" borderId="0" xfId="3" applyNumberFormat="1" applyFont="1" applyFill="1" applyAlignment="1">
      <alignment horizontal="right"/>
    </xf>
    <xf numFmtId="164" fontId="14" fillId="3" borderId="0" xfId="3" applyNumberFormat="1" applyFill="1" applyAlignment="1">
      <alignment horizontal="right"/>
    </xf>
    <xf numFmtId="186" fontId="14" fillId="0" borderId="0" xfId="3" applyNumberFormat="1"/>
    <xf numFmtId="0" fontId="78" fillId="3" borderId="0" xfId="3" applyFont="1" applyFill="1" applyAlignment="1">
      <alignment horizontal="center"/>
    </xf>
    <xf numFmtId="0" fontId="46" fillId="2" borderId="0" xfId="3" applyFont="1" applyFill="1" applyAlignment="1">
      <alignment horizontal="center" vertical="center" wrapText="1"/>
    </xf>
    <xf numFmtId="0" fontId="39" fillId="0" borderId="0" xfId="3" applyFont="1" applyFill="1" applyAlignment="1">
      <alignment wrapText="1"/>
    </xf>
    <xf numFmtId="164" fontId="39" fillId="0" borderId="0" xfId="3" applyNumberFormat="1" applyFont="1" applyFill="1" applyAlignment="1">
      <alignment wrapText="1"/>
    </xf>
    <xf numFmtId="0" fontId="39" fillId="0" borderId="3" xfId="3" applyFont="1" applyFill="1" applyBorder="1" applyAlignment="1">
      <alignment wrapText="1"/>
    </xf>
    <xf numFmtId="164" fontId="39" fillId="0" borderId="3" xfId="3" applyNumberFormat="1" applyFont="1" applyFill="1" applyBorder="1" applyAlignment="1">
      <alignment wrapText="1"/>
    </xf>
    <xf numFmtId="0" fontId="29" fillId="3" borderId="0" xfId="3" applyFont="1" applyFill="1"/>
    <xf numFmtId="0" fontId="8" fillId="0" borderId="0" xfId="3" applyFont="1" applyAlignment="1">
      <alignment horizontal="center" vertical="center" wrapText="1"/>
    </xf>
    <xf numFmtId="0" fontId="46" fillId="2" borderId="0" xfId="3" applyFont="1" applyFill="1" applyBorder="1" applyAlignment="1">
      <alignment horizontal="center" vertical="center"/>
    </xf>
    <xf numFmtId="164" fontId="46" fillId="2" borderId="0" xfId="3" applyNumberFormat="1" applyFont="1" applyFill="1" applyAlignment="1">
      <alignment vertical="center"/>
    </xf>
    <xf numFmtId="166" fontId="46" fillId="2" borderId="0" xfId="3" applyNumberFormat="1" applyFont="1" applyFill="1" applyAlignment="1">
      <alignment vertical="center"/>
    </xf>
    <xf numFmtId="0" fontId="30" fillId="0" borderId="0" xfId="3" applyFont="1" applyFill="1" applyBorder="1"/>
    <xf numFmtId="0" fontId="48" fillId="2" borderId="17" xfId="3" applyFont="1" applyFill="1" applyBorder="1" applyAlignment="1">
      <alignment horizontal="center" vertical="center" wrapText="1"/>
    </xf>
    <xf numFmtId="0" fontId="48" fillId="2" borderId="19" xfId="3" applyFont="1" applyFill="1" applyBorder="1" applyAlignment="1">
      <alignment horizontal="center" vertical="center" wrapText="1"/>
    </xf>
    <xf numFmtId="0" fontId="12" fillId="0" borderId="0" xfId="3" applyFont="1" applyBorder="1"/>
    <xf numFmtId="164" fontId="14" fillId="0" borderId="31" xfId="1" applyNumberFormat="1" applyFill="1" applyBorder="1"/>
    <xf numFmtId="180" fontId="14" fillId="0" borderId="25" xfId="1" applyNumberFormat="1" applyFill="1" applyBorder="1" applyAlignment="1">
      <alignment horizontal="left"/>
    </xf>
    <xf numFmtId="180" fontId="14" fillId="0" borderId="32" xfId="1" applyNumberFormat="1" applyFill="1" applyBorder="1" applyAlignment="1">
      <alignment horizontal="left"/>
    </xf>
    <xf numFmtId="164" fontId="14" fillId="0" borderId="29" xfId="1" applyNumberFormat="1" applyFill="1" applyBorder="1"/>
    <xf numFmtId="180" fontId="14" fillId="0" borderId="0" xfId="1" applyNumberFormat="1" applyFill="1" applyBorder="1" applyAlignment="1">
      <alignment horizontal="left"/>
    </xf>
    <xf numFmtId="180" fontId="14" fillId="0" borderId="28" xfId="1" applyNumberFormat="1" applyFill="1" applyBorder="1" applyAlignment="1">
      <alignment horizontal="left"/>
    </xf>
    <xf numFmtId="0" fontId="12" fillId="0" borderId="0" xfId="3" applyFont="1" applyFill="1" applyBorder="1"/>
    <xf numFmtId="164" fontId="46" fillId="2" borderId="33" xfId="3" applyNumberFormat="1" applyFont="1" applyFill="1" applyBorder="1"/>
    <xf numFmtId="180" fontId="46" fillId="2" borderId="20" xfId="1" applyNumberFormat="1" applyFont="1" applyFill="1" applyBorder="1" applyAlignment="1">
      <alignment horizontal="left"/>
    </xf>
    <xf numFmtId="164" fontId="46" fillId="2" borderId="0" xfId="3" applyNumberFormat="1" applyFont="1" applyFill="1" applyBorder="1"/>
    <xf numFmtId="189" fontId="14" fillId="0" borderId="0" xfId="3" applyNumberFormat="1"/>
    <xf numFmtId="192" fontId="14" fillId="0" borderId="0" xfId="3" applyNumberFormat="1"/>
    <xf numFmtId="182" fontId="14" fillId="0" borderId="0" xfId="3" applyNumberFormat="1"/>
    <xf numFmtId="0" fontId="14" fillId="8" borderId="0" xfId="0" applyFont="1" applyFill="1" applyAlignment="1">
      <alignment vertical="center"/>
    </xf>
    <xf numFmtId="3" fontId="14" fillId="0" borderId="0" xfId="0" applyNumberFormat="1" applyFont="1" applyAlignment="1">
      <alignment horizontal="right" vertical="center"/>
    </xf>
    <xf numFmtId="0" fontId="14" fillId="8" borderId="0" xfId="0" applyFont="1" applyFill="1" applyAlignment="1">
      <alignment horizontal="right" vertical="center"/>
    </xf>
    <xf numFmtId="3" fontId="14" fillId="8" borderId="0" xfId="0" applyNumberFormat="1" applyFont="1" applyFill="1" applyAlignment="1">
      <alignment horizontal="right" vertical="center"/>
    </xf>
    <xf numFmtId="0" fontId="70" fillId="5" borderId="0" xfId="0" applyFont="1" applyFill="1" applyAlignment="1">
      <alignment horizontal="center" vertical="center"/>
    </xf>
    <xf numFmtId="0" fontId="70" fillId="5" borderId="0" xfId="0" applyFont="1" applyFill="1" applyAlignment="1">
      <alignment horizontal="center" vertical="center" wrapText="1"/>
    </xf>
    <xf numFmtId="0" fontId="79" fillId="0" borderId="0" xfId="0" applyFont="1"/>
    <xf numFmtId="0" fontId="70" fillId="5" borderId="0" xfId="0" applyFont="1" applyFill="1" applyAlignment="1">
      <alignment vertical="center"/>
    </xf>
    <xf numFmtId="3" fontId="70" fillId="5" borderId="0" xfId="0" applyNumberFormat="1" applyFont="1" applyFill="1" applyAlignment="1">
      <alignment horizontal="right" vertical="center"/>
    </xf>
    <xf numFmtId="0" fontId="70" fillId="5" borderId="0" xfId="0" applyFont="1" applyFill="1" applyAlignment="1">
      <alignment horizontal="right" vertical="center"/>
    </xf>
    <xf numFmtId="0" fontId="4" fillId="0" borderId="0" xfId="9" applyBorder="1"/>
    <xf numFmtId="0" fontId="70" fillId="10" borderId="0" xfId="9" applyFont="1" applyFill="1" applyBorder="1" applyAlignment="1">
      <alignment horizontal="center" vertical="center"/>
    </xf>
    <xf numFmtId="0" fontId="70" fillId="10" borderId="0" xfId="9" applyFont="1" applyFill="1" applyBorder="1" applyAlignment="1">
      <alignment horizontal="center" vertical="center" wrapText="1"/>
    </xf>
    <xf numFmtId="191" fontId="70" fillId="10" borderId="0" xfId="10" applyNumberFormat="1" applyFont="1" applyFill="1" applyBorder="1" applyAlignment="1">
      <alignment horizontal="center" vertical="center"/>
    </xf>
    <xf numFmtId="191" fontId="79" fillId="10" borderId="0" xfId="10" applyNumberFormat="1" applyFont="1" applyFill="1" applyBorder="1" applyAlignment="1">
      <alignment horizontal="center" vertical="center"/>
    </xf>
    <xf numFmtId="0" fontId="84" fillId="0" borderId="0" xfId="9" applyFont="1" applyBorder="1"/>
    <xf numFmtId="0" fontId="18" fillId="0" borderId="0" xfId="9" applyFont="1" applyFill="1" applyBorder="1" applyAlignment="1">
      <alignment horizontal="center" vertical="center"/>
    </xf>
    <xf numFmtId="168" fontId="18" fillId="0" borderId="0" xfId="9" applyNumberFormat="1" applyFont="1" applyFill="1" applyBorder="1" applyAlignment="1">
      <alignment horizontal="center" vertical="center" wrapText="1"/>
    </xf>
    <xf numFmtId="191" fontId="18" fillId="0" borderId="0" xfId="10" applyNumberFormat="1" applyFont="1" applyFill="1" applyBorder="1" applyAlignment="1">
      <alignment horizontal="center" vertical="center"/>
    </xf>
    <xf numFmtId="191" fontId="18" fillId="0" borderId="0" xfId="10" applyNumberFormat="1" applyFont="1" applyFill="1" applyBorder="1" applyAlignment="1">
      <alignment horizontal="center" vertical="center" wrapText="1"/>
    </xf>
    <xf numFmtId="0" fontId="84" fillId="0" borderId="0" xfId="9" applyFont="1" applyFill="1" applyBorder="1"/>
    <xf numFmtId="0" fontId="85" fillId="0" borderId="0" xfId="9" applyFont="1" applyBorder="1"/>
    <xf numFmtId="168" fontId="85" fillId="0" borderId="0" xfId="9" applyNumberFormat="1" applyFont="1" applyBorder="1"/>
    <xf numFmtId="191" fontId="14" fillId="0" borderId="0" xfId="10" applyNumberFormat="1" applyFont="1" applyFill="1" applyBorder="1" applyAlignment="1">
      <alignment horizontal="center" vertical="center"/>
    </xf>
    <xf numFmtId="191" fontId="85" fillId="0" borderId="0" xfId="10" applyNumberFormat="1" applyFont="1" applyBorder="1"/>
    <xf numFmtId="168" fontId="84" fillId="0" borderId="0" xfId="9" applyNumberFormat="1" applyFont="1" applyBorder="1"/>
    <xf numFmtId="191" fontId="84" fillId="0" borderId="0" xfId="10" applyNumberFormat="1" applyFont="1" applyBorder="1"/>
    <xf numFmtId="0" fontId="73" fillId="0" borderId="0" xfId="9" applyFont="1" applyFill="1" applyBorder="1"/>
    <xf numFmtId="0" fontId="70" fillId="0" borderId="0" xfId="9" applyFont="1" applyFill="1" applyBorder="1" applyAlignment="1">
      <alignment horizontal="center" vertical="center"/>
    </xf>
    <xf numFmtId="168" fontId="4" fillId="0" borderId="0" xfId="9" applyNumberFormat="1" applyBorder="1"/>
    <xf numFmtId="191" fontId="4" fillId="0" borderId="0" xfId="10" applyNumberFormat="1" applyFont="1" applyBorder="1"/>
    <xf numFmtId="0" fontId="73" fillId="0" borderId="0" xfId="9" applyFont="1" applyBorder="1"/>
    <xf numFmtId="168" fontId="73" fillId="0" borderId="0" xfId="9" applyNumberFormat="1" applyFont="1" applyBorder="1"/>
    <xf numFmtId="191" fontId="73" fillId="0" borderId="0" xfId="10" applyNumberFormat="1" applyFont="1" applyBorder="1"/>
    <xf numFmtId="168" fontId="70" fillId="10" borderId="0" xfId="9" applyNumberFormat="1" applyFont="1" applyFill="1" applyBorder="1" applyAlignment="1">
      <alignment horizontal="center" vertical="center" wrapText="1"/>
    </xf>
    <xf numFmtId="191" fontId="70" fillId="10" borderId="0" xfId="10" applyNumberFormat="1" applyFont="1" applyFill="1" applyBorder="1" applyAlignment="1">
      <alignment horizontal="center" vertical="center" wrapText="1"/>
    </xf>
    <xf numFmtId="0" fontId="4" fillId="0" borderId="0" xfId="9" applyFont="1" applyBorder="1"/>
    <xf numFmtId="0" fontId="18" fillId="0" borderId="0" xfId="0" applyFont="1" applyAlignment="1">
      <alignment horizontal="right"/>
    </xf>
    <xf numFmtId="190" fontId="73" fillId="0" borderId="0" xfId="10" applyNumberFormat="1" applyFont="1" applyBorder="1" applyAlignment="1">
      <alignment horizontal="left"/>
    </xf>
    <xf numFmtId="190" fontId="4" fillId="0" borderId="0" xfId="10" applyNumberFormat="1" applyFont="1" applyBorder="1" applyAlignment="1">
      <alignment horizontal="left"/>
    </xf>
    <xf numFmtId="0" fontId="4" fillId="0" borderId="0" xfId="9" applyAlignment="1">
      <alignment horizontal="center"/>
    </xf>
    <xf numFmtId="0" fontId="70" fillId="10" borderId="0" xfId="9" applyFont="1" applyFill="1" applyBorder="1" applyAlignment="1">
      <alignment horizontal="left" vertical="center"/>
    </xf>
    <xf numFmtId="0" fontId="70" fillId="11" borderId="0" xfId="9" applyFont="1" applyFill="1" applyBorder="1" applyAlignment="1">
      <alignment vertical="center"/>
    </xf>
    <xf numFmtId="191" fontId="70" fillId="11" borderId="0" xfId="10" applyNumberFormat="1" applyFont="1" applyFill="1" applyBorder="1" applyAlignment="1">
      <alignment horizontal="center" vertical="center"/>
    </xf>
    <xf numFmtId="0" fontId="70" fillId="11" borderId="0" xfId="9" applyFont="1" applyFill="1" applyBorder="1" applyAlignment="1">
      <alignment horizontal="center" vertical="center"/>
    </xf>
    <xf numFmtId="0" fontId="14" fillId="0" borderId="0" xfId="9" applyFont="1" applyBorder="1" applyAlignment="1">
      <alignment vertical="center"/>
    </xf>
    <xf numFmtId="191" fontId="14" fillId="0" borderId="0" xfId="10" applyNumberFormat="1" applyFont="1" applyBorder="1" applyAlignment="1">
      <alignment vertical="center"/>
    </xf>
    <xf numFmtId="191" fontId="14" fillId="0" borderId="0" xfId="10" applyNumberFormat="1" applyFont="1" applyBorder="1" applyAlignment="1">
      <alignment horizontal="right" vertical="center"/>
    </xf>
    <xf numFmtId="191" fontId="70" fillId="11" borderId="0" xfId="10" applyNumberFormat="1" applyFont="1" applyFill="1" applyBorder="1" applyAlignment="1">
      <alignment vertical="center"/>
    </xf>
    <xf numFmtId="190" fontId="70" fillId="11" borderId="0" xfId="10" applyNumberFormat="1" applyFont="1" applyFill="1" applyBorder="1" applyAlignment="1">
      <alignment vertical="center"/>
    </xf>
    <xf numFmtId="0" fontId="4" fillId="0" borderId="0" xfId="9" applyFill="1" applyBorder="1"/>
    <xf numFmtId="168" fontId="4" fillId="0" borderId="1" xfId="9" applyNumberFormat="1" applyBorder="1"/>
    <xf numFmtId="168" fontId="4" fillId="0" borderId="2" xfId="9" applyNumberFormat="1" applyBorder="1"/>
    <xf numFmtId="167" fontId="5" fillId="0" borderId="0" xfId="1" applyNumberFormat="1" applyFont="1"/>
    <xf numFmtId="167" fontId="48" fillId="2" borderId="0" xfId="1" applyNumberFormat="1" applyFont="1" applyFill="1" applyAlignment="1">
      <alignment horizontal="center" vertical="center" wrapText="1"/>
    </xf>
    <xf numFmtId="0" fontId="23" fillId="0" borderId="0" xfId="0" applyFont="1" applyFill="1" applyAlignment="1">
      <alignment horizontal="center" vertical="center"/>
    </xf>
    <xf numFmtId="0" fontId="48" fillId="2"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9" fillId="0" borderId="0" xfId="0" applyFont="1" applyBorder="1" applyAlignment="1">
      <alignment vertical="center" wrapText="1"/>
    </xf>
    <xf numFmtId="0" fontId="14" fillId="0" borderId="0" xfId="0" applyFont="1" applyAlignment="1">
      <alignment horizontal="left"/>
    </xf>
    <xf numFmtId="0" fontId="29" fillId="0" borderId="1" xfId="0" applyFont="1" applyBorder="1" applyAlignment="1">
      <alignment horizontal="center"/>
    </xf>
    <xf numFmtId="0" fontId="30" fillId="0" borderId="1" xfId="0" applyFont="1" applyBorder="1"/>
    <xf numFmtId="41" fontId="30" fillId="0" borderId="1" xfId="0" applyNumberFormat="1" applyFont="1" applyBorder="1"/>
    <xf numFmtId="41" fontId="30" fillId="0" borderId="26" xfId="0" applyNumberFormat="1" applyFont="1" applyBorder="1"/>
    <xf numFmtId="0" fontId="29" fillId="0" borderId="10" xfId="0" applyFont="1" applyBorder="1" applyAlignment="1">
      <alignment horizontal="center"/>
    </xf>
    <xf numFmtId="0" fontId="30" fillId="0" borderId="2" xfId="0" applyFont="1" applyBorder="1"/>
    <xf numFmtId="41" fontId="30" fillId="0" borderId="2" xfId="0" applyNumberFormat="1" applyFont="1" applyBorder="1"/>
    <xf numFmtId="41" fontId="30" fillId="0" borderId="27" xfId="0" applyNumberFormat="1" applyFont="1" applyBorder="1"/>
    <xf numFmtId="41" fontId="48" fillId="2" borderId="0" xfId="0" applyNumberFormat="1" applyFont="1" applyFill="1" applyBorder="1" applyAlignment="1">
      <alignment horizontal="right" vertical="center" wrapText="1"/>
    </xf>
    <xf numFmtId="41" fontId="48" fillId="2" borderId="0" xfId="1" applyNumberFormat="1" applyFont="1" applyFill="1" applyBorder="1" applyAlignment="1">
      <alignment horizontal="right" vertical="center" wrapText="1"/>
    </xf>
    <xf numFmtId="0" fontId="42" fillId="0" borderId="0" xfId="0" applyFont="1" applyFill="1"/>
    <xf numFmtId="0" fontId="77" fillId="0" borderId="0" xfId="0" applyFont="1" applyFill="1" applyAlignment="1">
      <alignment horizontal="center"/>
    </xf>
    <xf numFmtId="0" fontId="14" fillId="3" borderId="0" xfId="0" applyFont="1" applyFill="1" applyAlignment="1">
      <alignment wrapText="1"/>
    </xf>
    <xf numFmtId="3" fontId="0" fillId="0" borderId="21" xfId="0" applyNumberFormat="1" applyBorder="1"/>
    <xf numFmtId="0" fontId="49" fillId="0" borderId="0" xfId="0" applyFont="1" applyFill="1" applyAlignment="1">
      <alignment vertical="center"/>
    </xf>
    <xf numFmtId="187" fontId="12" fillId="3" borderId="0" xfId="0" applyNumberFormat="1" applyFont="1" applyFill="1" applyAlignment="1">
      <alignment horizontal="left"/>
    </xf>
    <xf numFmtId="166" fontId="48" fillId="2" borderId="0" xfId="0" applyNumberFormat="1" applyFont="1" applyFill="1" applyAlignment="1">
      <alignment horizontal="right" vertical="center" wrapText="1"/>
    </xf>
    <xf numFmtId="0" fontId="48" fillId="2" borderId="0" xfId="0" applyFont="1" applyFill="1" applyBorder="1" applyAlignment="1">
      <alignment horizontal="center" vertical="center" wrapText="1"/>
    </xf>
    <xf numFmtId="0" fontId="48" fillId="2" borderId="0" xfId="0" applyFont="1" applyFill="1" applyBorder="1" applyAlignment="1">
      <alignment horizontal="center" vertical="center" wrapText="1"/>
    </xf>
    <xf numFmtId="0" fontId="23" fillId="0" borderId="0" xfId="0" applyFont="1" applyFill="1" applyAlignment="1">
      <alignment horizontal="center" vertical="center"/>
    </xf>
    <xf numFmtId="0" fontId="18" fillId="0" borderId="0" xfId="0" applyFont="1" applyFill="1" applyBorder="1" applyAlignment="1">
      <alignment horizontal="center" vertical="center" wrapText="1"/>
    </xf>
    <xf numFmtId="0" fontId="0" fillId="0" borderId="0" xfId="0" applyFill="1" applyAlignment="1"/>
    <xf numFmtId="0" fontId="10" fillId="2" borderId="0" xfId="0" applyFont="1" applyFill="1" applyAlignment="1">
      <alignment horizontal="center" vertical="center" wrapText="1"/>
    </xf>
    <xf numFmtId="0" fontId="7" fillId="0" borderId="0" xfId="0" applyFont="1" applyAlignment="1">
      <alignment horizontal="right"/>
    </xf>
    <xf numFmtId="0" fontId="0" fillId="0" borderId="0" xfId="0" applyAlignment="1"/>
    <xf numFmtId="0" fontId="12" fillId="8" borderId="0" xfId="0" applyFont="1" applyFill="1" applyAlignment="1">
      <alignment vertical="center" wrapText="1"/>
    </xf>
    <xf numFmtId="178" fontId="14" fillId="8" borderId="0" xfId="0" applyNumberFormat="1" applyFont="1" applyFill="1" applyAlignment="1">
      <alignment horizontal="right" vertical="center" wrapText="1"/>
    </xf>
    <xf numFmtId="0" fontId="14" fillId="8" borderId="0" xfId="0" applyFont="1" applyFill="1" applyAlignment="1">
      <alignment horizontal="center" vertical="center" wrapText="1"/>
    </xf>
    <xf numFmtId="0" fontId="74" fillId="5" borderId="0" xfId="0" applyFont="1" applyFill="1" applyAlignment="1">
      <alignment horizontal="center" vertical="center" wrapText="1"/>
    </xf>
    <xf numFmtId="178" fontId="74" fillId="5" borderId="3" xfId="0" applyNumberFormat="1" applyFont="1" applyFill="1" applyBorder="1" applyAlignment="1">
      <alignment vertical="center" wrapText="1"/>
    </xf>
    <xf numFmtId="178" fontId="74" fillId="5" borderId="3" xfId="0" applyNumberFormat="1" applyFont="1" applyFill="1" applyBorder="1" applyAlignment="1">
      <alignment horizontal="center" vertical="center" wrapText="1"/>
    </xf>
    <xf numFmtId="0" fontId="74" fillId="5" borderId="3" xfId="0" applyFont="1" applyFill="1" applyBorder="1" applyAlignment="1">
      <alignment horizontal="center" vertical="center" wrapText="1"/>
    </xf>
    <xf numFmtId="0" fontId="10" fillId="2" borderId="0" xfId="0" applyFont="1" applyFill="1" applyAlignment="1">
      <alignment horizontal="center" vertical="center" wrapText="1"/>
    </xf>
    <xf numFmtId="0" fontId="7" fillId="0" borderId="0" xfId="0" applyFont="1" applyAlignment="1">
      <alignment horizontal="right"/>
    </xf>
    <xf numFmtId="0" fontId="8" fillId="0" borderId="0" xfId="0" applyFont="1" applyAlignment="1">
      <alignment horizontal="center"/>
    </xf>
    <xf numFmtId="0" fontId="48" fillId="2" borderId="0" xfId="0" applyFont="1" applyFill="1" applyBorder="1" applyAlignment="1">
      <alignment horizontal="center" vertical="center" wrapText="1"/>
    </xf>
    <xf numFmtId="0" fontId="48" fillId="2" borderId="0" xfId="0" applyFont="1" applyFill="1" applyBorder="1" applyAlignment="1">
      <alignment horizontal="center" vertical="center"/>
    </xf>
    <xf numFmtId="167" fontId="48" fillId="2" borderId="0" xfId="1" applyFont="1" applyFill="1" applyBorder="1" applyAlignment="1">
      <alignment horizontal="center" vertical="center" wrapText="1"/>
    </xf>
    <xf numFmtId="0" fontId="77" fillId="0" borderId="0" xfId="0" applyFont="1" applyAlignment="1">
      <alignment horizontal="center"/>
    </xf>
    <xf numFmtId="0" fontId="14" fillId="0" borderId="1" xfId="0" applyFont="1" applyBorder="1"/>
    <xf numFmtId="168" fontId="14" fillId="0" borderId="1" xfId="0" applyNumberFormat="1" applyFont="1" applyFill="1" applyBorder="1"/>
    <xf numFmtId="168" fontId="14" fillId="0" borderId="2" xfId="0" applyNumberFormat="1" applyFont="1" applyFill="1" applyBorder="1"/>
    <xf numFmtId="168" fontId="14" fillId="0" borderId="2" xfId="0" applyNumberFormat="1" applyFont="1" applyBorder="1"/>
    <xf numFmtId="168" fontId="48" fillId="5" borderId="0" xfId="1" applyNumberFormat="1" applyFont="1" applyFill="1" applyAlignment="1">
      <alignment horizontal="center" vertical="center" wrapText="1"/>
    </xf>
    <xf numFmtId="0" fontId="35" fillId="0" borderId="1" xfId="0" applyFont="1" applyBorder="1" applyAlignment="1">
      <alignment horizontal="center"/>
    </xf>
    <xf numFmtId="0" fontId="28" fillId="0" borderId="1" xfId="0" applyFont="1" applyBorder="1"/>
    <xf numFmtId="168" fontId="28" fillId="0" borderId="1" xfId="0" applyNumberFormat="1" applyFont="1" applyBorder="1"/>
    <xf numFmtId="168" fontId="28" fillId="0" borderId="26" xfId="0" applyNumberFormat="1" applyFont="1" applyBorder="1"/>
    <xf numFmtId="0" fontId="35" fillId="0" borderId="10" xfId="0" applyFont="1" applyBorder="1" applyAlignment="1">
      <alignment horizontal="center"/>
    </xf>
    <xf numFmtId="0" fontId="28" fillId="0" borderId="2" xfId="0" applyFont="1" applyBorder="1"/>
    <xf numFmtId="168" fontId="28" fillId="0" borderId="2" xfId="0" applyNumberFormat="1" applyFont="1" applyBorder="1"/>
    <xf numFmtId="168" fontId="28" fillId="0" borderId="27" xfId="0" applyNumberFormat="1" applyFont="1" applyBorder="1"/>
    <xf numFmtId="0" fontId="35" fillId="0" borderId="0" xfId="0" applyFont="1" applyAlignment="1">
      <alignment horizontal="center"/>
    </xf>
    <xf numFmtId="168" fontId="28" fillId="0" borderId="0" xfId="1" applyNumberFormat="1" applyFont="1"/>
    <xf numFmtId="0" fontId="35" fillId="0" borderId="7" xfId="0" applyFont="1" applyBorder="1" applyAlignment="1">
      <alignment horizontal="center"/>
    </xf>
    <xf numFmtId="0" fontId="28" fillId="0" borderId="7" xfId="0" applyFont="1" applyBorder="1"/>
    <xf numFmtId="168" fontId="28" fillId="0" borderId="7" xfId="1" applyNumberFormat="1" applyFont="1" applyBorder="1"/>
    <xf numFmtId="168" fontId="28" fillId="0" borderId="0" xfId="1" applyNumberFormat="1" applyFont="1" applyBorder="1"/>
    <xf numFmtId="0" fontId="35" fillId="0" borderId="9" xfId="0" applyFont="1" applyBorder="1" applyAlignment="1">
      <alignment horizontal="center"/>
    </xf>
    <xf numFmtId="0" fontId="28" fillId="0" borderId="9" xfId="0" applyFont="1" applyBorder="1"/>
    <xf numFmtId="168" fontId="28" fillId="0" borderId="9" xfId="1" applyNumberFormat="1" applyFont="1" applyBorder="1"/>
    <xf numFmtId="168" fontId="10" fillId="2" borderId="0" xfId="1" applyNumberFormat="1" applyFont="1" applyFill="1" applyAlignment="1">
      <alignment horizontal="center" vertical="center" wrapText="1"/>
    </xf>
    <xf numFmtId="41" fontId="28" fillId="0" borderId="0" xfId="0" applyNumberFormat="1" applyFont="1"/>
    <xf numFmtId="41" fontId="28" fillId="0" borderId="7" xfId="0" applyNumberFormat="1" applyFont="1" applyBorder="1"/>
    <xf numFmtId="41" fontId="28" fillId="0" borderId="0" xfId="0" applyNumberFormat="1" applyFont="1" applyFill="1"/>
    <xf numFmtId="41" fontId="28" fillId="0" borderId="7" xfId="0" applyNumberFormat="1" applyFont="1" applyFill="1" applyBorder="1"/>
    <xf numFmtId="0" fontId="18" fillId="0" borderId="0" xfId="0" applyFont="1" applyFill="1" applyBorder="1" applyAlignment="1">
      <alignment horizontal="center"/>
    </xf>
    <xf numFmtId="0" fontId="71" fillId="0" borderId="0" xfId="13" applyFont="1" applyFill="1" applyBorder="1" applyAlignment="1">
      <alignment horizontal="center" wrapText="1"/>
    </xf>
    <xf numFmtId="0" fontId="33" fillId="0" borderId="0" xfId="13" applyFont="1" applyFill="1" applyBorder="1" applyAlignment="1">
      <alignment wrapText="1"/>
    </xf>
    <xf numFmtId="190" fontId="33" fillId="0" borderId="0" xfId="1" applyNumberFormat="1" applyFont="1" applyFill="1" applyBorder="1" applyAlignment="1">
      <alignment horizontal="right" wrapText="1"/>
    </xf>
    <xf numFmtId="41" fontId="48" fillId="2" borderId="24" xfId="0" applyNumberFormat="1" applyFont="1" applyFill="1" applyBorder="1" applyAlignment="1">
      <alignment horizontal="right" vertical="center" wrapText="1"/>
    </xf>
    <xf numFmtId="0" fontId="0" fillId="0" borderId="0" xfId="0" applyNumberFormat="1"/>
    <xf numFmtId="0" fontId="94" fillId="0" borderId="0" xfId="14" applyFont="1" applyAlignment="1">
      <alignment vertical="center"/>
    </xf>
    <xf numFmtId="0" fontId="95" fillId="0" borderId="0" xfId="14" applyFont="1"/>
    <xf numFmtId="0" fontId="98" fillId="6" borderId="0" xfId="14" applyFont="1" applyFill="1" applyAlignment="1">
      <alignment horizontal="center" vertical="center" wrapText="1"/>
    </xf>
    <xf numFmtId="0" fontId="99" fillId="6" borderId="0" xfId="14" applyFont="1" applyFill="1" applyBorder="1" applyAlignment="1">
      <alignment horizontal="center" vertical="center" wrapText="1"/>
    </xf>
    <xf numFmtId="0" fontId="101" fillId="0" borderId="0" xfId="14" applyFont="1"/>
    <xf numFmtId="190" fontId="101" fillId="0" borderId="0" xfId="15" applyNumberFormat="1" applyFont="1"/>
    <xf numFmtId="191" fontId="101" fillId="0" borderId="0" xfId="15" applyNumberFormat="1" applyFont="1"/>
    <xf numFmtId="178" fontId="101" fillId="0" borderId="0" xfId="14" applyNumberFormat="1" applyFont="1"/>
    <xf numFmtId="190" fontId="101" fillId="7" borderId="0" xfId="15" applyNumberFormat="1" applyFont="1" applyFill="1"/>
    <xf numFmtId="0" fontId="102" fillId="6" borderId="0" xfId="14" applyFont="1" applyFill="1"/>
    <xf numFmtId="190" fontId="102" fillId="6" borderId="0" xfId="15" applyNumberFormat="1" applyFont="1" applyFill="1"/>
    <xf numFmtId="178" fontId="102" fillId="6" borderId="0" xfId="14" applyNumberFormat="1" applyFont="1" applyFill="1"/>
    <xf numFmtId="191" fontId="102" fillId="6" borderId="0" xfId="15" applyNumberFormat="1" applyFont="1" applyFill="1"/>
    <xf numFmtId="0" fontId="99" fillId="6" borderId="0" xfId="14" applyFont="1" applyFill="1" applyAlignment="1">
      <alignment horizontal="left" vertical="center" wrapText="1"/>
    </xf>
    <xf numFmtId="0" fontId="99" fillId="6" borderId="0" xfId="14" applyFont="1" applyFill="1" applyAlignment="1">
      <alignment horizontal="center" vertical="center" wrapText="1"/>
    </xf>
    <xf numFmtId="0" fontId="107" fillId="3" borderId="0" xfId="14" applyFont="1" applyFill="1" applyAlignment="1">
      <alignment horizontal="left"/>
    </xf>
    <xf numFmtId="164" fontId="107" fillId="7" borderId="0" xfId="14" applyNumberFormat="1" applyFont="1" applyFill="1" applyAlignment="1">
      <alignment horizontal="right"/>
    </xf>
    <xf numFmtId="166" fontId="107" fillId="0" borderId="0" xfId="14" applyNumberFormat="1" applyFont="1" applyFill="1" applyAlignment="1">
      <alignment horizontal="right"/>
    </xf>
    <xf numFmtId="164" fontId="107" fillId="0" borderId="0" xfId="14" applyNumberFormat="1" applyFont="1" applyFill="1" applyAlignment="1">
      <alignment horizontal="right"/>
    </xf>
    <xf numFmtId="193" fontId="107" fillId="0" borderId="0" xfId="14" applyNumberFormat="1" applyFont="1" applyFill="1" applyAlignment="1">
      <alignment horizontal="right"/>
    </xf>
    <xf numFmtId="0" fontId="107" fillId="3" borderId="0" xfId="14" applyFont="1" applyFill="1" applyBorder="1" applyAlignment="1">
      <alignment horizontal="left"/>
    </xf>
    <xf numFmtId="164" fontId="107" fillId="0" borderId="0" xfId="14" applyNumberFormat="1" applyFont="1" applyFill="1" applyBorder="1" applyAlignment="1">
      <alignment horizontal="right"/>
    </xf>
    <xf numFmtId="0" fontId="99" fillId="6" borderId="0" xfId="14" applyFont="1" applyFill="1" applyBorder="1" applyAlignment="1">
      <alignment horizontal="left" vertical="center"/>
    </xf>
    <xf numFmtId="3" fontId="99" fillId="6" borderId="0" xfId="14" applyNumberFormat="1" applyFont="1" applyFill="1" applyBorder="1" applyAlignment="1">
      <alignment horizontal="right" vertical="center"/>
    </xf>
    <xf numFmtId="186" fontId="99" fillId="6" borderId="0" xfId="14" applyNumberFormat="1" applyFont="1" applyFill="1" applyBorder="1" applyAlignment="1">
      <alignment horizontal="right" vertical="center"/>
    </xf>
    <xf numFmtId="43" fontId="95" fillId="0" borderId="0" xfId="15" applyFont="1"/>
    <xf numFmtId="3" fontId="107" fillId="0" borderId="0" xfId="14" applyNumberFormat="1" applyFont="1" applyFill="1"/>
    <xf numFmtId="186" fontId="107" fillId="3" borderId="0" xfId="14" applyNumberFormat="1" applyFont="1" applyFill="1" applyAlignment="1">
      <alignment horizontal="right"/>
    </xf>
    <xf numFmtId="186" fontId="107" fillId="0" borderId="0" xfId="14" applyNumberFormat="1" applyFont="1" applyFill="1" applyAlignment="1">
      <alignment horizontal="right"/>
    </xf>
    <xf numFmtId="186" fontId="107" fillId="7" borderId="0" xfId="14" applyNumberFormat="1" applyFont="1" applyFill="1" applyAlignment="1">
      <alignment horizontal="right"/>
    </xf>
    <xf numFmtId="3" fontId="107" fillId="7" borderId="0" xfId="14" applyNumberFormat="1" applyFont="1" applyFill="1"/>
    <xf numFmtId="0" fontId="99" fillId="6" borderId="0" xfId="14" applyFont="1" applyFill="1" applyBorder="1" applyAlignment="1">
      <alignment horizontal="center" vertical="center"/>
    </xf>
    <xf numFmtId="0" fontId="2" fillId="0" borderId="0" xfId="14"/>
    <xf numFmtId="190" fontId="107" fillId="0" borderId="0" xfId="15" applyNumberFormat="1" applyFont="1" applyFill="1" applyBorder="1" applyAlignment="1">
      <alignment horizontal="center" vertical="center" wrapText="1"/>
    </xf>
    <xf numFmtId="191" fontId="107" fillId="0" borderId="0" xfId="15" applyNumberFormat="1" applyFont="1" applyFill="1" applyBorder="1" applyAlignment="1">
      <alignment horizontal="center" vertical="center" wrapText="1"/>
    </xf>
    <xf numFmtId="191" fontId="107" fillId="7" borderId="0" xfId="15" applyNumberFormat="1" applyFont="1" applyFill="1" applyBorder="1" applyAlignment="1">
      <alignment horizontal="center" vertical="center" wrapText="1"/>
    </xf>
    <xf numFmtId="190" fontId="107" fillId="7" borderId="0" xfId="15" applyNumberFormat="1" applyFont="1" applyFill="1" applyBorder="1" applyAlignment="1">
      <alignment horizontal="center" vertical="center" wrapText="1"/>
    </xf>
    <xf numFmtId="0" fontId="98" fillId="6" borderId="0" xfId="14" applyFont="1" applyFill="1"/>
    <xf numFmtId="190" fontId="98" fillId="6" borderId="0" xfId="15" applyNumberFormat="1" applyFont="1" applyFill="1"/>
    <xf numFmtId="191" fontId="98" fillId="6" borderId="0" xfId="15" applyNumberFormat="1" applyFont="1" applyFill="1"/>
    <xf numFmtId="0" fontId="107" fillId="0" borderId="34" xfId="14" applyFont="1" applyBorder="1"/>
    <xf numFmtId="168" fontId="107" fillId="7" borderId="0" xfId="15" applyNumberFormat="1" applyFont="1" applyFill="1" applyAlignment="1">
      <alignment horizontal="right"/>
    </xf>
    <xf numFmtId="180" fontId="107" fillId="0" borderId="0" xfId="15" applyNumberFormat="1" applyFont="1" applyFill="1" applyAlignment="1">
      <alignment horizontal="right"/>
    </xf>
    <xf numFmtId="186" fontId="107" fillId="0" borderId="0" xfId="14" applyNumberFormat="1" applyFont="1" applyAlignment="1">
      <alignment horizontal="right"/>
    </xf>
    <xf numFmtId="168" fontId="107" fillId="0" borderId="0" xfId="15" applyNumberFormat="1" applyFont="1" applyFill="1" applyAlignment="1">
      <alignment horizontal="right"/>
    </xf>
    <xf numFmtId="168" fontId="107" fillId="0" borderId="0" xfId="15" applyNumberFormat="1" applyFont="1" applyAlignment="1">
      <alignment horizontal="right"/>
    </xf>
    <xf numFmtId="180" fontId="107" fillId="7" borderId="0" xfId="15" applyNumberFormat="1" applyFont="1" applyFill="1" applyAlignment="1">
      <alignment horizontal="right"/>
    </xf>
    <xf numFmtId="0" fontId="99" fillId="6" borderId="35" xfId="14" applyFont="1" applyFill="1" applyBorder="1" applyAlignment="1">
      <alignment horizontal="center" vertical="center"/>
    </xf>
    <xf numFmtId="3" fontId="99" fillId="6" borderId="25" xfId="14" applyNumberFormat="1" applyFont="1" applyFill="1" applyBorder="1" applyAlignment="1">
      <alignment horizontal="right" vertical="center"/>
    </xf>
    <xf numFmtId="186" fontId="99" fillId="6" borderId="25" xfId="14" applyNumberFormat="1" applyFont="1" applyFill="1" applyBorder="1" applyAlignment="1">
      <alignment horizontal="right" vertical="center"/>
    </xf>
    <xf numFmtId="0" fontId="101" fillId="0" borderId="0" xfId="14" applyFont="1" applyBorder="1"/>
    <xf numFmtId="168" fontId="101" fillId="7" borderId="0" xfId="14" applyNumberFormat="1" applyFont="1" applyFill="1" applyBorder="1"/>
    <xf numFmtId="186" fontId="101" fillId="0" borderId="0" xfId="16" applyNumberFormat="1" applyFont="1" applyBorder="1"/>
    <xf numFmtId="180" fontId="101" fillId="0" borderId="0" xfId="14" applyNumberFormat="1" applyFont="1" applyBorder="1"/>
    <xf numFmtId="168" fontId="101" fillId="0" borderId="0" xfId="14" applyNumberFormat="1" applyFont="1" applyBorder="1"/>
    <xf numFmtId="180" fontId="101" fillId="7" borderId="0" xfId="14" applyNumberFormat="1" applyFont="1" applyFill="1" applyBorder="1"/>
    <xf numFmtId="0" fontId="102" fillId="6" borderId="0" xfId="14" applyFont="1" applyFill="1" applyBorder="1"/>
    <xf numFmtId="168" fontId="102" fillId="6" borderId="0" xfId="14" applyNumberFormat="1" applyFont="1" applyFill="1" applyBorder="1"/>
    <xf numFmtId="186" fontId="102" fillId="6" borderId="0" xfId="16" applyNumberFormat="1" applyFont="1" applyFill="1" applyBorder="1"/>
    <xf numFmtId="180" fontId="102" fillId="6" borderId="0" xfId="14" applyNumberFormat="1" applyFont="1" applyFill="1" applyBorder="1"/>
    <xf numFmtId="0" fontId="109" fillId="0" borderId="2" xfId="14" applyFont="1" applyFill="1" applyBorder="1"/>
    <xf numFmtId="168" fontId="95" fillId="0" borderId="0" xfId="14" applyNumberFormat="1" applyFont="1"/>
    <xf numFmtId="0" fontId="98" fillId="6" borderId="0" xfId="14" applyFont="1" applyFill="1" applyBorder="1" applyAlignment="1">
      <alignment horizontal="center" vertical="center"/>
    </xf>
    <xf numFmtId="0" fontId="98" fillId="6" borderId="0" xfId="14" applyFont="1" applyFill="1" applyBorder="1" applyAlignment="1">
      <alignment horizontal="center" vertical="center" wrapText="1"/>
    </xf>
    <xf numFmtId="0" fontId="110" fillId="0" borderId="0" xfId="14" applyFont="1" applyBorder="1"/>
    <xf numFmtId="3" fontId="110" fillId="0" borderId="0" xfId="14" applyNumberFormat="1" applyFont="1" applyBorder="1" applyAlignment="1">
      <alignment horizontal="right" wrapText="1"/>
    </xf>
    <xf numFmtId="0" fontId="111" fillId="0" borderId="0" xfId="14" applyFont="1" applyBorder="1"/>
    <xf numFmtId="3" fontId="111" fillId="0" borderId="0" xfId="14" applyNumberFormat="1" applyFont="1" applyBorder="1" applyAlignment="1">
      <alignment horizontal="right" wrapText="1"/>
    </xf>
    <xf numFmtId="0" fontId="110" fillId="0" borderId="0" xfId="14" applyFont="1" applyBorder="1" applyAlignment="1">
      <alignment horizontal="left" indent="2"/>
    </xf>
    <xf numFmtId="43" fontId="110" fillId="0" borderId="0" xfId="14" applyNumberFormat="1" applyFont="1" applyBorder="1" applyAlignment="1">
      <alignment horizontal="right" wrapText="1"/>
    </xf>
    <xf numFmtId="190" fontId="110" fillId="0" borderId="0" xfId="14" applyNumberFormat="1" applyFont="1" applyBorder="1" applyAlignment="1">
      <alignment horizontal="right" wrapText="1"/>
    </xf>
    <xf numFmtId="0" fontId="111" fillId="0" borderId="0" xfId="14" applyFont="1" applyBorder="1" applyAlignment="1">
      <alignment horizontal="left" indent="2"/>
    </xf>
    <xf numFmtId="43" fontId="111" fillId="0" borderId="0" xfId="15" applyFont="1" applyBorder="1" applyAlignment="1">
      <alignment horizontal="right" wrapText="1"/>
    </xf>
    <xf numFmtId="0" fontId="111" fillId="0" borderId="0" xfId="14" applyFont="1" applyBorder="1" applyAlignment="1">
      <alignment horizontal="right" wrapText="1"/>
    </xf>
    <xf numFmtId="0" fontId="111" fillId="0" borderId="0" xfId="14" applyFont="1" applyBorder="1" applyAlignment="1">
      <alignment horizontal="left" indent="3"/>
    </xf>
    <xf numFmtId="0" fontId="111" fillId="0" borderId="3" xfId="14" applyFont="1" applyBorder="1"/>
    <xf numFmtId="3" fontId="111" fillId="0" borderId="3" xfId="14" applyNumberFormat="1" applyFont="1" applyBorder="1" applyAlignment="1">
      <alignment horizontal="right" wrapText="1"/>
    </xf>
    <xf numFmtId="167" fontId="6" fillId="0" borderId="0" xfId="1" applyFont="1" applyAlignment="1"/>
    <xf numFmtId="0" fontId="112" fillId="6" borderId="0" xfId="5" applyNumberFormat="1" applyFont="1" applyFill="1" applyBorder="1" applyAlignment="1">
      <alignment horizontal="center" vertical="center"/>
    </xf>
    <xf numFmtId="0" fontId="112" fillId="0" borderId="0" xfId="5" applyNumberFormat="1" applyFont="1" applyFill="1" applyBorder="1" applyAlignment="1">
      <alignment horizontal="center" vertical="center"/>
    </xf>
    <xf numFmtId="0" fontId="107" fillId="0" borderId="0" xfId="14" applyFont="1" applyFill="1"/>
    <xf numFmtId="0" fontId="113" fillId="0" borderId="0" xfId="14" applyFont="1" applyFill="1" applyBorder="1" applyAlignment="1"/>
    <xf numFmtId="194" fontId="113" fillId="0" borderId="0" xfId="5" applyNumberFormat="1" applyFont="1" applyFill="1"/>
    <xf numFmtId="0" fontId="113" fillId="0" borderId="0" xfId="14" applyFont="1" applyFill="1" applyBorder="1" applyAlignment="1">
      <alignment horizontal="left" indent="1"/>
    </xf>
    <xf numFmtId="0" fontId="113" fillId="0" borderId="0" xfId="14" applyFont="1" applyFill="1" applyBorder="1"/>
    <xf numFmtId="194" fontId="113" fillId="0" borderId="0" xfId="14" applyNumberFormat="1" applyFont="1" applyFill="1" applyBorder="1"/>
    <xf numFmtId="0" fontId="107" fillId="0" borderId="0" xfId="14" applyFont="1" applyFill="1" applyBorder="1" applyAlignment="1">
      <alignment horizontal="left" indent="1"/>
    </xf>
    <xf numFmtId="194" fontId="107" fillId="0" borderId="0" xfId="5" applyNumberFormat="1" applyFont="1" applyFill="1"/>
    <xf numFmtId="194" fontId="107" fillId="0" borderId="0" xfId="5" applyNumberFormat="1" applyFont="1" applyFill="1" applyAlignment="1">
      <alignment horizontal="right"/>
    </xf>
    <xf numFmtId="0" fontId="107" fillId="0" borderId="0" xfId="14" applyFont="1" applyFill="1" applyBorder="1"/>
    <xf numFmtId="194" fontId="107" fillId="0" borderId="0" xfId="14" applyNumberFormat="1" applyFont="1" applyFill="1" applyBorder="1"/>
    <xf numFmtId="0" fontId="107" fillId="0" borderId="0" xfId="14" applyFont="1" applyFill="1" applyBorder="1" applyAlignment="1">
      <alignment horizontal="left" indent="2"/>
    </xf>
    <xf numFmtId="194" fontId="107" fillId="0" borderId="0" xfId="5" applyNumberFormat="1" applyFont="1"/>
    <xf numFmtId="0" fontId="113" fillId="0" borderId="3" xfId="14" applyFont="1" applyFill="1" applyBorder="1" applyAlignment="1">
      <alignment vertical="center" wrapText="1"/>
    </xf>
    <xf numFmtId="168" fontId="113" fillId="0" borderId="3" xfId="14" applyNumberFormat="1" applyFont="1" applyFill="1" applyBorder="1" applyAlignment="1">
      <alignment vertical="center" wrapText="1"/>
    </xf>
    <xf numFmtId="190" fontId="95" fillId="0" borderId="0" xfId="15" applyNumberFormat="1" applyFont="1"/>
    <xf numFmtId="0" fontId="98" fillId="6" borderId="0" xfId="14" applyFont="1" applyFill="1" applyBorder="1" applyAlignment="1">
      <alignment horizontal="justify" vertical="center"/>
    </xf>
    <xf numFmtId="14" fontId="98" fillId="6" borderId="0" xfId="14" applyNumberFormat="1" applyFont="1" applyFill="1" applyBorder="1" applyAlignment="1">
      <alignment horizontal="center" vertical="center"/>
    </xf>
    <xf numFmtId="0" fontId="114" fillId="0" borderId="0" xfId="14" applyFont="1" applyFill="1" applyBorder="1" applyAlignment="1">
      <alignment horizontal="justify"/>
    </xf>
    <xf numFmtId="168" fontId="114" fillId="0" borderId="0" xfId="15" applyNumberFormat="1" applyFont="1" applyFill="1" applyBorder="1" applyAlignment="1">
      <alignment horizontal="right"/>
    </xf>
    <xf numFmtId="0" fontId="113" fillId="0" borderId="0" xfId="14" applyFont="1" applyFill="1" applyBorder="1" applyAlignment="1">
      <alignment horizontal="left" vertical="center" wrapText="1" indent="1"/>
    </xf>
    <xf numFmtId="183" fontId="114" fillId="0" borderId="0" xfId="15" applyNumberFormat="1" applyFont="1" applyBorder="1"/>
    <xf numFmtId="183" fontId="95" fillId="0" borderId="0" xfId="14" applyNumberFormat="1" applyFont="1"/>
    <xf numFmtId="167" fontId="2" fillId="0" borderId="0" xfId="15" applyNumberFormat="1" applyFont="1" applyFill="1" applyAlignment="1">
      <alignment horizontal="left" indent="2"/>
    </xf>
    <xf numFmtId="168" fontId="2" fillId="0" borderId="0" xfId="15" applyNumberFormat="1" applyFont="1" applyFill="1" applyAlignment="1"/>
    <xf numFmtId="183" fontId="95" fillId="0" borderId="0" xfId="15" applyNumberFormat="1" applyFont="1" applyBorder="1"/>
    <xf numFmtId="167" fontId="0" fillId="0" borderId="0" xfId="15" applyNumberFormat="1" applyFont="1" applyFill="1" applyAlignment="1">
      <alignment horizontal="left" indent="2"/>
    </xf>
    <xf numFmtId="0" fontId="114" fillId="0" borderId="0" xfId="14" applyFont="1"/>
    <xf numFmtId="183" fontId="114" fillId="0" borderId="0" xfId="14" applyNumberFormat="1" applyFont="1"/>
    <xf numFmtId="0" fontId="107" fillId="0" borderId="0" xfId="14" applyFont="1" applyFill="1" applyBorder="1" applyAlignment="1">
      <alignment horizontal="left" vertical="center" indent="1"/>
    </xf>
    <xf numFmtId="0" fontId="107" fillId="0" borderId="0" xfId="14" applyFont="1" applyFill="1" applyBorder="1" applyAlignment="1">
      <alignment horizontal="left" vertical="center" wrapText="1" indent="1"/>
    </xf>
    <xf numFmtId="0" fontId="117" fillId="0" borderId="3" xfId="14" applyFont="1" applyFill="1" applyBorder="1" applyAlignment="1">
      <alignment vertical="center"/>
    </xf>
    <xf numFmtId="168" fontId="117" fillId="0" borderId="3" xfId="15" applyNumberFormat="1" applyFont="1" applyFill="1" applyBorder="1" applyAlignment="1">
      <alignment horizontal="right" vertical="center"/>
    </xf>
    <xf numFmtId="195" fontId="112" fillId="6" borderId="0" xfId="14" applyNumberFormat="1" applyFont="1" applyFill="1" applyBorder="1" applyAlignment="1">
      <alignment horizontal="left" vertical="center"/>
    </xf>
    <xf numFmtId="195" fontId="118" fillId="0" borderId="0" xfId="14" applyNumberFormat="1" applyFont="1" applyFill="1" applyBorder="1" applyAlignment="1">
      <alignment horizontal="center"/>
    </xf>
    <xf numFmtId="0" fontId="95" fillId="0" borderId="0" xfId="14" applyFont="1" applyBorder="1"/>
    <xf numFmtId="0" fontId="118" fillId="0" borderId="0" xfId="14" applyFont="1" applyFill="1" applyBorder="1"/>
    <xf numFmtId="0" fontId="113" fillId="0" borderId="0" xfId="14" applyFont="1" applyFill="1" applyBorder="1" applyAlignment="1">
      <alignment horizontal="left" vertical="center" indent="1"/>
    </xf>
    <xf numFmtId="0" fontId="113" fillId="0" borderId="0" xfId="14" applyFont="1" applyFill="1" applyBorder="1" applyAlignment="1">
      <alignment horizontal="left" vertical="center" wrapText="1" indent="2"/>
    </xf>
    <xf numFmtId="0" fontId="107" fillId="0" borderId="0" xfId="14" applyFont="1" applyFill="1" applyBorder="1" applyAlignment="1">
      <alignment horizontal="left" vertical="center" wrapText="1" indent="3"/>
    </xf>
    <xf numFmtId="0" fontId="107" fillId="0" borderId="0" xfId="14" applyFont="1" applyFill="1" applyBorder="1" applyAlignment="1">
      <alignment horizontal="left" vertical="center" wrapText="1" indent="2"/>
    </xf>
    <xf numFmtId="0" fontId="113" fillId="0" borderId="3" xfId="14" applyFont="1" applyFill="1" applyBorder="1" applyAlignment="1">
      <alignment vertical="center"/>
    </xf>
    <xf numFmtId="183" fontId="114" fillId="0" borderId="3" xfId="15" applyNumberFormat="1" applyFont="1" applyBorder="1"/>
    <xf numFmtId="0" fontId="1" fillId="0" borderId="0" xfId="17" applyBorder="1"/>
    <xf numFmtId="43" fontId="0" fillId="0" borderId="0" xfId="18" applyFont="1" applyBorder="1"/>
    <xf numFmtId="0" fontId="73" fillId="0" borderId="0" xfId="17" applyFont="1" applyBorder="1"/>
    <xf numFmtId="0" fontId="73" fillId="0" borderId="0" xfId="17" applyFont="1" applyBorder="1" applyAlignment="1">
      <alignment horizontal="center" wrapText="1"/>
    </xf>
    <xf numFmtId="43" fontId="73" fillId="0" borderId="0" xfId="18" applyFont="1" applyBorder="1" applyAlignment="1">
      <alignment horizontal="center" wrapText="1"/>
    </xf>
    <xf numFmtId="43" fontId="0" fillId="0" borderId="0" xfId="18" applyNumberFormat="1" applyFont="1" applyBorder="1" applyAlignment="1">
      <alignment horizontal="center"/>
    </xf>
    <xf numFmtId="43" fontId="0" fillId="0" borderId="0" xfId="18" applyNumberFormat="1" applyFont="1" applyBorder="1"/>
    <xf numFmtId="43" fontId="0" fillId="0" borderId="0" xfId="18" applyNumberFormat="1" applyFont="1" applyBorder="1" applyAlignment="1">
      <alignment horizontal="left" indent="3"/>
    </xf>
    <xf numFmtId="43" fontId="73" fillId="0" borderId="0" xfId="18" applyNumberFormat="1" applyFont="1" applyFill="1" applyBorder="1" applyAlignment="1">
      <alignment horizontal="center"/>
    </xf>
    <xf numFmtId="43" fontId="73" fillId="0" borderId="0" xfId="18" applyNumberFormat="1" applyFont="1" applyBorder="1"/>
    <xf numFmtId="43" fontId="73" fillId="0" borderId="0" xfId="18" applyNumberFormat="1" applyFont="1" applyBorder="1" applyAlignment="1">
      <alignment horizontal="left" indent="3"/>
    </xf>
    <xf numFmtId="43" fontId="73" fillId="0" borderId="0" xfId="18" applyNumberFormat="1" applyFont="1" applyFill="1" applyBorder="1"/>
    <xf numFmtId="178" fontId="1" fillId="0" borderId="0" xfId="17" applyNumberFormat="1" applyBorder="1"/>
    <xf numFmtId="168" fontId="1" fillId="0" borderId="0" xfId="17" applyNumberFormat="1" applyBorder="1"/>
    <xf numFmtId="2" fontId="1" fillId="0" borderId="0" xfId="17" applyNumberFormat="1" applyBorder="1"/>
    <xf numFmtId="0" fontId="1" fillId="0" borderId="0" xfId="17"/>
    <xf numFmtId="43" fontId="0" fillId="0" borderId="0" xfId="18" applyFont="1"/>
    <xf numFmtId="49" fontId="119" fillId="12" borderId="0" xfId="17" applyNumberFormat="1" applyFont="1" applyFill="1" applyBorder="1" applyAlignment="1">
      <alignment horizontal="center"/>
    </xf>
    <xf numFmtId="0" fontId="119" fillId="12" borderId="0" xfId="17" applyFont="1" applyFill="1" applyBorder="1"/>
    <xf numFmtId="43" fontId="0" fillId="0" borderId="7" xfId="18" applyNumberFormat="1" applyFont="1" applyBorder="1" applyAlignment="1">
      <alignment horizontal="center"/>
    </xf>
    <xf numFmtId="43" fontId="0" fillId="0" borderId="7" xfId="18" applyNumberFormat="1" applyFont="1" applyBorder="1"/>
    <xf numFmtId="43" fontId="0" fillId="0" borderId="7" xfId="18" applyNumberFormat="1" applyFont="1" applyBorder="1" applyAlignment="1">
      <alignment horizontal="left" indent="3"/>
    </xf>
    <xf numFmtId="43" fontId="0" fillId="0" borderId="0" xfId="1" applyNumberFormat="1" applyFont="1" applyBorder="1"/>
    <xf numFmtId="43" fontId="0" fillId="0" borderId="0" xfId="1" applyNumberFormat="1" applyFont="1" applyFill="1" applyBorder="1"/>
    <xf numFmtId="0" fontId="0" fillId="0" borderId="0" xfId="0" applyAlignment="1">
      <alignment wrapText="1"/>
    </xf>
    <xf numFmtId="0" fontId="18" fillId="0" borderId="0" xfId="0" applyFont="1" applyAlignment="1">
      <alignment horizontal="right" vertical="center"/>
    </xf>
    <xf numFmtId="0" fontId="107" fillId="0" borderId="0" xfId="3" applyFont="1"/>
    <xf numFmtId="0" fontId="106" fillId="0" borderId="0" xfId="3" applyFont="1" applyAlignment="1">
      <alignment horizontal="center"/>
    </xf>
    <xf numFmtId="0" fontId="106" fillId="0" borderId="0" xfId="3" applyFont="1"/>
    <xf numFmtId="0" fontId="99" fillId="6" borderId="0" xfId="3" applyFont="1" applyFill="1" applyAlignment="1">
      <alignment vertical="center" wrapText="1"/>
    </xf>
    <xf numFmtId="41" fontId="99" fillId="6" borderId="0" xfId="3" applyNumberFormat="1" applyFont="1" applyFill="1" applyAlignment="1">
      <alignment horizontal="right" vertical="center" wrapText="1"/>
    </xf>
    <xf numFmtId="0" fontId="122" fillId="3" borderId="0" xfId="3" applyFont="1" applyFill="1" applyAlignment="1">
      <alignment wrapText="1"/>
    </xf>
    <xf numFmtId="196" fontId="122" fillId="0" borderId="0" xfId="3" applyNumberFormat="1" applyFont="1" applyFill="1" applyAlignment="1">
      <alignment horizontal="right" wrapText="1"/>
    </xf>
    <xf numFmtId="38" fontId="99" fillId="6" borderId="0" xfId="3" applyNumberFormat="1" applyFont="1" applyFill="1" applyAlignment="1">
      <alignment horizontal="right" vertical="center" wrapText="1"/>
    </xf>
    <xf numFmtId="37" fontId="107" fillId="0" borderId="0" xfId="3" applyNumberFormat="1" applyFont="1"/>
    <xf numFmtId="167" fontId="107" fillId="0" borderId="0" xfId="5" applyFont="1"/>
    <xf numFmtId="0" fontId="122" fillId="0" borderId="0" xfId="3" applyFont="1" applyFill="1" applyAlignment="1">
      <alignment wrapText="1"/>
    </xf>
    <xf numFmtId="3" fontId="107" fillId="0" borderId="0" xfId="3" applyNumberFormat="1" applyFont="1"/>
    <xf numFmtId="196" fontId="122" fillId="0" borderId="0" xfId="5" applyNumberFormat="1" applyFont="1" applyFill="1" applyAlignment="1">
      <alignment horizontal="right" wrapText="1"/>
    </xf>
    <xf numFmtId="0" fontId="124" fillId="0" borderId="0" xfId="3" applyFont="1"/>
    <xf numFmtId="0" fontId="113" fillId="0" borderId="0" xfId="3" applyFont="1"/>
    <xf numFmtId="167" fontId="107" fillId="0" borderId="0" xfId="3" applyNumberFormat="1" applyFont="1"/>
    <xf numFmtId="0" fontId="107" fillId="0" borderId="0" xfId="3" applyFont="1" applyFill="1"/>
    <xf numFmtId="0" fontId="94" fillId="0" borderId="0" xfId="3" applyFont="1" applyFill="1" applyAlignment="1">
      <alignment horizontal="center" vertical="center"/>
    </xf>
    <xf numFmtId="0" fontId="106" fillId="0" borderId="0" xfId="3" applyFont="1" applyFill="1" applyAlignment="1">
      <alignment horizontal="center" vertical="center"/>
    </xf>
    <xf numFmtId="0" fontId="99" fillId="6" borderId="0" xfId="3" applyFont="1" applyFill="1" applyAlignment="1">
      <alignment horizontal="center" vertical="center" wrapText="1"/>
    </xf>
    <xf numFmtId="0" fontId="125" fillId="3" borderId="0" xfId="3" applyFont="1" applyFill="1"/>
    <xf numFmtId="168" fontId="125" fillId="3" borderId="0" xfId="1" applyNumberFormat="1" applyFont="1" applyFill="1" applyAlignment="1">
      <alignment horizontal="right"/>
    </xf>
    <xf numFmtId="0" fontId="125" fillId="0" borderId="0" xfId="3" applyFont="1" applyFill="1" applyAlignment="1">
      <alignment horizontal="center" vertical="center" wrapText="1"/>
    </xf>
    <xf numFmtId="0" fontId="126" fillId="0" borderId="0" xfId="3" applyFont="1" applyAlignment="1"/>
    <xf numFmtId="0" fontId="125" fillId="3" borderId="0" xfId="3" applyFont="1" applyFill="1" applyBorder="1"/>
    <xf numFmtId="168" fontId="125" fillId="0" borderId="0" xfId="1" applyNumberFormat="1" applyFont="1" applyFill="1" applyBorder="1" applyAlignment="1">
      <alignment horizontal="right"/>
    </xf>
    <xf numFmtId="168" fontId="125" fillId="3" borderId="0" xfId="1" applyNumberFormat="1" applyFont="1" applyFill="1" applyBorder="1" applyAlignment="1">
      <alignment horizontal="right"/>
    </xf>
    <xf numFmtId="168" fontId="125" fillId="0" borderId="0" xfId="1" applyNumberFormat="1" applyFont="1" applyFill="1" applyAlignment="1">
      <alignment horizontal="right"/>
    </xf>
    <xf numFmtId="0" fontId="125" fillId="3" borderId="3" xfId="3" applyFont="1" applyFill="1" applyBorder="1"/>
    <xf numFmtId="168" fontId="125" fillId="0" borderId="3" xfId="1" applyNumberFormat="1" applyFont="1" applyFill="1" applyBorder="1" applyAlignment="1">
      <alignment horizontal="right"/>
    </xf>
    <xf numFmtId="168" fontId="125" fillId="3" borderId="3" xfId="1" applyNumberFormat="1" applyFont="1" applyFill="1" applyBorder="1" applyAlignment="1">
      <alignment horizontal="right"/>
    </xf>
    <xf numFmtId="167" fontId="107" fillId="0" borderId="0" xfId="5" applyFont="1" applyFill="1"/>
    <xf numFmtId="167" fontId="104" fillId="0" borderId="0" xfId="3" applyNumberFormat="1" applyFont="1"/>
    <xf numFmtId="0" fontId="121" fillId="0" borderId="0" xfId="3" applyFont="1" applyFill="1" applyAlignment="1">
      <alignment horizontal="center" vertical="center"/>
    </xf>
    <xf numFmtId="0" fontId="99" fillId="6" borderId="0" xfId="3" applyFont="1" applyFill="1"/>
    <xf numFmtId="3" fontId="99" fillId="6" borderId="0" xfId="3" applyNumberFormat="1" applyFont="1" applyFill="1" applyAlignment="1">
      <alignment horizontal="right"/>
    </xf>
    <xf numFmtId="3" fontId="99" fillId="0" borderId="0" xfId="3" applyNumberFormat="1" applyFont="1"/>
    <xf numFmtId="0" fontId="127" fillId="6" borderId="0" xfId="3" applyFont="1" applyFill="1" applyAlignment="1">
      <alignment horizontal="left" indent="2"/>
    </xf>
    <xf numFmtId="3" fontId="127" fillId="6" borderId="0" xfId="3" applyNumberFormat="1" applyFont="1" applyFill="1" applyAlignment="1">
      <alignment horizontal="right"/>
    </xf>
    <xf numFmtId="168" fontId="99" fillId="6" borderId="16" xfId="5" applyNumberFormat="1" applyFont="1" applyFill="1" applyBorder="1" applyAlignment="1">
      <alignment horizontal="right"/>
    </xf>
    <xf numFmtId="196" fontId="107" fillId="0" borderId="0" xfId="5" applyNumberFormat="1" applyFont="1" applyFill="1" applyAlignment="1">
      <alignment horizontal="right"/>
    </xf>
    <xf numFmtId="168" fontId="107" fillId="0" borderId="0" xfId="3" applyNumberFormat="1" applyFont="1"/>
    <xf numFmtId="0" fontId="107" fillId="3" borderId="0" xfId="3" applyFont="1" applyFill="1"/>
    <xf numFmtId="38" fontId="107" fillId="0" borderId="0" xfId="3" applyNumberFormat="1" applyFont="1"/>
    <xf numFmtId="0" fontId="99" fillId="6" borderId="0" xfId="3" applyFont="1" applyFill="1" applyAlignment="1">
      <alignment horizontal="left" vertical="center"/>
    </xf>
    <xf numFmtId="168" fontId="99" fillId="6" borderId="0" xfId="5" applyNumberFormat="1" applyFont="1" applyFill="1" applyAlignment="1">
      <alignment horizontal="right" vertical="center"/>
    </xf>
    <xf numFmtId="168" fontId="107" fillId="0" borderId="0" xfId="1" applyNumberFormat="1" applyFont="1"/>
    <xf numFmtId="3" fontId="0" fillId="0" borderId="0" xfId="0" applyNumberFormat="1" applyFill="1" applyAlignment="1">
      <alignment wrapText="1"/>
    </xf>
    <xf numFmtId="168" fontId="0" fillId="0" borderId="0" xfId="1" applyNumberFormat="1" applyFont="1" applyFill="1" applyAlignment="1">
      <alignment wrapText="1"/>
    </xf>
    <xf numFmtId="0" fontId="28" fillId="0" borderId="0" xfId="0" applyFont="1" applyAlignment="1">
      <alignment vertical="center" wrapText="1"/>
    </xf>
    <xf numFmtId="0" fontId="128" fillId="0" borderId="0" xfId="0" applyFont="1" applyAlignment="1">
      <alignment vertical="center"/>
    </xf>
    <xf numFmtId="0" fontId="129" fillId="0" borderId="0" xfId="0" applyFont="1"/>
    <xf numFmtId="0" fontId="129" fillId="0" borderId="0" xfId="0" applyFont="1" applyAlignment="1">
      <alignment vertical="center" wrapText="1"/>
    </xf>
    <xf numFmtId="3" fontId="14" fillId="0" borderId="0" xfId="0" applyNumberFormat="1" applyFont="1" applyAlignment="1">
      <alignment horizontal="right" vertical="center" wrapText="1"/>
    </xf>
    <xf numFmtId="0" fontId="131" fillId="0" borderId="0" xfId="0" applyFont="1" applyAlignment="1">
      <alignment horizontal="right" vertical="center" wrapText="1"/>
    </xf>
    <xf numFmtId="0" fontId="14" fillId="0" borderId="0" xfId="0" applyFont="1" applyAlignment="1">
      <alignment vertical="center"/>
    </xf>
    <xf numFmtId="3" fontId="70" fillId="5" borderId="0" xfId="0" applyNumberFormat="1" applyFont="1" applyFill="1" applyAlignment="1">
      <alignment horizontal="right" vertical="center" wrapText="1"/>
    </xf>
    <xf numFmtId="0" fontId="70" fillId="5" borderId="0" xfId="0" applyFont="1" applyFill="1" applyAlignment="1">
      <alignment horizontal="right" vertical="center" wrapText="1"/>
    </xf>
    <xf numFmtId="0" fontId="18" fillId="0" borderId="0" xfId="0" applyFont="1" applyAlignment="1">
      <alignment horizontal="justify" vertical="center"/>
    </xf>
    <xf numFmtId="0" fontId="14" fillId="0" borderId="0" xfId="0" applyFont="1" applyAlignment="1">
      <alignment horizontal="right" vertical="center"/>
    </xf>
    <xf numFmtId="0" fontId="14" fillId="8" borderId="3" xfId="0" applyFont="1" applyFill="1" applyBorder="1" applyAlignment="1">
      <alignment vertical="center" wrapText="1"/>
    </xf>
    <xf numFmtId="3" fontId="14" fillId="8" borderId="3" xfId="0" applyNumberFormat="1" applyFont="1" applyFill="1" applyBorder="1" applyAlignment="1">
      <alignment horizontal="right" vertical="center" wrapText="1"/>
    </xf>
    <xf numFmtId="3" fontId="107" fillId="8" borderId="3" xfId="0" applyNumberFormat="1" applyFont="1" applyFill="1" applyBorder="1" applyAlignment="1">
      <alignment horizontal="right" vertical="center" wrapText="1"/>
    </xf>
    <xf numFmtId="10" fontId="14" fillId="8" borderId="3" xfId="0" applyNumberFormat="1" applyFont="1" applyFill="1" applyBorder="1" applyAlignment="1">
      <alignment horizontal="right" vertical="center" wrapText="1"/>
    </xf>
    <xf numFmtId="0" fontId="14" fillId="8" borderId="0" xfId="0" applyFont="1" applyFill="1" applyAlignment="1">
      <alignment vertical="center" wrapText="1"/>
    </xf>
    <xf numFmtId="3" fontId="14" fillId="8" borderId="0" xfId="0" applyNumberFormat="1" applyFont="1" applyFill="1" applyAlignment="1">
      <alignment horizontal="right" vertical="center" wrapText="1"/>
    </xf>
    <xf numFmtId="0" fontId="131" fillId="8" borderId="0" xfId="0" applyFont="1" applyFill="1" applyAlignment="1">
      <alignment horizontal="right" vertical="center" wrapText="1"/>
    </xf>
    <xf numFmtId="0" fontId="14" fillId="0" borderId="0" xfId="0" applyFont="1" applyAlignment="1">
      <alignment horizontal="right" vertical="center" wrapText="1"/>
    </xf>
    <xf numFmtId="0" fontId="70" fillId="12" borderId="0" xfId="0" applyFont="1" applyFill="1" applyAlignment="1">
      <alignment horizontal="center" vertical="center" wrapText="1"/>
    </xf>
    <xf numFmtId="3" fontId="70" fillId="12" borderId="0" xfId="0" applyNumberFormat="1" applyFont="1" applyFill="1" applyAlignment="1">
      <alignment horizontal="right" vertical="center" wrapText="1"/>
    </xf>
    <xf numFmtId="3" fontId="70" fillId="12" borderId="0" xfId="0" applyNumberFormat="1" applyFont="1" applyFill="1" applyAlignment="1">
      <alignment horizontal="right" vertical="center"/>
    </xf>
    <xf numFmtId="0" fontId="70" fillId="12" borderId="0" xfId="0" applyFont="1" applyFill="1" applyAlignment="1">
      <alignment horizontal="right" vertical="center" wrapText="1"/>
    </xf>
    <xf numFmtId="0" fontId="33" fillId="0" borderId="0" xfId="7" applyFont="1" applyFill="1" applyAlignment="1">
      <alignment vertical="center"/>
    </xf>
    <xf numFmtId="0" fontId="29" fillId="0" borderId="0" xfId="0" applyFont="1" applyAlignment="1">
      <alignment vertical="center"/>
    </xf>
    <xf numFmtId="0" fontId="30" fillId="0" borderId="0" xfId="0" applyFont="1" applyAlignment="1">
      <alignment vertical="center"/>
    </xf>
    <xf numFmtId="0" fontId="132" fillId="14" borderId="0" xfId="0" applyFont="1" applyFill="1" applyAlignment="1">
      <alignment horizontal="center" vertical="center"/>
    </xf>
    <xf numFmtId="3" fontId="132" fillId="14" borderId="0" xfId="0" applyNumberFormat="1" applyFont="1" applyFill="1" applyAlignment="1">
      <alignment horizontal="right" vertical="center"/>
    </xf>
    <xf numFmtId="0" fontId="128" fillId="0" borderId="0" xfId="0" applyFont="1" applyAlignment="1">
      <alignment vertical="center" wrapText="1"/>
    </xf>
    <xf numFmtId="0" fontId="132" fillId="14" borderId="0" xfId="0" applyFont="1" applyFill="1" applyAlignment="1">
      <alignment vertical="center"/>
    </xf>
    <xf numFmtId="0" fontId="132" fillId="14" borderId="0" xfId="0" applyFont="1" applyFill="1" applyAlignment="1">
      <alignment horizontal="center" vertical="center" wrapText="1"/>
    </xf>
    <xf numFmtId="0" fontId="132" fillId="14" borderId="0" xfId="0" applyFont="1" applyFill="1" applyAlignment="1">
      <alignment horizontal="right" vertical="center"/>
    </xf>
    <xf numFmtId="4" fontId="18" fillId="0" borderId="0" xfId="0" applyNumberFormat="1" applyFont="1" applyAlignment="1">
      <alignment horizontal="right" vertical="center"/>
    </xf>
    <xf numFmtId="0" fontId="18" fillId="0" borderId="0" xfId="0" applyFont="1" applyAlignment="1">
      <alignment horizontal="right" vertical="center" wrapText="1"/>
    </xf>
    <xf numFmtId="0" fontId="131" fillId="0" borderId="0" xfId="0" applyFont="1" applyAlignment="1">
      <alignment vertical="center"/>
    </xf>
    <xf numFmtId="4" fontId="131" fillId="0" borderId="0" xfId="0" applyNumberFormat="1" applyFont="1" applyAlignment="1">
      <alignment horizontal="right" vertical="center"/>
    </xf>
    <xf numFmtId="0" fontId="131" fillId="0" borderId="0" xfId="0" applyFont="1" applyAlignment="1">
      <alignment horizontal="right" vertical="center"/>
    </xf>
    <xf numFmtId="4" fontId="132" fillId="14" borderId="0" xfId="0" applyNumberFormat="1" applyFont="1" applyFill="1" applyAlignment="1">
      <alignment horizontal="center" vertical="center"/>
    </xf>
    <xf numFmtId="0" fontId="132" fillId="14" borderId="0" xfId="0" applyFont="1" applyFill="1" applyAlignment="1">
      <alignment vertical="center" wrapText="1"/>
    </xf>
    <xf numFmtId="0" fontId="18" fillId="8" borderId="0" xfId="0" applyFont="1" applyFill="1" applyAlignment="1">
      <alignment vertical="center"/>
    </xf>
    <xf numFmtId="0" fontId="108" fillId="0" borderId="0" xfId="3" applyFont="1" applyAlignment="1">
      <alignment horizontal="center"/>
    </xf>
    <xf numFmtId="0" fontId="99" fillId="6" borderId="0" xfId="3" applyFont="1" applyFill="1" applyBorder="1" applyAlignment="1">
      <alignment horizontal="center" vertical="center" wrapText="1"/>
    </xf>
    <xf numFmtId="0" fontId="107" fillId="3" borderId="0" xfId="3" applyFont="1" applyFill="1" applyAlignment="1">
      <alignment horizontal="left"/>
    </xf>
    <xf numFmtId="3" fontId="107" fillId="0" borderId="0" xfId="3" applyNumberFormat="1" applyFont="1" applyFill="1"/>
    <xf numFmtId="186" fontId="107" fillId="3" borderId="0" xfId="3" applyNumberFormat="1" applyFont="1" applyFill="1" applyAlignment="1">
      <alignment horizontal="right"/>
    </xf>
    <xf numFmtId="186" fontId="107" fillId="0" borderId="0" xfId="3" applyNumberFormat="1" applyFont="1" applyFill="1" applyAlignment="1">
      <alignment horizontal="right"/>
    </xf>
    <xf numFmtId="0" fontId="107" fillId="3" borderId="0" xfId="3" applyFont="1" applyFill="1" applyBorder="1" applyAlignment="1">
      <alignment horizontal="left"/>
    </xf>
    <xf numFmtId="0" fontId="99" fillId="6" borderId="0" xfId="3" applyFont="1" applyFill="1" applyBorder="1" applyAlignment="1">
      <alignment horizontal="center" vertical="center"/>
    </xf>
    <xf numFmtId="3" fontId="99" fillId="6" borderId="0" xfId="3" applyNumberFormat="1" applyFont="1" applyFill="1" applyBorder="1" applyAlignment="1">
      <alignment horizontal="right" vertical="center"/>
    </xf>
    <xf numFmtId="186" fontId="99" fillId="6" borderId="0" xfId="3" applyNumberFormat="1" applyFont="1" applyFill="1" applyBorder="1" applyAlignment="1">
      <alignment horizontal="right" vertical="center"/>
    </xf>
    <xf numFmtId="180" fontId="107" fillId="0" borderId="0" xfId="1" applyNumberFormat="1" applyFont="1"/>
    <xf numFmtId="180" fontId="107" fillId="0" borderId="0" xfId="1" applyNumberFormat="1" applyFont="1" applyFill="1"/>
    <xf numFmtId="0" fontId="108" fillId="0" borderId="0" xfId="3" applyFont="1" applyAlignment="1">
      <alignment vertical="center"/>
    </xf>
    <xf numFmtId="0" fontId="140" fillId="0" borderId="0" xfId="3" applyFont="1" applyAlignment="1">
      <alignment horizontal="center" vertical="center"/>
    </xf>
    <xf numFmtId="0" fontId="99" fillId="6" borderId="0" xfId="3" applyFont="1" applyFill="1" applyAlignment="1">
      <alignment horizontal="left" vertical="center" wrapText="1"/>
    </xf>
    <xf numFmtId="166" fontId="107" fillId="0" borderId="0" xfId="3" applyNumberFormat="1" applyFont="1" applyFill="1" applyAlignment="1">
      <alignment horizontal="right"/>
    </xf>
    <xf numFmtId="164" fontId="107" fillId="0" borderId="0" xfId="3" applyNumberFormat="1" applyFont="1" applyFill="1" applyAlignment="1">
      <alignment horizontal="right"/>
    </xf>
    <xf numFmtId="164" fontId="107" fillId="0" borderId="0" xfId="3" applyNumberFormat="1" applyFont="1" applyFill="1"/>
    <xf numFmtId="0" fontId="141" fillId="0" borderId="0" xfId="3" applyFont="1"/>
    <xf numFmtId="185" fontId="107" fillId="0" borderId="0" xfId="3" applyNumberFormat="1" applyFont="1" applyFill="1" applyAlignment="1">
      <alignment horizontal="right"/>
    </xf>
    <xf numFmtId="193" fontId="107" fillId="0" borderId="0" xfId="3" applyNumberFormat="1" applyFont="1" applyFill="1" applyAlignment="1">
      <alignment horizontal="right"/>
    </xf>
    <xf numFmtId="164" fontId="107" fillId="0" borderId="0" xfId="3" applyNumberFormat="1" applyFont="1" applyFill="1" applyBorder="1" applyAlignment="1">
      <alignment horizontal="right"/>
    </xf>
    <xf numFmtId="0" fontId="99" fillId="6" borderId="0" xfId="3" applyFont="1" applyFill="1" applyBorder="1" applyAlignment="1">
      <alignment horizontal="left" vertical="center"/>
    </xf>
    <xf numFmtId="164" fontId="107" fillId="0" borderId="0" xfId="3" applyNumberFormat="1" applyFont="1"/>
    <xf numFmtId="0" fontId="94" fillId="0" borderId="0" xfId="3" applyFont="1" applyAlignment="1">
      <alignment horizontal="center" vertical="center" wrapText="1"/>
    </xf>
    <xf numFmtId="0" fontId="106" fillId="0" borderId="0" xfId="3" applyFont="1" applyAlignment="1">
      <alignment horizontal="center" vertical="center" wrapText="1"/>
    </xf>
    <xf numFmtId="3" fontId="107" fillId="0" borderId="0" xfId="3" applyNumberFormat="1" applyFont="1" applyFill="1" applyAlignment="1">
      <alignment horizontal="right"/>
    </xf>
    <xf numFmtId="178" fontId="107" fillId="0" borderId="0" xfId="3" applyNumberFormat="1" applyFont="1" applyFill="1" applyBorder="1" applyAlignment="1">
      <alignment horizontal="right"/>
    </xf>
    <xf numFmtId="3" fontId="107" fillId="0" borderId="0" xfId="3" applyNumberFormat="1" applyFont="1" applyFill="1" applyBorder="1" applyAlignment="1">
      <alignment horizontal="right"/>
    </xf>
    <xf numFmtId="178" fontId="107" fillId="3" borderId="0" xfId="3" applyNumberFormat="1" applyFont="1" applyFill="1" applyBorder="1" applyAlignment="1">
      <alignment horizontal="right" wrapText="1"/>
    </xf>
    <xf numFmtId="0" fontId="125" fillId="3" borderId="0" xfId="3" applyFont="1" applyFill="1" applyBorder="1" applyAlignment="1">
      <alignment wrapText="1"/>
    </xf>
    <xf numFmtId="178" fontId="99" fillId="6" borderId="0" xfId="3" applyNumberFormat="1" applyFont="1" applyFill="1" applyBorder="1" applyAlignment="1">
      <alignment horizontal="right" vertical="center"/>
    </xf>
    <xf numFmtId="167" fontId="107" fillId="0" borderId="0" xfId="1" applyFont="1"/>
    <xf numFmtId="3" fontId="122" fillId="0" borderId="0" xfId="3" applyNumberFormat="1" applyFont="1" applyFill="1" applyAlignment="1">
      <alignment horizontal="right"/>
    </xf>
    <xf numFmtId="0" fontId="143" fillId="0" borderId="0" xfId="3" applyFont="1" applyFill="1" applyBorder="1" applyAlignment="1">
      <alignment horizontal="center" vertical="center" wrapText="1"/>
    </xf>
    <xf numFmtId="0" fontId="107" fillId="0" borderId="0" xfId="3" applyFont="1" applyBorder="1" applyAlignment="1">
      <alignment vertical="center" wrapText="1"/>
    </xf>
    <xf numFmtId="164" fontId="107" fillId="0" borderId="0" xfId="3" applyNumberFormat="1" applyFont="1" applyFill="1" applyBorder="1" applyAlignment="1">
      <alignment horizontal="right" vertical="center"/>
    </xf>
    <xf numFmtId="167" fontId="107" fillId="0" borderId="0" xfId="1" applyNumberFormat="1" applyFont="1"/>
    <xf numFmtId="0" fontId="107" fillId="0" borderId="0" xfId="3" applyFont="1" applyFill="1" applyBorder="1" applyAlignment="1">
      <alignment vertical="center" wrapText="1"/>
    </xf>
    <xf numFmtId="164" fontId="99" fillId="6" borderId="0" xfId="3" applyNumberFormat="1" applyFont="1" applyFill="1" applyBorder="1" applyAlignment="1">
      <alignment horizontal="right" vertical="center"/>
    </xf>
    <xf numFmtId="0" fontId="145" fillId="0" borderId="0" xfId="0" applyFont="1" applyAlignment="1">
      <alignment horizontal="right" vertical="center"/>
    </xf>
    <xf numFmtId="0" fontId="132" fillId="15" borderId="0" xfId="0" applyFont="1" applyFill="1" applyAlignment="1">
      <alignment horizontal="center" vertical="center"/>
    </xf>
    <xf numFmtId="0" fontId="131" fillId="8" borderId="3" xfId="0" applyFont="1" applyFill="1" applyBorder="1" applyAlignment="1">
      <alignment horizontal="center" vertical="center"/>
    </xf>
    <xf numFmtId="3" fontId="131" fillId="8" borderId="3" xfId="0" applyNumberFormat="1" applyFont="1" applyFill="1" applyBorder="1" applyAlignment="1">
      <alignment horizontal="center" vertical="center"/>
    </xf>
    <xf numFmtId="0" fontId="72" fillId="0" borderId="0" xfId="0" applyFont="1" applyAlignment="1">
      <alignment vertical="center"/>
    </xf>
    <xf numFmtId="3" fontId="131" fillId="0" borderId="0" xfId="0" applyNumberFormat="1" applyFont="1" applyAlignment="1">
      <alignment horizontal="right" vertical="center"/>
    </xf>
    <xf numFmtId="0" fontId="132" fillId="13" borderId="0" xfId="0" applyFont="1" applyFill="1" applyAlignment="1">
      <alignment vertical="center"/>
    </xf>
    <xf numFmtId="3" fontId="132" fillId="13" borderId="0" xfId="0" applyNumberFormat="1" applyFont="1" applyFill="1" applyAlignment="1">
      <alignment horizontal="right" vertical="center"/>
    </xf>
    <xf numFmtId="0" fontId="129" fillId="0" borderId="0" xfId="0" applyFont="1" applyAlignment="1"/>
    <xf numFmtId="0" fontId="131" fillId="0" borderId="38" xfId="0" applyFont="1" applyBorder="1" applyAlignment="1">
      <alignment horizontal="justify" vertical="center" wrapText="1"/>
    </xf>
    <xf numFmtId="0" fontId="131" fillId="0" borderId="39" xfId="0" applyFont="1" applyBorder="1" applyAlignment="1">
      <alignment horizontal="right" vertical="center" wrapText="1"/>
    </xf>
    <xf numFmtId="0" fontId="131" fillId="0" borderId="39" xfId="0" applyFont="1" applyBorder="1" applyAlignment="1">
      <alignment horizontal="center" vertical="center" wrapText="1"/>
    </xf>
    <xf numFmtId="0" fontId="70" fillId="12" borderId="36" xfId="0" applyFont="1" applyFill="1" applyBorder="1" applyAlignment="1">
      <alignment horizontal="justify" vertical="center" wrapText="1"/>
    </xf>
    <xf numFmtId="0" fontId="132" fillId="13" borderId="0" xfId="0" applyFont="1" applyFill="1" applyAlignment="1">
      <alignment horizontal="center" vertical="center"/>
    </xf>
    <xf numFmtId="0" fontId="145" fillId="0" borderId="0" xfId="0" applyFont="1" applyAlignment="1">
      <alignment vertical="center"/>
    </xf>
    <xf numFmtId="0" fontId="148" fillId="0" borderId="0" xfId="0" applyFont="1" applyAlignment="1">
      <alignment vertical="center"/>
    </xf>
    <xf numFmtId="0" fontId="132" fillId="13" borderId="0" xfId="0" applyFont="1" applyFill="1" applyAlignment="1">
      <alignment horizontal="right" vertical="center"/>
    </xf>
    <xf numFmtId="0" fontId="14" fillId="0" borderId="0" xfId="0" applyFont="1" applyAlignment="1">
      <alignment horizontal="justify" vertical="center"/>
    </xf>
    <xf numFmtId="0" fontId="150" fillId="0" borderId="0" xfId="0" applyFont="1" applyAlignment="1">
      <alignment vertical="center"/>
    </xf>
    <xf numFmtId="0" fontId="150" fillId="0" borderId="0" xfId="0" applyFont="1" applyAlignment="1">
      <alignment horizontal="right" vertical="center"/>
    </xf>
    <xf numFmtId="0" fontId="146" fillId="0" borderId="0" xfId="0" applyFont="1" applyAlignment="1">
      <alignment vertical="center"/>
    </xf>
    <xf numFmtId="0" fontId="146" fillId="0" borderId="0" xfId="0" applyFont="1" applyAlignment="1">
      <alignment horizontal="right" vertical="center"/>
    </xf>
    <xf numFmtId="0" fontId="152" fillId="0" borderId="0" xfId="0" applyFont="1" applyAlignment="1">
      <alignment vertical="center"/>
    </xf>
    <xf numFmtId="0" fontId="153" fillId="13" borderId="0" xfId="0" applyFont="1" applyFill="1" applyAlignment="1">
      <alignment horizontal="center" vertical="center"/>
    </xf>
    <xf numFmtId="0" fontId="155" fillId="0" borderId="0" xfId="0" applyFont="1" applyAlignment="1">
      <alignment horizontal="center" vertical="center"/>
    </xf>
    <xf numFmtId="0" fontId="155" fillId="0" borderId="0" xfId="0" applyFont="1" applyAlignment="1">
      <alignment horizontal="right" vertical="center"/>
    </xf>
    <xf numFmtId="0" fontId="156" fillId="0" borderId="0" xfId="0" applyFont="1" applyAlignment="1">
      <alignment horizontal="right" vertical="center"/>
    </xf>
    <xf numFmtId="4" fontId="155" fillId="0" borderId="0" xfId="0" applyNumberFormat="1" applyFont="1" applyAlignment="1">
      <alignment horizontal="right" vertical="center"/>
    </xf>
    <xf numFmtId="4" fontId="156" fillId="0" borderId="0" xfId="0" applyNumberFormat="1" applyFont="1" applyAlignment="1">
      <alignment horizontal="right" vertical="center"/>
    </xf>
    <xf numFmtId="0" fontId="156" fillId="0" borderId="0" xfId="0" applyFont="1" applyAlignment="1">
      <alignment horizontal="center" vertical="center"/>
    </xf>
    <xf numFmtId="0" fontId="153" fillId="13" borderId="0" xfId="0" applyFont="1" applyFill="1" applyAlignment="1">
      <alignment horizontal="right" vertical="center"/>
    </xf>
    <xf numFmtId="0" fontId="129" fillId="13" borderId="0" xfId="0" applyFont="1" applyFill="1"/>
    <xf numFmtId="0" fontId="153" fillId="12" borderId="0" xfId="0" applyFont="1" applyFill="1" applyAlignment="1">
      <alignment horizontal="center" vertical="center"/>
    </xf>
    <xf numFmtId="0" fontId="30" fillId="0" borderId="0" xfId="0" applyFont="1" applyAlignment="1">
      <alignment horizontal="center" vertical="center"/>
    </xf>
    <xf numFmtId="4" fontId="30" fillId="0" borderId="0" xfId="0" applyNumberFormat="1" applyFont="1" applyAlignment="1">
      <alignment vertical="center"/>
    </xf>
    <xf numFmtId="0" fontId="30" fillId="0" borderId="3" xfId="0" applyFont="1" applyBorder="1" applyAlignment="1">
      <alignment horizontal="center" vertical="center"/>
    </xf>
    <xf numFmtId="0" fontId="30" fillId="0" borderId="3" xfId="0" applyFont="1" applyBorder="1" applyAlignment="1">
      <alignment vertical="center"/>
    </xf>
    <xf numFmtId="0" fontId="153" fillId="11" borderId="0" xfId="0" applyFont="1" applyFill="1" applyAlignment="1">
      <alignment horizontal="center" vertical="center"/>
    </xf>
    <xf numFmtId="0" fontId="153" fillId="11" borderId="0" xfId="0" applyFont="1" applyFill="1" applyAlignment="1">
      <alignment horizontal="center" vertical="center" wrapText="1"/>
    </xf>
    <xf numFmtId="0" fontId="153" fillId="11" borderId="0" xfId="0" applyFont="1" applyFill="1" applyAlignment="1">
      <alignment horizontal="right" vertical="center"/>
    </xf>
    <xf numFmtId="3" fontId="155" fillId="0" borderId="0" xfId="0" applyNumberFormat="1" applyFont="1" applyAlignment="1">
      <alignment horizontal="right" vertical="center"/>
    </xf>
    <xf numFmtId="3" fontId="157" fillId="11" borderId="0" xfId="0" applyNumberFormat="1" applyFont="1" applyFill="1" applyAlignment="1">
      <alignment horizontal="right" vertical="center"/>
    </xf>
    <xf numFmtId="0" fontId="11" fillId="0" borderId="0" xfId="0" applyFont="1" applyFill="1" applyAlignment="1">
      <alignment horizontal="center" vertical="center"/>
    </xf>
    <xf numFmtId="0" fontId="15" fillId="0" borderId="0" xfId="0" applyFont="1" applyAlignment="1">
      <alignment wrapText="1"/>
    </xf>
    <xf numFmtId="0" fontId="0" fillId="0" borderId="0" xfId="0" applyAlignment="1">
      <alignment wrapText="1"/>
    </xf>
    <xf numFmtId="0" fontId="13" fillId="0" borderId="0" xfId="0" applyFont="1" applyFill="1" applyAlignment="1">
      <alignment horizontal="justify" vertical="center" wrapText="1"/>
    </xf>
    <xf numFmtId="0" fontId="15" fillId="0" borderId="0" xfId="0" applyFont="1" applyFill="1" applyAlignment="1">
      <alignment horizontal="justify" vertical="center" wrapText="1"/>
    </xf>
    <xf numFmtId="0" fontId="0" fillId="0" borderId="0" xfId="0" applyFill="1" applyAlignment="1">
      <alignment horizontal="justify" vertical="center" wrapText="1"/>
    </xf>
    <xf numFmtId="0" fontId="15" fillId="0" borderId="0" xfId="0" applyFont="1" applyFill="1" applyAlignment="1"/>
    <xf numFmtId="0" fontId="0" fillId="0" borderId="0" xfId="0" applyFill="1" applyAlignment="1"/>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8" fillId="0" borderId="0" xfId="0" applyFont="1" applyFill="1" applyAlignment="1">
      <alignment horizontal="center" vertical="center" wrapText="1"/>
    </xf>
    <xf numFmtId="0" fontId="7" fillId="0" borderId="0" xfId="0" applyFont="1" applyFill="1" applyAlignment="1">
      <alignment horizontal="right" vertical="center"/>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12" fillId="2" borderId="0" xfId="0" applyFont="1" applyFill="1" applyAlignment="1">
      <alignment horizontal="center" vertical="center" wrapText="1"/>
    </xf>
    <xf numFmtId="0" fontId="120" fillId="0" borderId="0" xfId="3" applyFont="1" applyAlignment="1">
      <alignment horizontal="center" vertical="center"/>
    </xf>
    <xf numFmtId="0" fontId="106" fillId="0" borderId="0" xfId="3" applyFont="1" applyAlignment="1">
      <alignment horizontal="center" vertical="center"/>
    </xf>
    <xf numFmtId="0" fontId="94" fillId="0" borderId="0" xfId="3" applyFont="1" applyFill="1" applyAlignment="1">
      <alignment horizontal="center" vertical="center"/>
    </xf>
    <xf numFmtId="0" fontId="106" fillId="0" borderId="0" xfId="3" applyFont="1" applyFill="1" applyAlignment="1">
      <alignment horizontal="center" vertical="center"/>
    </xf>
    <xf numFmtId="0" fontId="108" fillId="0" borderId="0" xfId="3" applyFont="1" applyAlignment="1">
      <alignment horizontal="right" vertical="center"/>
    </xf>
    <xf numFmtId="0" fontId="113" fillId="3" borderId="0" xfId="3" applyFont="1" applyFill="1" applyAlignment="1">
      <alignment horizontal="left"/>
    </xf>
    <xf numFmtId="0" fontId="94" fillId="0" borderId="0" xfId="3" applyFont="1" applyFill="1" applyAlignment="1">
      <alignment horizontal="center" vertical="center" wrapText="1"/>
    </xf>
    <xf numFmtId="0" fontId="106" fillId="0" borderId="0" xfId="3" applyFont="1" applyFill="1" applyAlignment="1">
      <alignment horizontal="center" vertical="center" wrapText="1"/>
    </xf>
    <xf numFmtId="0" fontId="108" fillId="0" borderId="0" xfId="3" applyFont="1" applyFill="1" applyAlignment="1">
      <alignment horizontal="right" vertical="center"/>
    </xf>
    <xf numFmtId="0" fontId="103" fillId="0" borderId="0" xfId="3" applyFont="1" applyAlignment="1">
      <alignment horizontal="left"/>
    </xf>
    <xf numFmtId="0" fontId="107" fillId="3" borderId="0" xfId="3" applyFont="1" applyFill="1" applyAlignment="1">
      <alignment horizontal="left"/>
    </xf>
    <xf numFmtId="0" fontId="106" fillId="0" borderId="0" xfId="3" applyFont="1" applyFill="1" applyAlignment="1">
      <alignment horizontal="center"/>
    </xf>
    <xf numFmtId="0" fontId="31" fillId="0" borderId="0" xfId="0" applyFont="1" applyFill="1" applyBorder="1" applyAlignment="1">
      <alignment horizontal="left" vertical="center" wrapText="1"/>
    </xf>
    <xf numFmtId="0" fontId="28" fillId="0" borderId="4" xfId="0" applyFont="1" applyBorder="1" applyAlignment="1">
      <alignment horizontal="left"/>
    </xf>
    <xf numFmtId="0" fontId="35" fillId="0" borderId="0" xfId="0" applyFont="1" applyFill="1" applyAlignment="1">
      <alignment wrapText="1"/>
    </xf>
    <xf numFmtId="0" fontId="28" fillId="0" borderId="0" xfId="0" applyFont="1" applyFill="1" applyAlignment="1">
      <alignment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right"/>
    </xf>
    <xf numFmtId="0" fontId="29" fillId="0" borderId="0" xfId="0" applyFont="1" applyFill="1" applyAlignment="1">
      <alignment horizontal="justify" vertical="center"/>
    </xf>
    <xf numFmtId="0" fontId="30" fillId="0" borderId="0" xfId="0" applyFont="1" applyFill="1" applyAlignment="1">
      <alignment horizontal="justify" vertical="center"/>
    </xf>
    <xf numFmtId="0" fontId="8" fillId="0" borderId="0" xfId="0" applyFont="1" applyFill="1" applyAlignment="1">
      <alignment horizontal="center"/>
    </xf>
    <xf numFmtId="0" fontId="7" fillId="0" borderId="0" xfId="0" applyFont="1" applyFill="1" applyAlignment="1">
      <alignment horizontal="right"/>
    </xf>
    <xf numFmtId="0" fontId="28" fillId="0" borderId="0" xfId="0" applyFont="1" applyAlignment="1">
      <alignment horizontal="left"/>
    </xf>
    <xf numFmtId="0" fontId="29" fillId="3" borderId="0" xfId="0" applyFont="1" applyFill="1" applyAlignment="1">
      <alignment horizontal="justify" vertical="center" wrapText="1"/>
    </xf>
    <xf numFmtId="0" fontId="30" fillId="3" borderId="0" xfId="0" applyFont="1" applyFill="1" applyAlignment="1">
      <alignment horizontal="justify" vertical="center" wrapText="1"/>
    </xf>
    <xf numFmtId="0" fontId="6" fillId="3" borderId="0" xfId="0" applyFont="1" applyFill="1" applyAlignment="1">
      <alignment horizontal="center" vertical="center"/>
    </xf>
    <xf numFmtId="0" fontId="8" fillId="3" borderId="0" xfId="0" applyFont="1" applyFill="1" applyAlignment="1">
      <alignment horizontal="center" vertical="center"/>
    </xf>
    <xf numFmtId="0" fontId="8" fillId="3" borderId="0" xfId="0" applyFont="1" applyFill="1" applyAlignment="1">
      <alignment horizontal="center" vertical="center" wrapText="1"/>
    </xf>
    <xf numFmtId="0" fontId="7" fillId="3" borderId="0" xfId="0" applyFont="1" applyFill="1" applyAlignment="1">
      <alignment horizontal="right" vertical="center"/>
    </xf>
    <xf numFmtId="0" fontId="28" fillId="0" borderId="0" xfId="0" applyFont="1" applyBorder="1" applyAlignment="1">
      <alignment horizontal="left" wrapText="1"/>
    </xf>
    <xf numFmtId="0" fontId="35" fillId="0" borderId="0" xfId="0" applyFont="1" applyAlignment="1">
      <alignment horizontal="left" vertical="center" wrapText="1"/>
    </xf>
    <xf numFmtId="0" fontId="6" fillId="0" borderId="0" xfId="0" applyFont="1" applyAlignment="1">
      <alignment horizontal="center"/>
    </xf>
    <xf numFmtId="0" fontId="8" fillId="0" borderId="0" xfId="0" applyFont="1" applyAlignment="1">
      <alignment horizontal="center"/>
    </xf>
    <xf numFmtId="0" fontId="7" fillId="0" borderId="0" xfId="0" applyFont="1" applyBorder="1" applyAlignment="1">
      <alignment horizontal="right"/>
    </xf>
    <xf numFmtId="0" fontId="33" fillId="0" borderId="0" xfId="0" applyFont="1" applyBorder="1" applyAlignment="1">
      <alignment horizontal="left"/>
    </xf>
    <xf numFmtId="0" fontId="7" fillId="0" borderId="0" xfId="0" applyFont="1" applyFill="1" applyAlignment="1">
      <alignment horizontal="right" vertical="center" wrapText="1"/>
    </xf>
    <xf numFmtId="0" fontId="33" fillId="0" borderId="0" xfId="0" applyFont="1" applyAlignment="1">
      <alignment horizontal="left"/>
    </xf>
    <xf numFmtId="0" fontId="35" fillId="3" borderId="0" xfId="0" applyFont="1" applyFill="1" applyAlignment="1">
      <alignment horizontal="justify" vertical="center" wrapText="1"/>
    </xf>
    <xf numFmtId="0" fontId="28" fillId="3" borderId="0" xfId="0" applyFont="1" applyFill="1" applyAlignment="1">
      <alignment horizontal="justify" vertical="center" wrapText="1"/>
    </xf>
    <xf numFmtId="0" fontId="15" fillId="0" borderId="0" xfId="0" applyFont="1" applyAlignment="1"/>
    <xf numFmtId="0" fontId="0" fillId="0" borderId="0" xfId="0" applyAlignment="1"/>
    <xf numFmtId="0" fontId="9" fillId="0" borderId="0" xfId="0" applyFont="1" applyAlignment="1">
      <alignment horizontal="center" vertical="center" wrapText="1"/>
    </xf>
    <xf numFmtId="0" fontId="9" fillId="0" borderId="0" xfId="0" applyFont="1" applyFill="1" applyAlignment="1">
      <alignment horizontal="center" vertical="center" wrapText="1"/>
    </xf>
    <xf numFmtId="0" fontId="33" fillId="0" borderId="0" xfId="0" applyFont="1" applyAlignment="1"/>
    <xf numFmtId="0" fontId="28" fillId="0" borderId="0" xfId="0" applyFont="1" applyAlignment="1"/>
    <xf numFmtId="0" fontId="36" fillId="0" borderId="0" xfId="0" applyFont="1" applyAlignment="1">
      <alignment horizontal="justify" wrapText="1"/>
    </xf>
    <xf numFmtId="0" fontId="37" fillId="0" borderId="0" xfId="0" applyFont="1" applyAlignment="1">
      <alignment horizontal="justify" wrapText="1"/>
    </xf>
    <xf numFmtId="0" fontId="30" fillId="0" borderId="0" xfId="0" applyFont="1" applyAlignment="1">
      <alignment horizontal="justify" wrapText="1"/>
    </xf>
    <xf numFmtId="0" fontId="7" fillId="0" borderId="0" xfId="0" applyFont="1" applyAlignment="1">
      <alignment horizontal="right" vertical="center" wrapText="1"/>
    </xf>
    <xf numFmtId="0" fontId="36" fillId="0" borderId="0" xfId="0" applyFont="1" applyAlignment="1">
      <alignment horizontal="left" wrapText="1"/>
    </xf>
    <xf numFmtId="0" fontId="37" fillId="0" borderId="0" xfId="0" applyFont="1" applyAlignment="1">
      <alignment horizontal="left" wrapText="1"/>
    </xf>
    <xf numFmtId="0" fontId="134" fillId="0" borderId="0" xfId="0" applyFont="1" applyFill="1" applyAlignment="1">
      <alignment horizontal="right" vertical="center" wrapText="1"/>
    </xf>
    <xf numFmtId="0" fontId="70" fillId="5" borderId="0" xfId="0" applyFont="1" applyFill="1" applyAlignment="1">
      <alignment horizontal="center" vertical="center" wrapText="1"/>
    </xf>
    <xf numFmtId="0" fontId="28" fillId="0" borderId="0" xfId="0" applyFont="1" applyAlignment="1">
      <alignment horizontal="justify" vertical="center" wrapText="1"/>
    </xf>
    <xf numFmtId="0" fontId="70" fillId="5" borderId="0" xfId="0" applyFont="1" applyFill="1" applyAlignment="1">
      <alignment horizontal="center" vertical="center"/>
    </xf>
    <xf numFmtId="0" fontId="28" fillId="0" borderId="0" xfId="0" applyFont="1" applyAlignment="1">
      <alignment vertical="center" wrapText="1"/>
    </xf>
    <xf numFmtId="0" fontId="7" fillId="0" borderId="0" xfId="0" applyFont="1" applyAlignment="1">
      <alignment horizontal="right" vertical="center"/>
    </xf>
    <xf numFmtId="0" fontId="28" fillId="0" borderId="4" xfId="0" applyFont="1" applyBorder="1" applyAlignment="1">
      <alignment horizontal="justify" vertical="center"/>
    </xf>
    <xf numFmtId="0" fontId="135" fillId="0" borderId="0" xfId="0" applyFont="1" applyAlignment="1">
      <alignment horizontal="center" vertical="center"/>
    </xf>
    <xf numFmtId="0" fontId="136" fillId="0" borderId="0" xfId="0" applyFont="1" applyAlignment="1">
      <alignment horizontal="center" vertical="center"/>
    </xf>
    <xf numFmtId="0" fontId="138" fillId="0" borderId="0" xfId="0" applyFont="1" applyAlignment="1">
      <alignment horizontal="right" vertical="center"/>
    </xf>
    <xf numFmtId="0" fontId="129" fillId="0" borderId="0" xfId="0" applyFont="1" applyAlignment="1">
      <alignment vertical="center" wrapText="1"/>
    </xf>
    <xf numFmtId="0" fontId="28" fillId="0" borderId="0" xfId="0" applyFont="1" applyAlignment="1">
      <alignment vertical="center"/>
    </xf>
    <xf numFmtId="0" fontId="138" fillId="0" borderId="0" xfId="0" applyFont="1" applyAlignment="1">
      <alignment horizontal="center" vertical="center"/>
    </xf>
    <xf numFmtId="0" fontId="70" fillId="12" borderId="0" xfId="0" applyFont="1" applyFill="1" applyAlignment="1">
      <alignment horizontal="center" vertical="center" wrapText="1"/>
    </xf>
    <xf numFmtId="0" fontId="15" fillId="0" borderId="0" xfId="3" applyFont="1" applyFill="1" applyAlignment="1">
      <alignment vertical="justify" wrapText="1"/>
    </xf>
    <xf numFmtId="0" fontId="14" fillId="0" borderId="0" xfId="3" applyAlignment="1">
      <alignment vertical="justify" wrapText="1"/>
    </xf>
    <xf numFmtId="0" fontId="6" fillId="0" borderId="0" xfId="3" applyFont="1" applyAlignment="1">
      <alignment horizontal="center" vertical="center"/>
    </xf>
    <xf numFmtId="0" fontId="9" fillId="0" borderId="0" xfId="3" applyFont="1" applyAlignment="1">
      <alignment horizontal="center" vertical="center"/>
    </xf>
    <xf numFmtId="0" fontId="8" fillId="0" borderId="0" xfId="3" applyFont="1" applyFill="1" applyAlignment="1">
      <alignment horizontal="center" vertical="center"/>
    </xf>
    <xf numFmtId="0" fontId="8" fillId="0" borderId="0" xfId="3" applyFont="1" applyFill="1" applyAlignment="1">
      <alignment horizontal="center" vertical="center" wrapText="1"/>
    </xf>
    <xf numFmtId="0" fontId="9" fillId="0" borderId="0" xfId="3" applyFont="1" applyFill="1" applyAlignment="1">
      <alignment horizontal="center" vertical="center" wrapText="1"/>
    </xf>
    <xf numFmtId="0" fontId="7" fillId="0" borderId="0" xfId="3" applyFont="1" applyFill="1" applyAlignment="1">
      <alignment horizontal="right" wrapText="1"/>
    </xf>
    <xf numFmtId="0" fontId="28" fillId="3" borderId="0" xfId="3" applyFont="1" applyFill="1" applyAlignment="1">
      <alignment horizontal="justify" wrapText="1"/>
    </xf>
    <xf numFmtId="0" fontId="28" fillId="0" borderId="0" xfId="3" applyFont="1" applyAlignment="1">
      <alignment horizontal="justify" wrapText="1"/>
    </xf>
    <xf numFmtId="0" fontId="36" fillId="0" borderId="0" xfId="3" applyFont="1" applyFill="1" applyAlignment="1">
      <alignment horizontal="justify" vertical="justify" wrapText="1"/>
    </xf>
    <xf numFmtId="0" fontId="30" fillId="0" borderId="0" xfId="3" applyFont="1" applyAlignment="1">
      <alignment horizontal="justify" vertical="justify" wrapText="1"/>
    </xf>
    <xf numFmtId="0" fontId="29" fillId="0" borderId="0" xfId="0" applyFont="1" applyFill="1" applyAlignment="1">
      <alignment horizontal="justify" vertical="center" wrapText="1"/>
    </xf>
    <xf numFmtId="0" fontId="30" fillId="0" borderId="0" xfId="0" applyFont="1" applyFill="1" applyAlignment="1">
      <alignment horizontal="justify" vertical="center" wrapText="1"/>
    </xf>
    <xf numFmtId="0" fontId="7" fillId="0" borderId="0" xfId="0" applyFont="1" applyAlignment="1">
      <alignment horizontal="center" vertical="center" wrapText="1"/>
    </xf>
    <xf numFmtId="0" fontId="6" fillId="0" borderId="0" xfId="0" applyFont="1" applyAlignment="1">
      <alignment horizontal="right" vertical="center"/>
    </xf>
    <xf numFmtId="0" fontId="28" fillId="0" borderId="0" xfId="0" applyFont="1" applyAlignment="1">
      <alignment horizontal="justify" wrapText="1"/>
    </xf>
    <xf numFmtId="0" fontId="23" fillId="0" borderId="0" xfId="0" applyFont="1" applyFill="1" applyAlignment="1">
      <alignment horizontal="center" vertical="center"/>
    </xf>
    <xf numFmtId="0" fontId="33" fillId="0" borderId="0" xfId="0" applyFont="1" applyAlignment="1">
      <alignment wrapText="1"/>
    </xf>
    <xf numFmtId="0" fontId="28" fillId="0" borderId="0" xfId="0" applyFont="1" applyAlignment="1">
      <alignment wrapText="1"/>
    </xf>
    <xf numFmtId="0" fontId="36" fillId="0" borderId="0" xfId="0" applyFont="1" applyFill="1" applyAlignment="1">
      <alignment horizontal="justify" wrapText="1"/>
    </xf>
    <xf numFmtId="0" fontId="37" fillId="0" borderId="0" xfId="0" applyFont="1" applyFill="1" applyAlignment="1">
      <alignment horizontal="justify" wrapText="1"/>
    </xf>
    <xf numFmtId="0" fontId="10" fillId="2" borderId="0" xfId="0" applyFont="1" applyFill="1" applyAlignment="1">
      <alignment horizontal="center"/>
    </xf>
    <xf numFmtId="0" fontId="48" fillId="2" borderId="0" xfId="3" applyFont="1" applyFill="1" applyAlignment="1">
      <alignment horizontal="center" vertical="center" wrapText="1"/>
    </xf>
    <xf numFmtId="0" fontId="28" fillId="8" borderId="4" xfId="9" applyFont="1" applyFill="1" applyBorder="1" applyAlignment="1">
      <alignment horizontal="justify" vertical="center" wrapText="1"/>
    </xf>
    <xf numFmtId="0" fontId="28" fillId="8" borderId="0" xfId="9" applyFont="1" applyFill="1" applyAlignment="1">
      <alignment horizontal="justify" vertical="center" wrapText="1"/>
    </xf>
    <xf numFmtId="0" fontId="74" fillId="5" borderId="0" xfId="9" applyFont="1" applyFill="1" applyAlignment="1">
      <alignment horizontal="center" vertical="center" wrapText="1"/>
    </xf>
    <xf numFmtId="0" fontId="9" fillId="0" borderId="0" xfId="0" applyFont="1" applyAlignment="1">
      <alignment horizontal="center" vertical="center"/>
    </xf>
    <xf numFmtId="0" fontId="28" fillId="0" borderId="0" xfId="0" applyFont="1" applyFill="1" applyAlignment="1">
      <alignment horizontal="left" vertical="center"/>
    </xf>
    <xf numFmtId="0" fontId="28" fillId="0" borderId="0" xfId="0" applyFont="1" applyAlignment="1">
      <alignment horizontal="left" vertical="center"/>
    </xf>
    <xf numFmtId="0" fontId="8" fillId="0" borderId="0" xfId="0" applyFont="1" applyAlignment="1">
      <alignment horizontal="center" vertical="center"/>
    </xf>
    <xf numFmtId="0" fontId="42" fillId="0" borderId="0" xfId="0" applyFont="1" applyAlignment="1">
      <alignment horizontal="right" vertical="center"/>
    </xf>
    <xf numFmtId="0" fontId="10" fillId="2" borderId="0" xfId="0" applyFont="1" applyFill="1" applyBorder="1" applyAlignment="1">
      <alignment horizontal="center" vertical="center" wrapText="1"/>
    </xf>
    <xf numFmtId="0" fontId="48" fillId="2" borderId="0" xfId="0" applyFont="1" applyFill="1" applyBorder="1" applyAlignment="1">
      <alignment horizontal="center" vertical="center" wrapText="1"/>
    </xf>
    <xf numFmtId="0" fontId="0" fillId="2" borderId="0" xfId="0" applyFill="1" applyBorder="1" applyAlignment="1">
      <alignment wrapText="1"/>
    </xf>
    <xf numFmtId="0" fontId="29" fillId="0" borderId="0" xfId="0" applyFont="1" applyAlignment="1">
      <alignment horizontal="left" vertical="center" wrapText="1"/>
    </xf>
    <xf numFmtId="0" fontId="30" fillId="0" borderId="0" xfId="0" applyFont="1" applyAlignment="1">
      <alignment horizontal="left" vertical="center" wrapText="1"/>
    </xf>
    <xf numFmtId="0" fontId="44" fillId="0" borderId="0" xfId="0" applyFont="1" applyAlignment="1">
      <alignment horizontal="left" vertical="center" wrapText="1"/>
    </xf>
    <xf numFmtId="0" fontId="6" fillId="3" borderId="0" xfId="0" applyFont="1" applyFill="1" applyAlignment="1">
      <alignment horizontal="center"/>
    </xf>
    <xf numFmtId="0" fontId="8" fillId="3" borderId="0" xfId="0" applyFont="1" applyFill="1" applyAlignment="1">
      <alignment horizontal="center"/>
    </xf>
    <xf numFmtId="0" fontId="33" fillId="3" borderId="0" xfId="0" applyFont="1" applyFill="1" applyAlignment="1">
      <alignment horizontal="left" wrapText="1"/>
    </xf>
    <xf numFmtId="0" fontId="36" fillId="0" borderId="0" xfId="0" applyFont="1" applyFill="1" applyAlignment="1">
      <alignment horizontal="left" vertical="center"/>
    </xf>
    <xf numFmtId="0" fontId="37" fillId="0" borderId="0" xfId="0" applyFont="1" applyFill="1" applyAlignment="1">
      <alignment horizontal="left" vertical="center"/>
    </xf>
    <xf numFmtId="0" fontId="28" fillId="3" borderId="4" xfId="0" applyFont="1" applyFill="1" applyBorder="1" applyAlignment="1">
      <alignment horizontal="left"/>
    </xf>
    <xf numFmtId="0" fontId="29" fillId="0" borderId="0" xfId="0" applyFont="1" applyAlignment="1">
      <alignment horizontal="justify" wrapText="1"/>
    </xf>
    <xf numFmtId="0" fontId="7" fillId="3" borderId="0" xfId="0" applyFont="1" applyFill="1" applyAlignment="1">
      <alignment horizontal="right"/>
    </xf>
    <xf numFmtId="0" fontId="28" fillId="3" borderId="0" xfId="0" applyFont="1" applyFill="1" applyAlignment="1">
      <alignment horizontal="left"/>
    </xf>
    <xf numFmtId="0" fontId="50" fillId="0" borderId="0" xfId="3" applyFont="1" applyFill="1" applyAlignment="1">
      <alignment horizontal="center" vertical="center"/>
    </xf>
    <xf numFmtId="0" fontId="53" fillId="2" borderId="0" xfId="3" applyFont="1" applyFill="1" applyBorder="1" applyAlignment="1">
      <alignment horizontal="center" vertical="center"/>
    </xf>
    <xf numFmtId="0" fontId="30" fillId="0" borderId="0" xfId="3" applyFont="1" applyBorder="1" applyAlignment="1">
      <alignment horizontal="left" wrapText="1"/>
    </xf>
    <xf numFmtId="0" fontId="6" fillId="0" borderId="0" xfId="3" applyFont="1" applyAlignment="1">
      <alignment horizontal="center"/>
    </xf>
    <xf numFmtId="0" fontId="6" fillId="0" borderId="0" xfId="3" applyFont="1" applyAlignment="1">
      <alignment horizontal="center" wrapText="1"/>
    </xf>
    <xf numFmtId="0" fontId="8" fillId="0" borderId="0" xfId="3" applyFont="1" applyAlignment="1">
      <alignment horizontal="center"/>
    </xf>
    <xf numFmtId="0" fontId="48" fillId="2" borderId="0" xfId="3" applyFont="1" applyFill="1" applyBorder="1" applyAlignment="1">
      <alignment horizontal="center" vertical="center" wrapText="1"/>
    </xf>
    <xf numFmtId="0" fontId="14" fillId="2" borderId="0" xfId="3" applyFill="1" applyBorder="1" applyAlignment="1">
      <alignment horizontal="center" vertical="center" wrapText="1"/>
    </xf>
    <xf numFmtId="0" fontId="71" fillId="0" borderId="0" xfId="3" applyFont="1" applyFill="1" applyBorder="1" applyAlignment="1">
      <alignment horizontal="left" vertical="distributed" wrapText="1"/>
    </xf>
    <xf numFmtId="0" fontId="33" fillId="0" borderId="0" xfId="3" applyFont="1" applyFill="1" applyBorder="1" applyAlignment="1">
      <alignment horizontal="left" vertical="distributed" wrapText="1"/>
    </xf>
    <xf numFmtId="0" fontId="28" fillId="0" borderId="0" xfId="3" applyFont="1" applyFill="1" applyBorder="1" applyAlignment="1">
      <alignment horizontal="left" vertical="distributed" wrapText="1"/>
    </xf>
    <xf numFmtId="0" fontId="8" fillId="0" borderId="0" xfId="3" applyFont="1" applyAlignment="1">
      <alignment horizontal="center" vertical="center" wrapText="1"/>
    </xf>
    <xf numFmtId="0" fontId="9" fillId="0" borderId="0" xfId="3" applyFont="1" applyAlignment="1">
      <alignment horizontal="center" vertical="center" wrapText="1"/>
    </xf>
    <xf numFmtId="0" fontId="7" fillId="0" borderId="0" xfId="3" applyFont="1" applyFill="1" applyAlignment="1">
      <alignment horizontal="right" vertical="center"/>
    </xf>
    <xf numFmtId="0" fontId="10" fillId="2" borderId="0" xfId="3" applyFont="1" applyFill="1" applyBorder="1" applyAlignment="1">
      <alignment horizontal="center" vertical="center" wrapText="1"/>
    </xf>
    <xf numFmtId="0" fontId="16" fillId="0" borderId="0" xfId="3" applyFont="1" applyFill="1" applyAlignment="1">
      <alignment wrapText="1"/>
    </xf>
    <xf numFmtId="0" fontId="6" fillId="0" borderId="0" xfId="3" applyFont="1" applyAlignment="1">
      <alignment horizontal="center" vertical="center" wrapText="1"/>
    </xf>
    <xf numFmtId="0" fontId="8" fillId="0" borderId="0" xfId="3" applyFont="1" applyFill="1" applyAlignment="1">
      <alignment horizontal="center"/>
    </xf>
    <xf numFmtId="0" fontId="7" fillId="0" borderId="0" xfId="3" applyFont="1" applyFill="1" applyAlignment="1">
      <alignment horizontal="right"/>
    </xf>
    <xf numFmtId="0" fontId="71" fillId="0" borderId="0" xfId="3" applyFont="1" applyFill="1" applyAlignment="1">
      <alignment horizontal="justify" vertical="center" wrapText="1"/>
    </xf>
    <xf numFmtId="0" fontId="33" fillId="0" borderId="0" xfId="3" applyFont="1" applyFill="1" applyAlignment="1">
      <alignment horizontal="justify" vertical="center" wrapText="1"/>
    </xf>
    <xf numFmtId="0" fontId="14" fillId="0" borderId="0" xfId="3" applyFont="1" applyAlignment="1">
      <alignment wrapText="1"/>
    </xf>
    <xf numFmtId="0" fontId="56" fillId="0" borderId="0" xfId="3" applyFont="1" applyAlignment="1">
      <alignment horizontal="right" vertical="center" wrapText="1"/>
    </xf>
    <xf numFmtId="0" fontId="36" fillId="0" borderId="0" xfId="3" applyFont="1" applyAlignment="1">
      <alignment horizontal="justify" wrapText="1"/>
    </xf>
    <xf numFmtId="0" fontId="37" fillId="0" borderId="0" xfId="3" applyFont="1" applyAlignment="1">
      <alignment horizontal="justify" wrapText="1"/>
    </xf>
    <xf numFmtId="0" fontId="30" fillId="0" borderId="0" xfId="3" applyFont="1" applyAlignment="1">
      <alignment horizontal="justify" wrapText="1"/>
    </xf>
    <xf numFmtId="0" fontId="55" fillId="0" borderId="0" xfId="3" applyFont="1" applyFill="1" applyAlignment="1">
      <alignment horizontal="center" vertical="center" wrapText="1"/>
    </xf>
    <xf numFmtId="0" fontId="8" fillId="0" borderId="0" xfId="3" applyFont="1" applyAlignment="1">
      <alignment horizontal="center" vertical="center"/>
    </xf>
    <xf numFmtId="0" fontId="9" fillId="0" borderId="0" xfId="3" applyFont="1" applyFill="1" applyAlignment="1">
      <alignment horizontal="center" vertical="center"/>
    </xf>
    <xf numFmtId="0" fontId="56" fillId="0" borderId="0" xfId="3" applyFont="1" applyFill="1" applyAlignment="1">
      <alignment horizontal="right" vertical="center"/>
    </xf>
    <xf numFmtId="0" fontId="29" fillId="0" borderId="0" xfId="3" applyFont="1" applyFill="1" applyAlignment="1">
      <alignment horizontal="justify" vertical="center" wrapText="1"/>
    </xf>
    <xf numFmtId="0" fontId="30" fillId="0" borderId="0" xfId="3" applyFont="1" applyFill="1" applyAlignment="1">
      <alignment horizontal="justify" vertical="center" wrapText="1"/>
    </xf>
    <xf numFmtId="0" fontId="16" fillId="0" borderId="0" xfId="3" applyFont="1" applyFill="1" applyBorder="1" applyAlignment="1">
      <alignment horizontal="center" vertical="center" wrapText="1"/>
    </xf>
    <xf numFmtId="0" fontId="28" fillId="0" borderId="0" xfId="3" applyFont="1" applyAlignment="1">
      <alignment horizontal="left" vertical="center" wrapText="1"/>
    </xf>
    <xf numFmtId="0" fontId="16" fillId="0" borderId="0" xfId="3" applyFont="1" applyFill="1" applyAlignment="1">
      <alignment horizontal="left" wrapText="1"/>
    </xf>
    <xf numFmtId="0" fontId="42" fillId="0" borderId="0" xfId="3" applyFont="1" applyAlignment="1">
      <alignment horizontal="right" vertical="center"/>
    </xf>
    <xf numFmtId="0" fontId="14" fillId="2" borderId="0" xfId="3" applyFill="1" applyBorder="1" applyAlignment="1">
      <alignment wrapText="1"/>
    </xf>
    <xf numFmtId="0" fontId="56" fillId="0" borderId="0" xfId="3" applyFont="1" applyAlignment="1">
      <alignment horizontal="right" vertical="center"/>
    </xf>
    <xf numFmtId="0" fontId="29" fillId="0" borderId="0" xfId="3" applyFont="1" applyAlignment="1">
      <alignment horizontal="left" vertical="center" wrapText="1"/>
    </xf>
    <xf numFmtId="0" fontId="30" fillId="0" borderId="0" xfId="3" applyFont="1" applyAlignment="1">
      <alignment horizontal="left"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8" fillId="0" borderId="0" xfId="3" applyFont="1" applyAlignment="1">
      <alignment horizontal="center"/>
    </xf>
    <xf numFmtId="0" fontId="48" fillId="2" borderId="15" xfId="3" applyFont="1" applyFill="1" applyBorder="1" applyAlignment="1">
      <alignment horizontal="center" vertical="center" wrapText="1"/>
    </xf>
    <xf numFmtId="0" fontId="48" fillId="2" borderId="16" xfId="3" applyFont="1" applyFill="1" applyBorder="1" applyAlignment="1">
      <alignment horizontal="center" vertical="center" wrapText="1"/>
    </xf>
    <xf numFmtId="0" fontId="10" fillId="2" borderId="17" xfId="3" applyFont="1" applyFill="1" applyBorder="1" applyAlignment="1">
      <alignment horizontal="center" vertical="center" wrapText="1"/>
    </xf>
    <xf numFmtId="0" fontId="10" fillId="2" borderId="30" xfId="3" applyFont="1" applyFill="1" applyBorder="1" applyAlignment="1">
      <alignment horizontal="center" vertical="center" wrapText="1"/>
    </xf>
    <xf numFmtId="0" fontId="6" fillId="3" borderId="0" xfId="3" applyFont="1" applyFill="1" applyAlignment="1">
      <alignment horizontal="center"/>
    </xf>
    <xf numFmtId="0" fontId="8" fillId="3" borderId="0" xfId="3" applyFont="1" applyFill="1" applyAlignment="1">
      <alignment horizontal="center"/>
    </xf>
    <xf numFmtId="0" fontId="56" fillId="0" borderId="0" xfId="3" applyFont="1" applyAlignment="1">
      <alignment horizontal="right"/>
    </xf>
    <xf numFmtId="0" fontId="18" fillId="0" borderId="14"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29" fillId="0" borderId="0" xfId="0" applyFont="1" applyAlignment="1">
      <alignment horizontal="justify" vertical="center" wrapText="1"/>
    </xf>
    <xf numFmtId="0" fontId="30" fillId="0" borderId="0" xfId="0" applyFont="1" applyAlignment="1">
      <alignment horizontal="justify" vertical="center" wrapText="1"/>
    </xf>
    <xf numFmtId="0" fontId="18" fillId="0" borderId="0" xfId="0" applyFont="1" applyAlignment="1">
      <alignment horizontal="right" vertical="center"/>
    </xf>
    <xf numFmtId="0" fontId="59" fillId="0" borderId="0" xfId="0" applyFont="1" applyAlignment="1">
      <alignment horizontal="center" vertical="center" wrapText="1"/>
    </xf>
    <xf numFmtId="0" fontId="81" fillId="0" borderId="0" xfId="9" applyFont="1" applyBorder="1" applyAlignment="1">
      <alignment horizontal="center" vertical="center"/>
    </xf>
    <xf numFmtId="0" fontId="86" fillId="0" borderId="0" xfId="9" applyFont="1" applyAlignment="1">
      <alignment horizontal="center" wrapText="1"/>
    </xf>
    <xf numFmtId="0" fontId="29" fillId="0" borderId="0" xfId="3" applyFont="1" applyAlignment="1">
      <alignment horizontal="justify" vertical="center" wrapText="1"/>
    </xf>
    <xf numFmtId="0" fontId="30" fillId="0" borderId="0" xfId="3" applyFont="1" applyAlignment="1">
      <alignment horizontal="justify" vertical="center" wrapText="1"/>
    </xf>
    <xf numFmtId="0" fontId="7" fillId="0" borderId="0" xfId="3" applyFont="1" applyBorder="1" applyAlignment="1">
      <alignment horizontal="right"/>
    </xf>
    <xf numFmtId="0" fontId="33" fillId="0" borderId="0" xfId="3" applyFont="1" applyBorder="1" applyAlignment="1">
      <alignment horizontal="left"/>
    </xf>
    <xf numFmtId="0" fontId="18" fillId="0" borderId="0" xfId="0" applyFont="1" applyAlignment="1">
      <alignment horizontal="center" vertical="center" wrapText="1"/>
    </xf>
    <xf numFmtId="0" fontId="18" fillId="0" borderId="0" xfId="0" applyFont="1" applyAlignment="1">
      <alignment horizontal="center" vertical="center"/>
    </xf>
    <xf numFmtId="0" fontId="28" fillId="0" borderId="0" xfId="0" applyFont="1" applyAlignment="1">
      <alignment horizontal="left" vertical="center" wrapText="1"/>
    </xf>
    <xf numFmtId="0" fontId="132" fillId="14" borderId="0" xfId="0" applyFont="1" applyFill="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18" fillId="8" borderId="0" xfId="0" applyFont="1" applyFill="1" applyAlignment="1">
      <alignment horizontal="right" vertical="center"/>
    </xf>
    <xf numFmtId="0" fontId="73" fillId="0" borderId="0" xfId="9" applyFont="1" applyAlignment="1">
      <alignment horizontal="center" wrapText="1"/>
    </xf>
    <xf numFmtId="0" fontId="21" fillId="0" borderId="0" xfId="0" applyFont="1" applyFill="1" applyAlignment="1">
      <alignment horizontal="center" vertical="center"/>
    </xf>
    <xf numFmtId="164" fontId="16" fillId="0" borderId="0" xfId="1" applyNumberFormat="1" applyFont="1" applyFill="1" applyAlignment="1">
      <alignment horizontal="center"/>
    </xf>
    <xf numFmtId="0" fontId="50" fillId="0" borderId="0" xfId="0" applyFont="1" applyFill="1" applyAlignment="1">
      <alignment horizontal="center" vertical="center" wrapText="1"/>
    </xf>
    <xf numFmtId="0" fontId="9" fillId="3" borderId="0" xfId="0" applyFont="1" applyFill="1" applyAlignment="1">
      <alignment horizontal="center" vertical="center"/>
    </xf>
    <xf numFmtId="0" fontId="0" fillId="3" borderId="0" xfId="0" applyFill="1" applyAlignment="1">
      <alignment horizontal="justify" wrapText="1"/>
    </xf>
    <xf numFmtId="0" fontId="0" fillId="0" borderId="0" xfId="0" applyAlignment="1">
      <alignment horizontal="justify"/>
    </xf>
    <xf numFmtId="0" fontId="50" fillId="0" borderId="0" xfId="0" applyFont="1" applyFill="1" applyAlignment="1">
      <alignment horizontal="left" vertical="center"/>
    </xf>
    <xf numFmtId="0" fontId="48" fillId="5" borderId="0" xfId="0" applyFont="1" applyFill="1" applyAlignment="1">
      <alignment horizontal="center" vertical="center" wrapText="1"/>
    </xf>
    <xf numFmtId="0" fontId="10" fillId="5" borderId="0" xfId="0" applyFont="1" applyFill="1" applyAlignment="1">
      <alignment horizontal="center" vertical="center" wrapText="1"/>
    </xf>
    <xf numFmtId="0" fontId="12" fillId="0" borderId="0"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3" borderId="14"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9" fillId="3" borderId="0" xfId="0" applyFont="1" applyFill="1" applyAlignment="1">
      <alignment horizontal="right" vertical="center"/>
    </xf>
    <xf numFmtId="0" fontId="10" fillId="2" borderId="0" xfId="0" applyFont="1" applyFill="1" applyAlignment="1">
      <alignment horizontal="center" wrapText="1"/>
    </xf>
    <xf numFmtId="0" fontId="153" fillId="11" borderId="0" xfId="0" applyFont="1" applyFill="1" applyAlignment="1">
      <alignment horizontal="center" vertical="center"/>
    </xf>
    <xf numFmtId="0" fontId="153" fillId="11" borderId="0" xfId="0" applyFont="1" applyFill="1" applyAlignment="1">
      <alignment horizontal="center" vertical="center" wrapText="1"/>
    </xf>
    <xf numFmtId="0" fontId="59" fillId="0" borderId="0" xfId="9" applyFont="1" applyBorder="1" applyAlignment="1">
      <alignment horizontal="center" vertical="center" wrapText="1"/>
    </xf>
    <xf numFmtId="0" fontId="59" fillId="0" borderId="0" xfId="9" applyFont="1" applyAlignment="1">
      <alignment horizontal="center" vertical="center" wrapText="1"/>
    </xf>
    <xf numFmtId="0" fontId="104" fillId="0" borderId="0" xfId="3" applyFont="1" applyFill="1" applyAlignment="1">
      <alignment horizontal="justify" vertical="center" wrapText="1"/>
    </xf>
    <xf numFmtId="0" fontId="94" fillId="0" borderId="0" xfId="3" applyFont="1" applyAlignment="1">
      <alignment horizontal="center" vertical="center"/>
    </xf>
    <xf numFmtId="0" fontId="103" fillId="0" borderId="0" xfId="3" applyFont="1" applyAlignment="1">
      <alignment horizontal="left" vertical="center"/>
    </xf>
    <xf numFmtId="0" fontId="120" fillId="0" borderId="0" xfId="3" applyFont="1" applyAlignment="1">
      <alignment horizontal="center" vertical="center" wrapText="1"/>
    </xf>
    <xf numFmtId="0" fontId="106" fillId="0" borderId="0" xfId="3" applyFont="1" applyAlignment="1">
      <alignment horizontal="center" vertical="center" wrapText="1"/>
    </xf>
    <xf numFmtId="0" fontId="94" fillId="0" borderId="0" xfId="3" applyFont="1" applyAlignment="1">
      <alignment horizontal="center" vertical="center" wrapText="1"/>
    </xf>
    <xf numFmtId="0" fontId="108" fillId="0" borderId="0" xfId="3" applyFont="1" applyBorder="1" applyAlignment="1">
      <alignment horizontal="right" vertical="center" wrapText="1"/>
    </xf>
    <xf numFmtId="0" fontId="103" fillId="0" borderId="0" xfId="3" applyFont="1" applyBorder="1" applyAlignment="1"/>
    <xf numFmtId="0" fontId="143" fillId="0" borderId="0" xfId="3" applyFont="1" applyFill="1" applyBorder="1" applyAlignment="1">
      <alignment horizontal="center" vertical="center" wrapText="1"/>
    </xf>
    <xf numFmtId="0" fontId="103" fillId="0" borderId="0" xfId="3" applyFont="1" applyFill="1" applyBorder="1" applyAlignment="1">
      <alignment horizontal="left" vertical="center"/>
    </xf>
    <xf numFmtId="0" fontId="144" fillId="0" borderId="0" xfId="3" applyFont="1" applyFill="1" applyBorder="1" applyAlignment="1">
      <alignment horizontal="justify" vertical="center" wrapText="1"/>
    </xf>
    <xf numFmtId="0" fontId="104" fillId="0" borderId="0" xfId="3" applyFont="1" applyFill="1" applyBorder="1" applyAlignment="1">
      <alignment horizontal="justify" vertical="center" wrapText="1"/>
    </xf>
    <xf numFmtId="0" fontId="123" fillId="0" borderId="0" xfId="3" applyFont="1" applyAlignment="1"/>
    <xf numFmtId="0" fontId="145" fillId="0" borderId="0" xfId="0" applyFont="1" applyAlignment="1">
      <alignment horizontal="right" vertical="center"/>
    </xf>
    <xf numFmtId="0" fontId="72" fillId="0" borderId="0" xfId="0" applyFont="1" applyAlignment="1">
      <alignment vertical="center"/>
    </xf>
    <xf numFmtId="0" fontId="70" fillId="12" borderId="40" xfId="0" applyFont="1" applyFill="1" applyBorder="1" applyAlignment="1">
      <alignment horizontal="center" vertical="center" wrapText="1"/>
    </xf>
    <xf numFmtId="0" fontId="70" fillId="12" borderId="37" xfId="0" applyFont="1" applyFill="1" applyBorder="1" applyAlignment="1">
      <alignment horizontal="center" vertical="center" wrapText="1"/>
    </xf>
    <xf numFmtId="0" fontId="131" fillId="0" borderId="41" xfId="0" applyFont="1" applyBorder="1" applyAlignment="1">
      <alignment horizontal="justify" vertical="center" wrapText="1"/>
    </xf>
    <xf numFmtId="0" fontId="131" fillId="0" borderId="38" xfId="0" applyFont="1" applyBorder="1" applyAlignment="1">
      <alignment horizontal="justify" vertical="center" wrapText="1"/>
    </xf>
    <xf numFmtId="0" fontId="131" fillId="0" borderId="41" xfId="0" applyFont="1" applyBorder="1" applyAlignment="1">
      <alignment horizontal="center" vertical="center" wrapText="1"/>
    </xf>
    <xf numFmtId="0" fontId="131" fillId="0" borderId="38" xfId="0" applyFont="1" applyBorder="1" applyAlignment="1">
      <alignment horizontal="center" vertical="center" wrapText="1"/>
    </xf>
    <xf numFmtId="3" fontId="131" fillId="0" borderId="41" xfId="0" applyNumberFormat="1" applyFont="1" applyBorder="1" applyAlignment="1">
      <alignment horizontal="center" vertical="center" wrapText="1"/>
    </xf>
    <xf numFmtId="3" fontId="131" fillId="0" borderId="38" xfId="0" applyNumberFormat="1" applyFont="1" applyBorder="1" applyAlignment="1">
      <alignment horizontal="center" vertical="center" wrapText="1"/>
    </xf>
    <xf numFmtId="0" fontId="131" fillId="0" borderId="41" xfId="0" applyFont="1" applyBorder="1" applyAlignment="1">
      <alignment horizontal="right" vertical="center" wrapText="1"/>
    </xf>
    <xf numFmtId="0" fontId="131" fillId="0" borderId="38" xfId="0" applyFont="1" applyBorder="1" applyAlignment="1">
      <alignment horizontal="right" vertical="center" wrapText="1"/>
    </xf>
    <xf numFmtId="0" fontId="14" fillId="0" borderId="0" xfId="0" applyFont="1" applyAlignment="1">
      <alignment vertical="center" wrapText="1"/>
    </xf>
    <xf numFmtId="0" fontId="14" fillId="0" borderId="0" xfId="0" applyFont="1" applyAlignment="1">
      <alignment horizontal="left" vertical="center" wrapText="1"/>
    </xf>
    <xf numFmtId="0" fontId="153" fillId="12" borderId="0" xfId="0" applyFont="1" applyFill="1" applyAlignment="1">
      <alignment horizontal="center" vertical="center"/>
    </xf>
    <xf numFmtId="0" fontId="18" fillId="0" borderId="0" xfId="0" applyFont="1" applyFill="1" applyAlignment="1">
      <alignment horizontal="center"/>
    </xf>
    <xf numFmtId="168" fontId="18" fillId="0" borderId="0" xfId="1" applyNumberFormat="1" applyFont="1" applyFill="1" applyAlignment="1">
      <alignment horizontal="center"/>
    </xf>
    <xf numFmtId="0" fontId="7" fillId="0" borderId="0" xfId="0" applyFont="1" applyFill="1" applyBorder="1" applyAlignment="1">
      <alignment horizontal="right"/>
    </xf>
    <xf numFmtId="0" fontId="36" fillId="0" borderId="0" xfId="0" applyFont="1" applyFill="1" applyAlignment="1">
      <alignment horizontal="left" wrapText="1"/>
    </xf>
    <xf numFmtId="0" fontId="37" fillId="0" borderId="0" xfId="0" applyFont="1" applyFill="1" applyAlignment="1">
      <alignment horizontal="left" wrapText="1"/>
    </xf>
    <xf numFmtId="0" fontId="30" fillId="0" borderId="0" xfId="0" applyFont="1" applyFill="1" applyAlignment="1">
      <alignment horizontal="justify" wrapText="1"/>
    </xf>
    <xf numFmtId="3" fontId="10" fillId="2" borderId="0" xfId="0" applyNumberFormat="1" applyFont="1" applyFill="1" applyAlignment="1">
      <alignment horizontal="center" vertical="center"/>
    </xf>
    <xf numFmtId="167" fontId="48" fillId="2" borderId="0" xfId="1" applyFont="1" applyFill="1" applyBorder="1" applyAlignment="1">
      <alignment horizontal="center" vertical="center" wrapText="1"/>
    </xf>
    <xf numFmtId="0" fontId="7" fillId="0" borderId="0" xfId="0" applyFont="1" applyAlignment="1">
      <alignment horizontal="center"/>
    </xf>
    <xf numFmtId="167" fontId="6" fillId="0" borderId="0" xfId="1" applyFont="1" applyAlignment="1">
      <alignment horizontal="center"/>
    </xf>
    <xf numFmtId="0" fontId="8" fillId="0" borderId="0" xfId="0" applyFont="1" applyAlignment="1">
      <alignment horizontal="center" wrapText="1"/>
    </xf>
    <xf numFmtId="0" fontId="56" fillId="0" borderId="0" xfId="0" applyFont="1" applyBorder="1" applyAlignment="1">
      <alignment horizontal="right" vertical="center"/>
    </xf>
    <xf numFmtId="41" fontId="48" fillId="2" borderId="22" xfId="0" applyNumberFormat="1" applyFont="1" applyFill="1" applyBorder="1" applyAlignment="1">
      <alignment horizontal="center" vertical="center" wrapText="1"/>
    </xf>
    <xf numFmtId="41" fontId="48" fillId="2" borderId="23" xfId="0" applyNumberFormat="1" applyFont="1" applyFill="1" applyBorder="1" applyAlignment="1">
      <alignment horizontal="center" vertical="center" wrapText="1"/>
    </xf>
    <xf numFmtId="0" fontId="103" fillId="0" borderId="0" xfId="14" applyFont="1" applyAlignment="1">
      <alignment horizontal="left" vertical="center"/>
    </xf>
    <xf numFmtId="0" fontId="104" fillId="0" borderId="0" xfId="14" applyFont="1" applyFill="1" applyAlignment="1">
      <alignment horizontal="justify" vertical="center" wrapText="1"/>
    </xf>
    <xf numFmtId="0" fontId="94" fillId="0" borderId="0" xfId="14" applyFont="1" applyAlignment="1">
      <alignment horizontal="center" vertical="center"/>
    </xf>
    <xf numFmtId="14" fontId="96" fillId="0" borderId="0" xfId="14" applyNumberFormat="1" applyFont="1" applyAlignment="1">
      <alignment horizontal="center"/>
    </xf>
    <xf numFmtId="0" fontId="96" fillId="0" borderId="0" xfId="14" applyFont="1" applyAlignment="1">
      <alignment horizontal="center"/>
    </xf>
    <xf numFmtId="0" fontId="95" fillId="0" borderId="0" xfId="14" applyFont="1" applyAlignment="1">
      <alignment horizontal="center"/>
    </xf>
    <xf numFmtId="0" fontId="97" fillId="0" borderId="0" xfId="14" applyFont="1" applyAlignment="1">
      <alignment horizontal="right"/>
    </xf>
    <xf numFmtId="14" fontId="94" fillId="0" borderId="0" xfId="14" applyNumberFormat="1" applyFont="1" applyFill="1" applyAlignment="1">
      <alignment horizontal="center" vertical="center"/>
    </xf>
    <xf numFmtId="0" fontId="94" fillId="0" borderId="0" xfId="14" applyFont="1" applyFill="1" applyAlignment="1">
      <alignment horizontal="center" vertical="center"/>
    </xf>
    <xf numFmtId="0" fontId="106" fillId="0" borderId="0" xfId="14" applyFont="1" applyAlignment="1">
      <alignment horizontal="center"/>
    </xf>
    <xf numFmtId="0" fontId="97" fillId="0" borderId="0" xfId="14" applyFont="1" applyAlignment="1">
      <alignment horizontal="right" vertical="center"/>
    </xf>
    <xf numFmtId="0" fontId="103" fillId="0" borderId="0" xfId="14" applyFont="1" applyAlignment="1">
      <alignment horizontal="left"/>
    </xf>
    <xf numFmtId="0" fontId="94" fillId="0" borderId="0" xfId="14" applyFont="1" applyAlignment="1">
      <alignment horizontal="center" wrapText="1"/>
    </xf>
    <xf numFmtId="14" fontId="94" fillId="0" borderId="0" xfId="14" applyNumberFormat="1" applyFont="1" applyAlignment="1">
      <alignment horizontal="center" wrapText="1"/>
    </xf>
    <xf numFmtId="0" fontId="108" fillId="0" borderId="0" xfId="14" applyFont="1" applyAlignment="1">
      <alignment horizontal="center"/>
    </xf>
    <xf numFmtId="0" fontId="108" fillId="0" borderId="0" xfId="14" applyFont="1" applyAlignment="1">
      <alignment horizontal="right" wrapText="1"/>
    </xf>
    <xf numFmtId="0" fontId="94" fillId="0" borderId="0" xfId="14" applyFont="1" applyAlignment="1">
      <alignment horizontal="center"/>
    </xf>
    <xf numFmtId="0" fontId="97" fillId="0" borderId="0" xfId="14" applyFont="1" applyBorder="1" applyAlignment="1">
      <alignment horizontal="right"/>
    </xf>
    <xf numFmtId="0" fontId="106" fillId="0" borderId="0" xfId="14" applyFont="1" applyAlignment="1">
      <alignment horizontal="right"/>
    </xf>
    <xf numFmtId="0" fontId="94" fillId="0" borderId="0" xfId="14" applyFont="1" applyAlignment="1">
      <alignment horizontal="right"/>
    </xf>
    <xf numFmtId="0" fontId="119" fillId="12" borderId="0" xfId="17" applyFont="1" applyFill="1" applyBorder="1" applyAlignment="1">
      <alignment horizontal="center"/>
    </xf>
    <xf numFmtId="49" fontId="119" fillId="12" borderId="0" xfId="17" applyNumberFormat="1" applyFont="1" applyFill="1" applyBorder="1" applyAlignment="1">
      <alignment horizontal="center"/>
    </xf>
  </cellXfs>
  <cellStyles count="25">
    <cellStyle name="Normal" xfId="0" builtinId="0"/>
    <cellStyle name="Normal 2" xfId="3"/>
    <cellStyle name="Normal 2 2" xfId="19"/>
    <cellStyle name="Normal 2 3" xfId="20"/>
    <cellStyle name="Normal 3" xfId="4"/>
    <cellStyle name="Normal 4" xfId="7"/>
    <cellStyle name="Normal 5" xfId="9"/>
    <cellStyle name="Normal 6" xfId="11"/>
    <cellStyle name="Normal 7" xfId="14"/>
    <cellStyle name="Normal 8" xfId="17"/>
    <cellStyle name="Normal_Plan1" xfId="13"/>
    <cellStyle name="Porcentagem" xfId="2" builtinId="5"/>
    <cellStyle name="Porcentagem 2" xfId="16"/>
    <cellStyle name="Porcentagem 2 2" xfId="21"/>
    <cellStyle name="Porcentagem 2 3" xfId="22"/>
    <cellStyle name="Separador de milhares 2" xfId="5"/>
    <cellStyle name="Separador de milhares 2 2" xfId="23"/>
    <cellStyle name="Separador de milhares 2 2 2" xfId="6"/>
    <cellStyle name="Separador de milhares 2 3" xfId="24"/>
    <cellStyle name="Vírgula" xfId="1" builtinId="3"/>
    <cellStyle name="Vírgula 2" xfId="8"/>
    <cellStyle name="Vírgula 3" xfId="10"/>
    <cellStyle name="Vírgula 4" xfId="12"/>
    <cellStyle name="Vírgula 5" xfId="15"/>
    <cellStyle name="Vírgula 6" xfId="18"/>
  </cellStyles>
  <dxfs count="0"/>
  <tableStyles count="0" defaultTableStyle="TableStyleMedium2" defaultPivotStyle="PivotStyleLight16"/>
  <colors>
    <mruColors>
      <color rgb="FF87190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styles" Target="styles.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externalLink" Target="externalLinks/externalLink9.xml"/><Relationship Id="rId16" Type="http://schemas.openxmlformats.org/officeDocument/2006/relationships/worksheet" Target="worksheets/sheet16.xml"/><Relationship Id="rId107" Type="http://schemas.openxmlformats.org/officeDocument/2006/relationships/externalLink" Target="externalLinks/externalLink4.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externalLink" Target="externalLinks/externalLink7.xml"/><Relationship Id="rId115" Type="http://schemas.openxmlformats.org/officeDocument/2006/relationships/externalLink" Target="externalLinks/externalLink1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externalLink" Target="externalLinks/externalLink2.xml"/><Relationship Id="rId113" Type="http://schemas.openxmlformats.org/officeDocument/2006/relationships/externalLink" Target="externalLinks/externalLink10.xml"/><Relationship Id="rId118"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externalLink" Target="externalLinks/externalLink5.xml"/><Relationship Id="rId11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externalLink" Target="externalLinks/externalLink3.xml"/><Relationship Id="rId114" Type="http://schemas.openxmlformats.org/officeDocument/2006/relationships/externalLink" Target="externalLinks/externalLink11.xml"/><Relationship Id="rId119"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externalLink" Target="externalLinks/externalLink6.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externalLink" Target="externalLinks/externalLink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TENE/CAPP/Relat&#243;rio%20FNE%20-%202015/Arquivos%20recebidos/FNE_Relat&#243;rio%20Resultados%20e%20Impactos%20-%20Exerc&#237;cio%20de%202015%20-%20Contrata&#231;&#245;es%20290220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Controle%20Gerencial%20do%20FNE/Relat&#243;rios%20de%20Resultados%20e%20Impactos/2011/2&#186;%20Semestre/Demonstrativos/FNE_Relat&#243;rio%20Resultados%20e%20Impactos%20-%20Exerc&#237;cio%202011_Contrata&#231;&#245;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ETENE/CAPP/Relat&#243;rio%20FNE%20-%202015/Arquivos%20recebidos/FNE_Relat&#243;rio%20Resultados%20e%20Impactos%20-%20Exerc&#237;cio%20de%202015%20-%20Contrata&#231;&#245;es_28012016.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f149403/AppData/Local/Microsoft/Windows/Temporary%20Internet%20Files/Content.Outlook/WTIN6SGR/FNE%20_Relat&#243;rio%20Resultados%20e%20Impactos%20-%202015%20-%20Tabelas%20Of&#237;cio%20142%20-%202015%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TENE/CAPP/Relat&#243;rio%20FNE%20-%202015/Arquivos%20recebidos/FNE_Relat&#243;rio%20Resultados%20e%20Impactos%20-%202015%20-%20Patrim&#244;nio%20-%20Vers&#227;o%202601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TENE/CAPP/Relat&#243;rio%20FNE%20-%202015/Arquivos%20recebidos/FNE_Relat&#243;rio%20Resultados%20e%20Impactos%20-%20Exerc&#237;cio%20de%202015%20-%20Contrata&#231;&#245;es_2901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TENE/CAPP/Relat&#243;rio%20FNE%20-%202015/Arqiovos%20recebidos/FNE_Relat&#243;rio%20Resultados%20e%20Impactos%20-%20Exerc&#237;cio%20de%202015%20-%20Contrata&#231;&#245;es_2501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ETENE/CAPP/Relat&#243;rio%20FNE%20-%202015/Arquivos%20recebidos/FNE_Relat&#243;rio%20Resultados%20e%20Impactos%20-%20Exerc&#237;cio%20de%202015%20-%20Contrata&#231;&#245;es_2501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ETENE/CAPP/Relat&#243;rio%20FNE%20-%202015/Arquivos%20recebidos/FNE_Relat&#243;rio%20Resultados%20e%20Impactos%20-%20Exerc&#237;cio%20de%202015%20-%20Contrata&#231;&#245;es_0202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ETENE/CAPP/Relat&#243;rio%20FNE%20-%202015/Arquivos%20recebidos/C&#243;pia%20de%20FNE_Relat&#243;rio%20Resultados%20e%20Impactos%20-%20Exerc&#237;cio%20de%202015%20-%20Contrata&#231;&#245;es_0502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ETENE/CAPP/Relat&#243;rio%20FNE%20-%202015/Arquivos%20recebidos/FNE_Relat&#243;rio%20Resultados%20e%20Impactos%20-%20Exerc&#237;cio%20de%202015%20-%20Contrata&#231;&#245;es%2024022016.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ETENE/CAPP/Relat&#243;rio%20FNE%20-%202015/Arquivos%20recebidos/FNE_Relat&#243;rio%20Resultados%20e%20Impactos%20-%202015%20-%20Repasses%20Outras%20Institui&#231;&#245;es%20-%20ANEX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2"/>
      <sheetName val="2A"/>
      <sheetName val="3-PROPOSTAS POR SITUAÇÃO"/>
      <sheetName val="3-PROPOSTAS POR PROGRAMA"/>
      <sheetName val="3-PROPOSTAS POR REGIÃO"/>
      <sheetName val="3-PROPOSTAS POR PORTE"/>
      <sheetName val="PROPOSTAS INDEFERIDAS"/>
      <sheetName val="6"/>
      <sheetName val="7"/>
      <sheetName val="8"/>
      <sheetName val="9"/>
      <sheetName val="10"/>
      <sheetName val="11"/>
      <sheetName val="12"/>
      <sheetName val="13"/>
      <sheetName val="14"/>
      <sheetName val="14A-TURISMO"/>
      <sheetName val="14A-TURISMO-POR ESTADO"/>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5"/>
      <sheetName val="36"/>
      <sheetName val="37"/>
      <sheetName val="38"/>
      <sheetName val="39"/>
      <sheetName val="40"/>
      <sheetName val="41"/>
      <sheetName val="41-PORTE"/>
      <sheetName val="41-SETOR"/>
      <sheetName val="41-REGIÃO"/>
      <sheetName val="41-ESTADO"/>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103"/>
      <sheetName val="1.A"/>
      <sheetName val="2.A"/>
      <sheetName val="3.A"/>
      <sheetName val="5.A"/>
      <sheetName val="6.A"/>
      <sheetName val="13.A"/>
      <sheetName val="13.A-PORTE"/>
      <sheetName val="13.A-ESTADO"/>
      <sheetName val="14.A"/>
      <sheetName val="15.A"/>
      <sheetName val="16.A"/>
      <sheetName val="17.A"/>
      <sheetName val="18.A"/>
      <sheetName val="19.A"/>
      <sheetName val="20.A"/>
      <sheetName val="21.A"/>
      <sheetName val="VALOR &gt; 10 MILHÕES"/>
      <sheetName val="22.A"/>
      <sheetName val="22.A-POR SETOR"/>
      <sheetName val="24.A"/>
      <sheetName val="25.A"/>
      <sheetName val="26.A"/>
      <sheetName val="27.A"/>
      <sheetName val="28.A"/>
      <sheetName val="29.A"/>
      <sheetName val="30.A"/>
      <sheetName val="40.A"/>
      <sheetName val="43.A"/>
      <sheetName val="44.A"/>
      <sheetName val="4.1-NOVAS TABELAS"/>
      <sheetName val="4.2-NOVAS TABELAS-SEMIÁRIDO"/>
      <sheetName val="4.2-NOVAS TABELAS-MESORREGIÕES"/>
      <sheetName val="4.3-NOVAS TABELAS"/>
      <sheetName val="4.4-NOVAS TABELAS"/>
      <sheetName val="4.6-NOVAS TABELAS"/>
      <sheetName val="4.7-NOVAS TABELAS"/>
      <sheetName val="4.8-NOVAS TABELAS"/>
      <sheetName val="4.10-NOVAS TABELAS"/>
      <sheetName val="4.11-NOVAS TABELAS"/>
    </sheetNames>
    <sheetDataSet>
      <sheetData sheetId="0">
        <row r="18">
          <cell r="A18" t="str">
            <v>Exercício 2015</v>
          </cell>
        </row>
      </sheetData>
      <sheetData sheetId="1"/>
      <sheetData sheetId="2">
        <row r="8">
          <cell r="C8">
            <v>1423526</v>
          </cell>
        </row>
        <row r="10">
          <cell r="C10">
            <v>13473</v>
          </cell>
          <cell r="D10">
            <v>101488</v>
          </cell>
        </row>
        <row r="11">
          <cell r="C11">
            <v>1304472</v>
          </cell>
          <cell r="D11">
            <v>1690605</v>
          </cell>
        </row>
        <row r="16">
          <cell r="C16">
            <v>10582</v>
          </cell>
        </row>
        <row r="20">
          <cell r="C20">
            <v>9957</v>
          </cell>
          <cell r="D20">
            <v>12852</v>
          </cell>
        </row>
        <row r="22">
          <cell r="C22">
            <v>3213</v>
          </cell>
        </row>
        <row r="27">
          <cell r="C27">
            <v>578</v>
          </cell>
        </row>
        <row r="30">
          <cell r="C30">
            <v>6</v>
          </cell>
        </row>
        <row r="32">
          <cell r="C32">
            <v>24497</v>
          </cell>
        </row>
        <row r="37">
          <cell r="C37">
            <v>1462402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2"/>
      <sheetName val="2A"/>
      <sheetName val="3"/>
      <sheetName val="7"/>
      <sheetName val="PROCEDIMENTOS"/>
      <sheetName val="8"/>
      <sheetName val="9"/>
      <sheetName val="10"/>
      <sheetName val="11"/>
      <sheetName val="12"/>
      <sheetName val="13"/>
      <sheetName val="14"/>
      <sheetName val="13-TURISMO"/>
      <sheetName val="14-TURISMO"/>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5"/>
      <sheetName val="36"/>
      <sheetName val="37"/>
      <sheetName val="38"/>
      <sheetName val="39"/>
      <sheetName val="40"/>
      <sheetName val="41"/>
      <sheetName val="41-PORTE"/>
      <sheetName val="41-SETOR"/>
      <sheetName val="41-ESTADO"/>
      <sheetName val="41-REGIÃO"/>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103"/>
      <sheetName val="1.A"/>
      <sheetName val="2.A"/>
      <sheetName val="3.A"/>
      <sheetName val="5.A"/>
      <sheetName val="6.A"/>
      <sheetName val="13.A"/>
      <sheetName val="13.A-PORTE"/>
      <sheetName val="13.A-ESTADO"/>
      <sheetName val="14.A"/>
      <sheetName val="15.A"/>
      <sheetName val="16.A"/>
      <sheetName val="17.A"/>
      <sheetName val="18.A"/>
      <sheetName val="19.A"/>
      <sheetName val="20.A"/>
      <sheetName val="21.A"/>
      <sheetName val="22.A"/>
      <sheetName val="22.A-POR SETOR"/>
      <sheetName val="23.A"/>
      <sheetName val="24.A"/>
      <sheetName val="25.A"/>
      <sheetName val="26.A"/>
      <sheetName val="27.A"/>
      <sheetName val="28.A"/>
      <sheetName val="29.A"/>
      <sheetName val="30.A"/>
      <sheetName val="40.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10">
          <cell r="D10">
            <v>429684</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2"/>
      <sheetName val="2A"/>
      <sheetName val="3-PROPOSTAS POR SITUAÇÃO"/>
      <sheetName val="3-PROPOSTAS POR PROGRAMA"/>
      <sheetName val="3-PROPOSTAS POR REGIÃO"/>
      <sheetName val="3-PROPOSTAS POR PORTE"/>
      <sheetName val="PROPOSTAS INDEFERIDAS"/>
      <sheetName val="6"/>
      <sheetName val="7"/>
      <sheetName val="8"/>
      <sheetName val="9"/>
      <sheetName val="10"/>
      <sheetName val="11"/>
      <sheetName val="12"/>
      <sheetName val="13"/>
      <sheetName val="14"/>
      <sheetName val="14A-TURISMO"/>
      <sheetName val="14A-TURISMO-POR ESTADO"/>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5"/>
      <sheetName val="36"/>
      <sheetName val="37"/>
      <sheetName val="38"/>
      <sheetName val="39"/>
      <sheetName val="40"/>
      <sheetName val="41"/>
      <sheetName val="41-PORTE"/>
      <sheetName val="41-SETOR"/>
      <sheetName val="41-REGIÃO"/>
      <sheetName val="41-ESTADO"/>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103"/>
      <sheetName val="1.A"/>
      <sheetName val="2.A"/>
      <sheetName val="3.A"/>
      <sheetName val="5.A"/>
      <sheetName val="6.A"/>
      <sheetName val="13.A"/>
      <sheetName val="13.A-PORTE"/>
      <sheetName val="13.A-ESTADO"/>
      <sheetName val="14.A"/>
      <sheetName val="15.A"/>
      <sheetName val="16.A"/>
      <sheetName val="17.A"/>
      <sheetName val="18.A"/>
      <sheetName val="19.A"/>
      <sheetName val="20.A"/>
      <sheetName val="21.A"/>
      <sheetName val="VALOR &gt; 10 MILHÕES"/>
      <sheetName val="22.A"/>
      <sheetName val="22.A-POR SETOR"/>
      <sheetName val="24.A"/>
      <sheetName val="25.A"/>
      <sheetName val="26.A"/>
      <sheetName val="27.A"/>
      <sheetName val="28.A"/>
      <sheetName val="29.A"/>
      <sheetName val="30.A"/>
      <sheetName val="40.A"/>
      <sheetName val="43.A"/>
      <sheetName val="44.A"/>
      <sheetName val="28.A (2)"/>
      <sheetName val="29.A (2)"/>
    </sheetNames>
    <sheetDataSet>
      <sheetData sheetId="0">
        <row r="18">
          <cell r="A18" t="str">
            <v>Exercício de 2015</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row r="7">
          <cell r="B7">
            <v>1493</v>
          </cell>
        </row>
        <row r="14">
          <cell r="B14">
            <v>110099</v>
          </cell>
          <cell r="D14">
            <v>2043839</v>
          </cell>
        </row>
      </sheetData>
      <sheetData sheetId="67"/>
      <sheetData sheetId="68"/>
      <sheetData sheetId="69"/>
      <sheetData sheetId="70"/>
      <sheetData sheetId="71"/>
      <sheetData sheetId="72"/>
      <sheetData sheetId="73">
        <row r="7">
          <cell r="C7">
            <v>1493</v>
          </cell>
        </row>
      </sheetData>
      <sheetData sheetId="74"/>
      <sheetData sheetId="75"/>
      <sheetData sheetId="76"/>
      <sheetData sheetId="77">
        <row r="10">
          <cell r="P10">
            <v>105628</v>
          </cell>
        </row>
      </sheetData>
      <sheetData sheetId="78">
        <row r="22">
          <cell r="P22">
            <v>418</v>
          </cell>
        </row>
      </sheetData>
      <sheetData sheetId="79">
        <row r="43">
          <cell r="P43">
            <v>443</v>
          </cell>
        </row>
      </sheetData>
      <sheetData sheetId="80">
        <row r="17">
          <cell r="P17">
            <v>53</v>
          </cell>
        </row>
      </sheetData>
      <sheetData sheetId="81">
        <row r="9">
          <cell r="P9">
            <v>0</v>
          </cell>
        </row>
      </sheetData>
      <sheetData sheetId="82">
        <row r="57">
          <cell r="P57">
            <v>3556.9998000000001</v>
          </cell>
        </row>
      </sheetData>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NE - UF Empreendimento"/>
      <sheetName val="FNE - Setor"/>
      <sheetName val="FNE - Porte"/>
      <sheetName val="FNE-PRONAF - Programas"/>
      <sheetName val="FNE - Tipo Risco"/>
      <sheetName val="FNE - Nota Risco"/>
      <sheetName val="FNE-PRONAF - UF Empreendimento"/>
      <sheetName val="FNE-PRONAF - Porte"/>
      <sheetName val="FNE-PRONAF - Setor"/>
      <sheetName val="FNE-PRONAF - Tipo Risco"/>
      <sheetName val="FNE-PRONAF - Nota Risco"/>
      <sheetName val="FNE - Movimentação Provisões"/>
      <sheetName val="FNE - Fluxo de Caixa - Prev x R"/>
      <sheetName val="FNE - Fluxo de Caixa 2014-2015"/>
      <sheetName val="FNE - Receitas e Despesas"/>
      <sheetName val="FNE - Mutações do Patrimônio"/>
    </sheetNames>
    <sheetDataSet>
      <sheetData sheetId="0">
        <row r="3">
          <cell r="A3" t="str">
            <v>Posição: 31.12.2015</v>
          </cell>
        </row>
        <row r="18">
          <cell r="B18">
            <v>47861476</v>
          </cell>
          <cell r="C18">
            <v>100</v>
          </cell>
          <cell r="D18">
            <v>1613607</v>
          </cell>
          <cell r="E18">
            <v>3.4000000000000008</v>
          </cell>
          <cell r="F18">
            <v>3.4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1"/>
      <sheetName val="2"/>
      <sheetName val="3"/>
      <sheetName val="4"/>
      <sheetName val="5"/>
      <sheetName val="6"/>
      <sheetName val="6 - EXTRA"/>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QUADRO 1"/>
      <sheetName val="ANEXO IV (FNE + FNE2)"/>
      <sheetName val="ANEXO VI (FNE+FNE-2)"/>
      <sheetName val="ANEXO IX - QUADRO B.4.1"/>
      <sheetName val="ANEXO IX - QUADRO B.4.2"/>
      <sheetName val="ANEXO IX - QUADRO B.4.3"/>
      <sheetName val="Desemb Setor Rural"/>
      <sheetName val="Desemb Setor Demais"/>
      <sheetName val="Desemb Porte Rural"/>
      <sheetName val="Desemb Porte Demais Setores"/>
    </sheetNames>
    <sheetDataSet>
      <sheetData sheetId="0">
        <row r="13">
          <cell r="A13" t="str">
            <v>Exercício de 2015</v>
          </cell>
        </row>
        <row r="14">
          <cell r="A14" t="str">
            <v>Posição: 31.12.2015</v>
          </cell>
        </row>
      </sheetData>
      <sheetData sheetId="1"/>
      <sheetData sheetId="2">
        <row r="18">
          <cell r="C18">
            <v>6394782</v>
          </cell>
        </row>
      </sheetData>
      <sheetData sheetId="3"/>
      <sheetData sheetId="4"/>
      <sheetData sheetId="5"/>
      <sheetData sheetId="6"/>
      <sheetData sheetId="7"/>
      <sheetData sheetId="8"/>
      <sheetData sheetId="9"/>
      <sheetData sheetId="10"/>
      <sheetData sheetId="11"/>
      <sheetData sheetId="12"/>
      <sheetData sheetId="13">
        <row r="13">
          <cell r="B13">
            <v>47861476</v>
          </cell>
          <cell r="D13">
            <v>1613607</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2"/>
      <sheetName val="2A"/>
      <sheetName val="3-PROPOSTAS POR SITUAÇÃO"/>
      <sheetName val="3-PROPOSTAS POR PROGRAMA"/>
      <sheetName val="3-PROPOSTAS POR REGIÃO"/>
      <sheetName val="3-PROPOSTAS POR PORTE"/>
      <sheetName val="PROPOSTAS INDEFERIDAS"/>
      <sheetName val="6"/>
      <sheetName val="7"/>
      <sheetName val="8"/>
      <sheetName val="9"/>
      <sheetName val="10"/>
      <sheetName val="11"/>
      <sheetName val="12"/>
      <sheetName val="13"/>
      <sheetName val="14"/>
      <sheetName val="14A-TURISMO"/>
      <sheetName val="14A-TURISMO-POR ESTADO"/>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5"/>
      <sheetName val="36"/>
      <sheetName val="37"/>
      <sheetName val="38"/>
      <sheetName val="39"/>
      <sheetName val="40"/>
      <sheetName val="41"/>
      <sheetName val="41-PORTE"/>
      <sheetName val="41-SETOR"/>
      <sheetName val="41-REGIÃO"/>
      <sheetName val="41-ESTADO"/>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103"/>
      <sheetName val="1.A"/>
      <sheetName val="2.A"/>
      <sheetName val="3.A"/>
      <sheetName val="5.A"/>
      <sheetName val="6.A"/>
      <sheetName val="13.A"/>
      <sheetName val="13.A-PORTE"/>
      <sheetName val="13.A-ESTADO"/>
      <sheetName val="14.A"/>
      <sheetName val="15.A"/>
      <sheetName val="16.A"/>
      <sheetName val="17.A"/>
      <sheetName val="18.A"/>
      <sheetName val="19.A"/>
      <sheetName val="20.A"/>
      <sheetName val="21.A"/>
      <sheetName val="VALOR &gt; 10 MILHÕES"/>
      <sheetName val="22.A"/>
      <sheetName val="22.A-POR SETOR"/>
      <sheetName val="24.A"/>
      <sheetName val="25.A"/>
      <sheetName val="26.A"/>
      <sheetName val="27.A"/>
      <sheetName val="28.A"/>
      <sheetName val="29.A"/>
      <sheetName val="30.A"/>
      <sheetName val="40.A"/>
      <sheetName val="43.A"/>
      <sheetName val="44.A"/>
    </sheetNames>
    <sheetDataSet>
      <sheetData sheetId="0">
        <row r="22">
          <cell r="A22" t="str">
            <v>Período: 1998 a 31.12.2015</v>
          </cell>
        </row>
      </sheetData>
      <sheetData sheetId="1"/>
      <sheetData sheetId="2">
        <row r="8">
          <cell r="E8">
            <v>47.930000000000007</v>
          </cell>
        </row>
        <row r="16">
          <cell r="E16">
            <v>1.1000000000000001</v>
          </cell>
        </row>
        <row r="22">
          <cell r="E22">
            <v>12.89</v>
          </cell>
        </row>
        <row r="27">
          <cell r="E27">
            <v>4.58</v>
          </cell>
        </row>
        <row r="30">
          <cell r="E30">
            <v>4.25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2A"/>
      <sheetName val="2"/>
      <sheetName val="3-PROPOSTAS POR SITUAÇÃO"/>
      <sheetName val="3-PROPOSTAS POR PROGRAMA"/>
      <sheetName val="3-PROPOSTAS POR REGIÃO"/>
      <sheetName val="3-PROPOSTAS POR PORTE"/>
      <sheetName val="PROPOSTAS INDEFERIDAS"/>
      <sheetName val="6"/>
      <sheetName val="7"/>
      <sheetName val="8"/>
      <sheetName val="9"/>
      <sheetName val="10"/>
      <sheetName val="11"/>
      <sheetName val="12"/>
      <sheetName val="13"/>
      <sheetName val="14"/>
      <sheetName val="14A-TURISMO"/>
      <sheetName val="14A-TURISMO-POR ESTADO"/>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5"/>
      <sheetName val="36"/>
      <sheetName val="37"/>
      <sheetName val="38"/>
      <sheetName val="39"/>
      <sheetName val="40"/>
      <sheetName val="41"/>
      <sheetName val="41-PORTE"/>
      <sheetName val="41-SETOR"/>
      <sheetName val="41-REGIÃO"/>
      <sheetName val="41-ESTADO"/>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103"/>
      <sheetName val="1.A"/>
      <sheetName val="2.A"/>
      <sheetName val="3.A"/>
      <sheetName val="5.A"/>
      <sheetName val="6.A"/>
      <sheetName val="13.A"/>
      <sheetName val="13.A-PORTE"/>
      <sheetName val="13.A-ESTADO"/>
      <sheetName val="14.A"/>
      <sheetName val="15.A"/>
      <sheetName val="16.A"/>
      <sheetName val="17.A"/>
      <sheetName val="18.A"/>
      <sheetName val="19.A"/>
      <sheetName val="20.A"/>
      <sheetName val="21.A"/>
      <sheetName val="VALOR &gt; 10 MILHÕES"/>
      <sheetName val="22.A"/>
      <sheetName val="22.A-POR SETOR"/>
      <sheetName val="24.A"/>
      <sheetName val="25.A"/>
      <sheetName val="26.A"/>
      <sheetName val="27.A"/>
      <sheetName val="28.A"/>
      <sheetName val="29.A"/>
      <sheetName val="30.A"/>
      <sheetName val="40.A"/>
      <sheetName val="43.A"/>
      <sheetName val="44.A"/>
    </sheetNames>
    <sheetDataSet>
      <sheetData sheetId="0">
        <row r="18">
          <cell r="A18" t="str">
            <v>Exercício de 2015</v>
          </cell>
        </row>
      </sheetData>
      <sheetData sheetId="1" refreshError="1"/>
      <sheetData sheetId="2" refreshError="1"/>
      <sheetData sheetId="3">
        <row r="9">
          <cell r="C9">
            <v>19615</v>
          </cell>
        </row>
        <row r="37">
          <cell r="D37">
            <v>11495227</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2A"/>
      <sheetName val="2"/>
      <sheetName val="3-PROPOSTAS POR SITUAÇÃO"/>
      <sheetName val="3-PROPOSTAS POR PROGRAMA"/>
      <sheetName val="3-PROPOSTAS POR REGIÃO"/>
      <sheetName val="3-PROPOSTAS POR PORTE"/>
      <sheetName val="PROPOSTAS INDEFERIDAS"/>
      <sheetName val="6"/>
      <sheetName val="7"/>
      <sheetName val="8"/>
      <sheetName val="9"/>
      <sheetName val="10"/>
      <sheetName val="11"/>
      <sheetName val="12"/>
      <sheetName val="13"/>
      <sheetName val="14"/>
      <sheetName val="14A-TURISMO"/>
      <sheetName val="14A-TURISMO-POR ESTADO"/>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5"/>
      <sheetName val="36"/>
      <sheetName val="37"/>
      <sheetName val="38"/>
      <sheetName val="39"/>
      <sheetName val="40"/>
      <sheetName val="41"/>
      <sheetName val="41-PORTE"/>
      <sheetName val="41-SETOR"/>
      <sheetName val="41-REGIÃO"/>
      <sheetName val="41-ESTADO"/>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103"/>
      <sheetName val="1.A"/>
      <sheetName val="2.A"/>
      <sheetName val="3.A"/>
      <sheetName val="5.A"/>
      <sheetName val="6.A"/>
      <sheetName val="13.A"/>
      <sheetName val="13.A-PORTE"/>
      <sheetName val="13.A-ESTADO"/>
      <sheetName val="14.A"/>
      <sheetName val="15.A"/>
      <sheetName val="16.A"/>
      <sheetName val="17.A"/>
      <sheetName val="18.A"/>
      <sheetName val="19.A"/>
      <sheetName val="20.A"/>
      <sheetName val="21.A"/>
      <sheetName val="VALOR &gt; 10 MILHÕES"/>
      <sheetName val="22.A"/>
      <sheetName val="22.A-POR SETOR"/>
      <sheetName val="24.A"/>
      <sheetName val="25.A"/>
      <sheetName val="26.A"/>
      <sheetName val="27.A"/>
      <sheetName val="28.A"/>
      <sheetName val="29.A"/>
      <sheetName val="30.A"/>
      <sheetName val="40.A"/>
      <sheetName val="43.A"/>
      <sheetName val="44.A"/>
    </sheetNames>
    <sheetDataSet>
      <sheetData sheetId="0">
        <row r="18">
          <cell r="A18" t="str">
            <v>Exercício de 2015</v>
          </cell>
        </row>
      </sheetData>
      <sheetData sheetId="1"/>
      <sheetData sheetId="2"/>
      <sheetData sheetId="3">
        <row r="8">
          <cell r="B8">
            <v>474380</v>
          </cell>
        </row>
        <row r="30">
          <cell r="D30">
            <v>488637</v>
          </cell>
          <cell r="E30">
            <v>4.25</v>
          </cell>
        </row>
        <row r="32">
          <cell r="D32">
            <v>3363181</v>
          </cell>
        </row>
        <row r="37">
          <cell r="B37">
            <v>506117</v>
          </cell>
          <cell r="D37">
            <v>11495228</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7">
          <cell r="B7">
            <v>430740</v>
          </cell>
        </row>
        <row r="8">
          <cell r="B8">
            <v>3211568</v>
          </cell>
        </row>
        <row r="9">
          <cell r="B9">
            <v>1795346</v>
          </cell>
        </row>
        <row r="10">
          <cell r="B10">
            <v>151772</v>
          </cell>
        </row>
        <row r="11">
          <cell r="B11">
            <v>1218330</v>
          </cell>
        </row>
        <row r="12">
          <cell r="B12">
            <v>796851</v>
          </cell>
        </row>
        <row r="13">
          <cell r="B13">
            <v>631454</v>
          </cell>
        </row>
        <row r="14">
          <cell r="B14">
            <v>1229930</v>
          </cell>
        </row>
        <row r="15">
          <cell r="B15">
            <v>1061452</v>
          </cell>
        </row>
        <row r="16">
          <cell r="B16">
            <v>595658</v>
          </cell>
        </row>
        <row r="17">
          <cell r="B17">
            <v>372126</v>
          </cell>
        </row>
      </sheetData>
      <sheetData sheetId="29"/>
      <sheetData sheetId="30">
        <row r="7">
          <cell r="H7">
            <v>430740</v>
          </cell>
        </row>
      </sheetData>
      <sheetData sheetId="31"/>
      <sheetData sheetId="32"/>
      <sheetData sheetId="33"/>
      <sheetData sheetId="34"/>
      <sheetData sheetId="35"/>
      <sheetData sheetId="36"/>
      <sheetData sheetId="37"/>
      <sheetData sheetId="38"/>
      <sheetData sheetId="39"/>
      <sheetData sheetId="40"/>
      <sheetData sheetId="41">
        <row r="17">
          <cell r="B17">
            <v>1990</v>
          </cell>
        </row>
      </sheetData>
      <sheetData sheetId="42">
        <row r="3">
          <cell r="A3" t="str">
            <v>Exercício de 2015</v>
          </cell>
        </row>
      </sheetData>
      <sheetData sheetId="43"/>
      <sheetData sheetId="44"/>
      <sheetData sheetId="45"/>
      <sheetData sheetId="46">
        <row r="7">
          <cell r="N7">
            <v>9457</v>
          </cell>
        </row>
        <row r="11">
          <cell r="C11">
            <v>5510079</v>
          </cell>
          <cell r="E11">
            <v>125400</v>
          </cell>
          <cell r="G11">
            <v>1482069</v>
          </cell>
          <cell r="I11">
            <v>525861</v>
          </cell>
          <cell r="K11">
            <v>488637</v>
          </cell>
          <cell r="M11">
            <v>3363181</v>
          </cell>
          <cell r="O11">
            <v>11495227</v>
          </cell>
        </row>
      </sheetData>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2"/>
      <sheetName val="2A"/>
      <sheetName val="3-PROPOSTAS POR SITUAÇÃO"/>
      <sheetName val="3-PROPOSTAS POR PROGRAMA"/>
      <sheetName val="3-PROPOSTAS POR REGIÃO"/>
      <sheetName val="3-PROPOSTAS POR PORTE"/>
      <sheetName val="PROPOSTAS INDEFERIDAS"/>
      <sheetName val="6"/>
      <sheetName val="7"/>
      <sheetName val="8"/>
      <sheetName val="9"/>
      <sheetName val="10"/>
      <sheetName val="11"/>
      <sheetName val="12"/>
      <sheetName val="13"/>
      <sheetName val="14"/>
      <sheetName val="14A-TURISMO"/>
      <sheetName val="14A-TURISMO-POR ESTADO"/>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5"/>
      <sheetName val="36"/>
      <sheetName val="37"/>
      <sheetName val="38"/>
      <sheetName val="39"/>
      <sheetName val="40"/>
      <sheetName val="41"/>
      <sheetName val="41-PORTE"/>
      <sheetName val="41-SETOR"/>
      <sheetName val="41-REGIÃO"/>
      <sheetName val="41-ESTADO"/>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103"/>
      <sheetName val="1.A"/>
      <sheetName val="2.A"/>
      <sheetName val="3.A"/>
      <sheetName val="5.A"/>
      <sheetName val="6.A"/>
      <sheetName val="13.A"/>
      <sheetName val="13.A-PORTE"/>
      <sheetName val="13.A-ESTADO"/>
      <sheetName val="14.A"/>
      <sheetName val="15.A"/>
      <sheetName val="16.A"/>
      <sheetName val="17.A"/>
      <sheetName val="18.A"/>
      <sheetName val="19.A"/>
      <sheetName val="20.A"/>
      <sheetName val="21.A"/>
      <sheetName val="VALOR &gt; 10 MILHÕES"/>
      <sheetName val="22.A"/>
      <sheetName val="22.A-POR SETOR"/>
      <sheetName val="24.A"/>
      <sheetName val="25.A"/>
      <sheetName val="26.A"/>
      <sheetName val="27.A"/>
      <sheetName val="28.A"/>
      <sheetName val="29.A"/>
      <sheetName val="30.A"/>
      <sheetName val="40.A"/>
      <sheetName val="43.A"/>
      <sheetName val="44.A"/>
    </sheetNames>
    <sheetDataSet>
      <sheetData sheetId="0">
        <row r="18">
          <cell r="A18" t="str">
            <v>Exercício de 2015</v>
          </cell>
        </row>
        <row r="21">
          <cell r="A21" t="str">
            <v>Período: 1989 a 31.12.2015</v>
          </cell>
        </row>
      </sheetData>
      <sheetData sheetId="1"/>
      <sheetData sheetId="2">
        <row r="8">
          <cell r="D8">
            <v>5510079</v>
          </cell>
        </row>
        <row r="32">
          <cell r="B32">
            <v>24399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7">
          <cell r="B7">
            <v>430740</v>
          </cell>
        </row>
      </sheetData>
      <sheetData sheetId="29">
        <row r="18">
          <cell r="B18">
            <v>180404420</v>
          </cell>
        </row>
      </sheetData>
      <sheetData sheetId="30"/>
      <sheetData sheetId="31"/>
      <sheetData sheetId="32"/>
      <sheetData sheetId="33"/>
      <sheetData sheetId="34"/>
      <sheetData sheetId="35">
        <row r="7">
          <cell r="D7">
            <v>4072675</v>
          </cell>
        </row>
      </sheetData>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row r="7">
          <cell r="H7">
            <v>123823</v>
          </cell>
        </row>
      </sheetData>
      <sheetData sheetId="69">
        <row r="7">
          <cell r="H7">
            <v>306917</v>
          </cell>
        </row>
      </sheetData>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2"/>
      <sheetName val="2A"/>
      <sheetName val="3-PROPOSTAS POR SITUAÇÃO"/>
      <sheetName val="3-PROPOSTAS POR PROGRAMA"/>
      <sheetName val="3-PROPOSTAS POR REGIÃO"/>
      <sheetName val="3-PROPOSTAS POR PORTE"/>
      <sheetName val="PROPOSTAS INDEFERIDAS"/>
      <sheetName val="6"/>
      <sheetName val="7"/>
      <sheetName val="8"/>
      <sheetName val="9"/>
      <sheetName val="10"/>
      <sheetName val="11"/>
      <sheetName val="12"/>
      <sheetName val="13"/>
      <sheetName val="14"/>
      <sheetName val="14A-TURISMO"/>
      <sheetName val="14A-TURISMO-POR ESTADO"/>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5"/>
      <sheetName val="36"/>
      <sheetName val="37"/>
      <sheetName val="38"/>
      <sheetName val="39"/>
      <sheetName val="40"/>
      <sheetName val="41"/>
      <sheetName val="41-PORTE"/>
      <sheetName val="41-SETOR"/>
      <sheetName val="41-REGIÃO"/>
      <sheetName val="41-ESTADO"/>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103"/>
      <sheetName val="1.A"/>
      <sheetName val="2.A"/>
      <sheetName val="3.A"/>
      <sheetName val="5.A"/>
      <sheetName val="6.A"/>
      <sheetName val="13.A"/>
      <sheetName val="13.A-PORTE"/>
      <sheetName val="13.A-ESTADO"/>
      <sheetName val="14.A"/>
      <sheetName val="15.A"/>
      <sheetName val="16.A"/>
      <sheetName val="17.A"/>
      <sheetName val="18.A"/>
      <sheetName val="19.A"/>
      <sheetName val="20.A"/>
      <sheetName val="21.A"/>
      <sheetName val="VALOR &gt; 10 MILHÕES"/>
      <sheetName val="22.A"/>
      <sheetName val="22.A-POR SETOR"/>
      <sheetName val="24.A"/>
      <sheetName val="25.A"/>
      <sheetName val="26.A"/>
      <sheetName val="27.A"/>
      <sheetName val="28.A"/>
      <sheetName val="29.A"/>
      <sheetName val="30.A"/>
      <sheetName val="40.A"/>
      <sheetName val="43.A"/>
      <sheetName val="44.A"/>
    </sheetNames>
    <sheetDataSet>
      <sheetData sheetId="0" refreshError="1">
        <row r="18">
          <cell r="A18" t="str">
            <v>Exercício de 2015</v>
          </cell>
        </row>
      </sheetData>
      <sheetData sheetId="1" refreshError="1"/>
      <sheetData sheetId="2" refreshError="1">
        <row r="9">
          <cell r="D9">
            <v>2962251</v>
          </cell>
        </row>
        <row r="37">
          <cell r="D37">
            <v>11495227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Índice"/>
      <sheetName val="2"/>
      <sheetName val="2A"/>
      <sheetName val="3-PROPOSTAS POR SITUAÇÃO"/>
      <sheetName val="3-PROPOSTAS POR PROGRAMA"/>
      <sheetName val="3-PROPOSTAS POR REGIÃO"/>
      <sheetName val="3-PROPOSTAS POR PORTE"/>
      <sheetName val="PROPOSTAS INDEFERIDAS"/>
      <sheetName val="6"/>
      <sheetName val="7"/>
      <sheetName val="8"/>
      <sheetName val="9"/>
      <sheetName val="10"/>
      <sheetName val="10.A"/>
      <sheetName val="11"/>
      <sheetName val="12"/>
      <sheetName val="13"/>
      <sheetName val="14"/>
      <sheetName val="14A-TURISMO"/>
      <sheetName val="14A-TURISMO-POR ESTADO"/>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5"/>
      <sheetName val="36"/>
      <sheetName val="37"/>
      <sheetName val="38"/>
      <sheetName val="39"/>
      <sheetName val="40"/>
      <sheetName val="41"/>
      <sheetName val="41-PORTE"/>
      <sheetName val="41-SETOR"/>
      <sheetName val="41-REGIÃO"/>
      <sheetName val="41-ESTADO"/>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103"/>
      <sheetName val="1.A"/>
      <sheetName val="2.A"/>
      <sheetName val="3.A"/>
      <sheetName val="5.A"/>
      <sheetName val="6.A"/>
      <sheetName val="13.A"/>
      <sheetName val="13.A-PORTE"/>
      <sheetName val="13.A-ESTADO"/>
      <sheetName val="14.A"/>
      <sheetName val="15.A"/>
      <sheetName val="16.A"/>
      <sheetName val="17.A"/>
      <sheetName val="18.A"/>
      <sheetName val="19.A"/>
      <sheetName val="20.A"/>
      <sheetName val="21.A"/>
      <sheetName val="VALOR &gt; 10 MILHÕES"/>
      <sheetName val="22.A"/>
      <sheetName val="22.A-POR SETOR"/>
      <sheetName val="24.A"/>
      <sheetName val="25.A"/>
      <sheetName val="26.A"/>
      <sheetName val="27.A"/>
      <sheetName val="28.A"/>
      <sheetName val="29.A"/>
      <sheetName val="30.A"/>
      <sheetName val="30.A-NOVAS FAIXAS"/>
      <sheetName val="40.A"/>
      <sheetName val="43.A"/>
      <sheetName val="44.A"/>
    </sheetNames>
    <sheetDataSet>
      <sheetData sheetId="0">
        <row r="18">
          <cell r="A18" t="str">
            <v>Exercício de 2015</v>
          </cell>
        </row>
      </sheetData>
      <sheetData sheetId="1"/>
      <sheetData sheetId="2">
        <row r="9">
          <cell r="C9">
            <v>23188</v>
          </cell>
        </row>
        <row r="37">
          <cell r="D37">
            <v>11495227</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11">
          <cell r="B11">
            <v>1218330</v>
          </cell>
        </row>
      </sheetData>
      <sheetData sheetId="30">
        <row r="11">
          <cell r="B11">
            <v>19153660</v>
          </cell>
        </row>
      </sheetData>
      <sheetData sheetId="31"/>
      <sheetData sheetId="32">
        <row r="11">
          <cell r="C11">
            <v>147326</v>
          </cell>
        </row>
      </sheetData>
      <sheetData sheetId="33">
        <row r="11">
          <cell r="B11">
            <v>1218330</v>
          </cell>
        </row>
      </sheetData>
      <sheetData sheetId="34"/>
      <sheetData sheetId="35">
        <row r="7">
          <cell r="B7">
            <v>69040992</v>
          </cell>
        </row>
      </sheetData>
      <sheetData sheetId="36">
        <row r="7">
          <cell r="B7">
            <v>983322</v>
          </cell>
        </row>
      </sheetData>
      <sheetData sheetId="37"/>
      <sheetData sheetId="38"/>
      <sheetData sheetId="39"/>
      <sheetData sheetId="40"/>
      <sheetData sheetId="41">
        <row r="7">
          <cell r="B7">
            <v>2765717</v>
          </cell>
          <cell r="D7">
            <v>14845</v>
          </cell>
          <cell r="F7">
            <v>41170</v>
          </cell>
          <cell r="H7">
            <v>8323</v>
          </cell>
          <cell r="L7">
            <v>256886</v>
          </cell>
        </row>
        <row r="8">
          <cell r="D8">
            <v>14550</v>
          </cell>
          <cell r="F8">
            <v>273050</v>
          </cell>
          <cell r="H8">
            <v>61227</v>
          </cell>
          <cell r="L8">
            <v>1448275</v>
          </cell>
        </row>
      </sheetData>
      <sheetData sheetId="42"/>
      <sheetData sheetId="43"/>
      <sheetData sheetId="44"/>
      <sheetData sheetId="45"/>
      <sheetData sheetId="46">
        <row r="11">
          <cell r="B11">
            <v>483519</v>
          </cell>
          <cell r="C11">
            <v>3086941</v>
          </cell>
          <cell r="D11">
            <v>18858</v>
          </cell>
          <cell r="E11">
            <v>2490928</v>
          </cell>
        </row>
      </sheetData>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Critérios"/>
    </sheetNames>
    <sheetDataSet>
      <sheetData sheetId="0"/>
      <sheetData sheetId="1">
        <row r="3">
          <cell r="A3" t="str">
            <v>Exercício 2015</v>
          </cell>
          <cell r="B3">
            <v>0</v>
          </cell>
          <cell r="C3">
            <v>0</v>
          </cell>
          <cell r="D3">
            <v>0</v>
          </cell>
          <cell r="E3">
            <v>0</v>
          </cell>
          <cell r="F3">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3"/>
  <sheetViews>
    <sheetView windowProtection="1" showGridLines="0" tabSelected="1" zoomScale="75" workbookViewId="0">
      <selection sqref="A1:F1"/>
    </sheetView>
  </sheetViews>
  <sheetFormatPr defaultRowHeight="12.75" x14ac:dyDescent="0.2"/>
  <cols>
    <col min="1" max="1" width="84" customWidth="1"/>
    <col min="2" max="2" width="14.7109375" customWidth="1"/>
    <col min="3" max="3" width="15.140625" customWidth="1"/>
    <col min="4" max="4" width="16.85546875" customWidth="1"/>
    <col min="5" max="5" width="11.42578125" style="44" bestFit="1" customWidth="1"/>
    <col min="6" max="6" width="18.5703125" customWidth="1"/>
    <col min="7" max="7" width="15.7109375" bestFit="1" customWidth="1"/>
    <col min="8" max="8" width="14.7109375" customWidth="1"/>
    <col min="9" max="9" width="12.7109375" bestFit="1" customWidth="1"/>
    <col min="10" max="10" width="11" customWidth="1"/>
    <col min="11" max="11" width="10.42578125" bestFit="1" customWidth="1"/>
  </cols>
  <sheetData>
    <row r="1" spans="1:10" ht="15.75" x14ac:dyDescent="0.2">
      <c r="A1" s="1184" t="s">
        <v>946</v>
      </c>
      <c r="B1" s="1184"/>
      <c r="C1" s="1185"/>
      <c r="D1" s="1185"/>
      <c r="E1" s="1185"/>
      <c r="F1" s="1185"/>
    </row>
    <row r="2" spans="1:10" ht="15" x14ac:dyDescent="0.2">
      <c r="A2" s="1186" t="s">
        <v>0</v>
      </c>
      <c r="B2" s="1186"/>
      <c r="C2" s="1187"/>
      <c r="D2" s="1187"/>
      <c r="E2" s="1187"/>
      <c r="F2" s="1187"/>
    </row>
    <row r="3" spans="1:10" ht="15" x14ac:dyDescent="0.2">
      <c r="A3" s="1188" t="str">
        <f>[1]Dados!A18</f>
        <v>Exercício 2015</v>
      </c>
      <c r="B3" s="1188"/>
      <c r="C3" s="1188"/>
      <c r="D3" s="1188"/>
      <c r="E3" s="1188"/>
      <c r="F3" s="1188"/>
    </row>
    <row r="4" spans="1:10" x14ac:dyDescent="0.2">
      <c r="A4" s="1"/>
      <c r="B4" s="807"/>
      <c r="C4" s="2"/>
      <c r="D4" s="2"/>
      <c r="E4" s="3"/>
      <c r="F4" s="2"/>
    </row>
    <row r="5" spans="1:10" x14ac:dyDescent="0.2">
      <c r="A5" s="1189" t="s">
        <v>1</v>
      </c>
      <c r="B5" s="1189"/>
      <c r="C5" s="1189"/>
      <c r="D5" s="1189"/>
      <c r="E5" s="1189"/>
      <c r="F5" s="1189"/>
      <c r="H5" s="4"/>
      <c r="I5" s="5"/>
    </row>
    <row r="6" spans="1:10" ht="29.25" customHeight="1" x14ac:dyDescent="0.2">
      <c r="A6" s="1190" t="s">
        <v>2</v>
      </c>
      <c r="B6" s="1191" t="s">
        <v>3</v>
      </c>
      <c r="C6" s="1191"/>
      <c r="D6" s="1191"/>
      <c r="E6" s="1191"/>
      <c r="F6" s="1191" t="s">
        <v>4</v>
      </c>
      <c r="G6" s="1176"/>
    </row>
    <row r="7" spans="1:10" ht="34.5" customHeight="1" x14ac:dyDescent="0.2">
      <c r="A7" s="1190"/>
      <c r="B7" s="806" t="s">
        <v>5</v>
      </c>
      <c r="C7" s="806" t="s">
        <v>6</v>
      </c>
      <c r="D7" s="806" t="s">
        <v>7</v>
      </c>
      <c r="E7" s="7" t="s">
        <v>8</v>
      </c>
      <c r="F7" s="1192"/>
      <c r="G7" s="1176"/>
    </row>
    <row r="8" spans="1:10" ht="18" customHeight="1" x14ac:dyDescent="0.2">
      <c r="A8" s="8" t="s">
        <v>9</v>
      </c>
      <c r="B8" s="9">
        <f>SUM(B9:B15)</f>
        <v>474380</v>
      </c>
      <c r="C8" s="9">
        <f>SUM(C9:C15)</f>
        <v>1423526</v>
      </c>
      <c r="D8" s="9">
        <f>SUM(D9:D15)</f>
        <v>5510079</v>
      </c>
      <c r="E8" s="10">
        <f>SUM(E9:E15)</f>
        <v>47.930000000000007</v>
      </c>
      <c r="F8" s="9">
        <f>SUM(F9:F15)</f>
        <v>386188</v>
      </c>
      <c r="G8" s="11"/>
      <c r="H8" s="12"/>
      <c r="I8" s="13"/>
    </row>
    <row r="9" spans="1:10" s="808" customFormat="1" ht="18" customHeight="1" x14ac:dyDescent="0.2">
      <c r="A9" s="14" t="s">
        <v>10</v>
      </c>
      <c r="B9" s="15">
        <v>8019</v>
      </c>
      <c r="C9" s="15">
        <v>24434</v>
      </c>
      <c r="D9" s="15">
        <v>2962251</v>
      </c>
      <c r="E9" s="16">
        <f t="shared" ref="E9:E15" si="0">ROUND(D9/$D$37*100,2)</f>
        <v>25.77</v>
      </c>
      <c r="F9" s="15">
        <f>6872+5668+837+9710+11+151276</f>
        <v>174374</v>
      </c>
      <c r="G9" s="11"/>
      <c r="H9" s="12"/>
    </row>
    <row r="10" spans="1:10" s="805" customFormat="1" ht="18" customHeight="1" x14ac:dyDescent="0.2">
      <c r="A10" s="14" t="s">
        <v>11</v>
      </c>
      <c r="B10" s="15">
        <v>4491</v>
      </c>
      <c r="C10" s="15">
        <f>3+1854+11616</f>
        <v>13473</v>
      </c>
      <c r="D10" s="15">
        <v>101488</v>
      </c>
      <c r="E10" s="16">
        <f t="shared" si="0"/>
        <v>0.88</v>
      </c>
      <c r="F10" s="15">
        <f>1696+2876</f>
        <v>4572</v>
      </c>
      <c r="G10" s="18"/>
      <c r="H10" s="18"/>
      <c r="I10" s="19"/>
    </row>
    <row r="11" spans="1:10" s="805" customFormat="1" ht="18" customHeight="1" x14ac:dyDescent="0.2">
      <c r="A11" s="14" t="s">
        <v>12</v>
      </c>
      <c r="B11" s="15">
        <f>49+40495+22089+31+138729+233431</f>
        <v>434824</v>
      </c>
      <c r="C11" s="15">
        <f>240+537672+766560</f>
        <v>1304472</v>
      </c>
      <c r="D11" s="15">
        <v>1690605</v>
      </c>
      <c r="E11" s="16">
        <f t="shared" si="0"/>
        <v>14.71</v>
      </c>
      <c r="F11" s="15">
        <f>70+10745+14810</f>
        <v>25625</v>
      </c>
      <c r="G11" s="20"/>
      <c r="H11" s="21"/>
      <c r="I11" s="22"/>
      <c r="J11" s="23"/>
    </row>
    <row r="12" spans="1:10" s="805" customFormat="1" ht="18" customHeight="1" x14ac:dyDescent="0.2">
      <c r="A12" s="14" t="s">
        <v>13</v>
      </c>
      <c r="B12" s="15">
        <v>26709</v>
      </c>
      <c r="C12" s="15">
        <v>80127</v>
      </c>
      <c r="D12" s="15">
        <v>529031</v>
      </c>
      <c r="E12" s="16">
        <f t="shared" si="0"/>
        <v>4.5999999999999996</v>
      </c>
      <c r="F12" s="15">
        <f>48324-F11-F10</f>
        <v>18127</v>
      </c>
      <c r="G12" s="18"/>
      <c r="H12" s="21"/>
      <c r="I12" s="22"/>
    </row>
    <row r="13" spans="1:10" s="805" customFormat="1" ht="18" customHeight="1" x14ac:dyDescent="0.2">
      <c r="A13" s="14" t="s">
        <v>14</v>
      </c>
      <c r="B13" s="15">
        <v>55</v>
      </c>
      <c r="C13" s="15">
        <v>162</v>
      </c>
      <c r="D13" s="15">
        <v>31205</v>
      </c>
      <c r="E13" s="16">
        <f t="shared" si="0"/>
        <v>0.27</v>
      </c>
      <c r="F13" s="15">
        <v>8500</v>
      </c>
      <c r="G13" s="18"/>
      <c r="H13" s="21"/>
      <c r="I13" s="22"/>
    </row>
    <row r="14" spans="1:10" s="805" customFormat="1" ht="18" customHeight="1" x14ac:dyDescent="0.2">
      <c r="A14" s="24" t="s">
        <v>15</v>
      </c>
      <c r="B14" s="15">
        <v>41</v>
      </c>
      <c r="C14" s="15">
        <f>3+117+3</f>
        <v>123</v>
      </c>
      <c r="D14" s="15">
        <v>35370</v>
      </c>
      <c r="E14" s="16">
        <f t="shared" si="0"/>
        <v>0.31</v>
      </c>
      <c r="F14" s="15">
        <v>61498</v>
      </c>
      <c r="G14" s="25"/>
      <c r="H14" s="21"/>
      <c r="I14" s="22"/>
    </row>
    <row r="15" spans="1:10" s="805" customFormat="1" ht="19.5" customHeight="1" x14ac:dyDescent="0.2">
      <c r="A15" s="14" t="s">
        <v>16</v>
      </c>
      <c r="B15" s="15">
        <v>241</v>
      </c>
      <c r="C15" s="15">
        <v>735</v>
      </c>
      <c r="D15" s="15">
        <v>160129</v>
      </c>
      <c r="E15" s="16">
        <f t="shared" si="0"/>
        <v>1.39</v>
      </c>
      <c r="F15" s="15">
        <f>1614+91878</f>
        <v>93492</v>
      </c>
      <c r="G15" s="25"/>
      <c r="H15" s="21"/>
      <c r="I15" s="22"/>
    </row>
    <row r="16" spans="1:10" s="808" customFormat="1" ht="18" customHeight="1" x14ac:dyDescent="0.2">
      <c r="A16" s="26" t="s">
        <v>17</v>
      </c>
      <c r="B16" s="27">
        <f>SUM(B17:B21)</f>
        <v>3541</v>
      </c>
      <c r="C16" s="27">
        <f>SUM(C17:C21)</f>
        <v>10582</v>
      </c>
      <c r="D16" s="27">
        <f>SUM(D17:D21)</f>
        <v>125400</v>
      </c>
      <c r="E16" s="28">
        <f>SUM(E17:E21)</f>
        <v>1.1000000000000001</v>
      </c>
      <c r="F16" s="27">
        <f>SUM(F17:F21)</f>
        <v>28864</v>
      </c>
      <c r="G16" s="11"/>
      <c r="H16" s="25"/>
      <c r="I16" s="29"/>
    </row>
    <row r="17" spans="1:9" s="808" customFormat="1" ht="18" customHeight="1" x14ac:dyDescent="0.2">
      <c r="A17" s="14" t="s">
        <v>18</v>
      </c>
      <c r="B17" s="15">
        <v>53</v>
      </c>
      <c r="C17" s="15">
        <f>138+3</f>
        <v>141</v>
      </c>
      <c r="D17" s="15">
        <v>78093</v>
      </c>
      <c r="E17" s="30">
        <f>ROUND(D17/$D$37*100,1)</f>
        <v>0.7</v>
      </c>
      <c r="F17" s="15">
        <v>28400</v>
      </c>
      <c r="G17" s="25"/>
      <c r="H17" s="21"/>
      <c r="I17" s="29"/>
    </row>
    <row r="18" spans="1:9" s="808" customFormat="1" ht="18" customHeight="1" x14ac:dyDescent="0.2">
      <c r="A18" s="14" t="s">
        <v>19</v>
      </c>
      <c r="B18" s="15">
        <v>99</v>
      </c>
      <c r="C18" s="15">
        <v>279</v>
      </c>
      <c r="D18" s="15">
        <v>14982</v>
      </c>
      <c r="E18" s="30">
        <f>ROUND(D18/$D$37*100,1)</f>
        <v>0.1</v>
      </c>
      <c r="F18" s="15">
        <v>464</v>
      </c>
      <c r="G18" s="25"/>
      <c r="H18" s="21"/>
      <c r="I18" s="29"/>
    </row>
    <row r="19" spans="1:9" s="808" customFormat="1" ht="18" customHeight="1" x14ac:dyDescent="0.2">
      <c r="A19" s="24" t="s">
        <v>10</v>
      </c>
      <c r="B19" s="15">
        <v>8</v>
      </c>
      <c r="C19" s="15">
        <v>19</v>
      </c>
      <c r="D19" s="15">
        <v>18114</v>
      </c>
      <c r="E19" s="30">
        <f>ROUND(D19/$D$37*100,1)</f>
        <v>0.2</v>
      </c>
      <c r="F19" s="15">
        <v>0</v>
      </c>
      <c r="G19" s="25"/>
      <c r="H19" s="21"/>
      <c r="I19" s="29"/>
    </row>
    <row r="20" spans="1:9" s="808" customFormat="1" ht="18" customHeight="1" x14ac:dyDescent="0.2">
      <c r="A20" s="14" t="s">
        <v>12</v>
      </c>
      <c r="B20" s="15">
        <f>2282+1037</f>
        <v>3319</v>
      </c>
      <c r="C20" s="15">
        <f>6846+3111</f>
        <v>9957</v>
      </c>
      <c r="D20" s="15">
        <v>12852</v>
      </c>
      <c r="E20" s="30">
        <f>ROUND(D20/$D$37*100,1)</f>
        <v>0.1</v>
      </c>
      <c r="F20" s="15">
        <v>0</v>
      </c>
      <c r="G20" s="25"/>
      <c r="H20" s="21"/>
      <c r="I20" s="29"/>
    </row>
    <row r="21" spans="1:9" s="808" customFormat="1" ht="18" customHeight="1" x14ac:dyDescent="0.2">
      <c r="A21" s="14" t="s">
        <v>13</v>
      </c>
      <c r="B21" s="15">
        <f>3381-B20</f>
        <v>62</v>
      </c>
      <c r="C21" s="15">
        <v>186</v>
      </c>
      <c r="D21" s="15">
        <v>1359</v>
      </c>
      <c r="E21" s="30">
        <f>ROUND(D21/$D$37*100,1)</f>
        <v>0</v>
      </c>
      <c r="F21" s="15">
        <v>0</v>
      </c>
      <c r="G21" s="25"/>
      <c r="H21" s="21"/>
      <c r="I21" s="29"/>
    </row>
    <row r="22" spans="1:9" s="808" customFormat="1" ht="18" customHeight="1" x14ac:dyDescent="0.2">
      <c r="A22" s="26" t="s">
        <v>20</v>
      </c>
      <c r="B22" s="27">
        <f>SUM(B23:B26)</f>
        <v>3213</v>
      </c>
      <c r="C22" s="27">
        <f>SUM(C23:C26)</f>
        <v>3213</v>
      </c>
      <c r="D22" s="27">
        <f>SUM(D23:D26)</f>
        <v>1482070</v>
      </c>
      <c r="E22" s="31">
        <f>SUM(E23:E26)</f>
        <v>12.89</v>
      </c>
      <c r="F22" s="27">
        <f>SUM(F23:F26)</f>
        <v>559532</v>
      </c>
      <c r="G22" s="11"/>
      <c r="H22" s="25"/>
      <c r="I22" s="29"/>
    </row>
    <row r="23" spans="1:9" s="808" customFormat="1" ht="18" customHeight="1" x14ac:dyDescent="0.2">
      <c r="A23" s="24" t="s">
        <v>21</v>
      </c>
      <c r="B23" s="15">
        <f>607+91</f>
        <v>698</v>
      </c>
      <c r="C23" s="15">
        <f>607+91</f>
        <v>698</v>
      </c>
      <c r="D23" s="15">
        <f>854094+1123</f>
        <v>855217</v>
      </c>
      <c r="E23" s="16">
        <f>ROUND(D23/$D$37*100,2)</f>
        <v>7.44</v>
      </c>
      <c r="F23" s="15">
        <f>467381+23</f>
        <v>467404</v>
      </c>
      <c r="G23" s="32"/>
      <c r="H23" s="21"/>
      <c r="I23" s="29"/>
    </row>
    <row r="24" spans="1:9" s="808" customFormat="1" ht="18" customHeight="1" x14ac:dyDescent="0.2">
      <c r="A24" s="14" t="s">
        <v>19</v>
      </c>
      <c r="B24" s="15">
        <v>2507</v>
      </c>
      <c r="C24" s="15">
        <v>2507</v>
      </c>
      <c r="D24" s="15">
        <v>293331</v>
      </c>
      <c r="E24" s="16">
        <f>ROUND(D24/$D$37*100,2)</f>
        <v>2.5499999999999998</v>
      </c>
      <c r="F24" s="15">
        <v>12127</v>
      </c>
      <c r="G24" s="32"/>
      <c r="H24" s="21"/>
      <c r="I24" s="29"/>
    </row>
    <row r="25" spans="1:9" s="808" customFormat="1" ht="18" customHeight="1" x14ac:dyDescent="0.2">
      <c r="A25" s="24" t="s">
        <v>22</v>
      </c>
      <c r="B25" s="15">
        <v>6</v>
      </c>
      <c r="C25" s="15">
        <v>6</v>
      </c>
      <c r="D25" s="15">
        <v>331800</v>
      </c>
      <c r="E25" s="16">
        <f>ROUND(D25/$D$37*100,2)</f>
        <v>2.89</v>
      </c>
      <c r="F25" s="15">
        <v>30345</v>
      </c>
      <c r="G25" s="32"/>
      <c r="H25" s="29"/>
      <c r="I25" s="29"/>
    </row>
    <row r="26" spans="1:9" s="808" customFormat="1" ht="18" customHeight="1" x14ac:dyDescent="0.2">
      <c r="A26" s="24" t="s">
        <v>15</v>
      </c>
      <c r="B26" s="15">
        <v>2</v>
      </c>
      <c r="C26" s="15">
        <v>2</v>
      </c>
      <c r="D26" s="15">
        <v>1722</v>
      </c>
      <c r="E26" s="16">
        <f>ROUND(D26/$D$37*100,2)</f>
        <v>0.01</v>
      </c>
      <c r="F26" s="15">
        <v>49656</v>
      </c>
      <c r="G26" s="32"/>
      <c r="H26" s="29"/>
      <c r="I26" s="29"/>
    </row>
    <row r="27" spans="1:9" s="808" customFormat="1" ht="18" customHeight="1" x14ac:dyDescent="0.2">
      <c r="A27" s="26" t="s">
        <v>23</v>
      </c>
      <c r="B27" s="27">
        <f>SUM(B28:B29)</f>
        <v>578</v>
      </c>
      <c r="C27" s="27">
        <f>SUM(C28:C29)</f>
        <v>578</v>
      </c>
      <c r="D27" s="27">
        <f>SUM(D28:D29)</f>
        <v>525861</v>
      </c>
      <c r="E27" s="31">
        <f>SUM(E28:E29)</f>
        <v>4.58</v>
      </c>
      <c r="F27" s="27">
        <f>SUM(F28:F29)</f>
        <v>199989</v>
      </c>
      <c r="G27" s="33"/>
      <c r="H27" s="29"/>
      <c r="I27" s="29"/>
    </row>
    <row r="28" spans="1:9" s="808" customFormat="1" ht="18" customHeight="1" x14ac:dyDescent="0.2">
      <c r="A28" s="24" t="s">
        <v>24</v>
      </c>
      <c r="B28" s="15">
        <v>73</v>
      </c>
      <c r="C28" s="15">
        <f>44+29</f>
        <v>73</v>
      </c>
      <c r="D28" s="15">
        <v>458565</v>
      </c>
      <c r="E28" s="16">
        <f>ROUND(D28/$D$37*100,2)</f>
        <v>3.99</v>
      </c>
      <c r="F28" s="15">
        <f>194952+8</f>
        <v>194960</v>
      </c>
      <c r="G28" s="32"/>
      <c r="H28" s="29"/>
      <c r="I28" s="29"/>
    </row>
    <row r="29" spans="1:9" s="808" customFormat="1" ht="18" customHeight="1" x14ac:dyDescent="0.2">
      <c r="A29" s="14" t="s">
        <v>19</v>
      </c>
      <c r="B29" s="15">
        <v>505</v>
      </c>
      <c r="C29" s="15">
        <v>505</v>
      </c>
      <c r="D29" s="15">
        <v>67296</v>
      </c>
      <c r="E29" s="16">
        <f>ROUND(D29/$D$37*100,2)</f>
        <v>0.59</v>
      </c>
      <c r="F29" s="15">
        <v>5029</v>
      </c>
      <c r="G29" s="32"/>
      <c r="H29" s="29"/>
      <c r="I29" s="29"/>
    </row>
    <row r="30" spans="1:9" s="808" customFormat="1" ht="18" customHeight="1" x14ac:dyDescent="0.2">
      <c r="A30" s="26" t="s">
        <v>25</v>
      </c>
      <c r="B30" s="27">
        <f>SUM(B31:B31)</f>
        <v>6</v>
      </c>
      <c r="C30" s="27">
        <f>SUM(C31:C31)</f>
        <v>6</v>
      </c>
      <c r="D30" s="27">
        <f>SUM(D31:D31)</f>
        <v>488637</v>
      </c>
      <c r="E30" s="31">
        <f>SUM(E31)</f>
        <v>4.25</v>
      </c>
      <c r="F30" s="27">
        <f>SUM(F31:F31)</f>
        <v>49409</v>
      </c>
      <c r="G30" s="11"/>
      <c r="H30" s="25"/>
      <c r="I30" s="29"/>
    </row>
    <row r="31" spans="1:9" s="808" customFormat="1" ht="18" customHeight="1" x14ac:dyDescent="0.2">
      <c r="A31" s="14" t="s">
        <v>26</v>
      </c>
      <c r="B31" s="15">
        <v>6</v>
      </c>
      <c r="C31" s="15">
        <v>6</v>
      </c>
      <c r="D31" s="15">
        <v>488637</v>
      </c>
      <c r="E31" s="16">
        <f>ROUND(D31/$D$37*100,2)</f>
        <v>4.25</v>
      </c>
      <c r="F31" s="15">
        <v>49409</v>
      </c>
      <c r="G31" s="34"/>
      <c r="H31" s="35"/>
      <c r="I31" s="29"/>
    </row>
    <row r="32" spans="1:9" s="808" customFormat="1" ht="18" customHeight="1" x14ac:dyDescent="0.2">
      <c r="A32" s="26" t="s">
        <v>27</v>
      </c>
      <c r="B32" s="27">
        <f>SUM(B33:B36)</f>
        <v>24399</v>
      </c>
      <c r="C32" s="27">
        <f>SUM(C33:C36)</f>
        <v>24497</v>
      </c>
      <c r="D32" s="27">
        <f>SUM(D33:D36)</f>
        <v>3363180</v>
      </c>
      <c r="E32" s="31">
        <f>SUM(E33:E36)</f>
        <v>29.26</v>
      </c>
      <c r="F32" s="27">
        <f>SUM(F33:F36)</f>
        <v>167861</v>
      </c>
      <c r="G32" s="11"/>
      <c r="H32" s="36"/>
      <c r="I32" s="29"/>
    </row>
    <row r="33" spans="1:9" s="808" customFormat="1" ht="18" customHeight="1" x14ac:dyDescent="0.2">
      <c r="A33" s="14" t="s">
        <v>28</v>
      </c>
      <c r="B33" s="15">
        <v>3479</v>
      </c>
      <c r="C33" s="15">
        <f>2075+770+314+320</f>
        <v>3479</v>
      </c>
      <c r="D33" s="15">
        <v>1661927</v>
      </c>
      <c r="E33" s="16">
        <f>ROUND(D33/$D$37*100,2)</f>
        <v>14.46</v>
      </c>
      <c r="F33" s="15">
        <f>46983+60997+228+87</f>
        <v>108295</v>
      </c>
      <c r="G33" s="34"/>
      <c r="H33" s="805"/>
      <c r="I33" s="22"/>
    </row>
    <row r="34" spans="1:9" s="808" customFormat="1" ht="18" customHeight="1" x14ac:dyDescent="0.2">
      <c r="A34" s="24" t="s">
        <v>15</v>
      </c>
      <c r="B34" s="15">
        <v>9</v>
      </c>
      <c r="C34" s="15">
        <f>4+5</f>
        <v>9</v>
      </c>
      <c r="D34" s="15">
        <v>1805</v>
      </c>
      <c r="E34" s="16">
        <f>ROUND(D34/$D$37*100,2)</f>
        <v>0.02</v>
      </c>
      <c r="F34" s="15">
        <v>0</v>
      </c>
      <c r="G34" s="34"/>
      <c r="H34" s="805"/>
      <c r="I34" s="22"/>
    </row>
    <row r="35" spans="1:9" s="808" customFormat="1" ht="18" customHeight="1" x14ac:dyDescent="0.2">
      <c r="A35" s="24" t="s">
        <v>22</v>
      </c>
      <c r="B35" s="15">
        <v>8</v>
      </c>
      <c r="C35" s="15">
        <f>8</f>
        <v>8</v>
      </c>
      <c r="D35" s="15">
        <v>15257</v>
      </c>
      <c r="E35" s="16">
        <f>ROUND(D35/$D$37*100,2)</f>
        <v>0.13</v>
      </c>
      <c r="F35" s="15">
        <v>0</v>
      </c>
      <c r="G35" s="34"/>
      <c r="H35" s="805"/>
      <c r="I35" s="805"/>
    </row>
    <row r="36" spans="1:9" s="808" customFormat="1" ht="18" customHeight="1" x14ac:dyDescent="0.2">
      <c r="A36" s="14" t="s">
        <v>19</v>
      </c>
      <c r="B36" s="15">
        <v>20903</v>
      </c>
      <c r="C36" s="15">
        <f>17753+3248</f>
        <v>21001</v>
      </c>
      <c r="D36" s="15">
        <v>1684191</v>
      </c>
      <c r="E36" s="16">
        <f>ROUND(D36/$D$37*100,2)</f>
        <v>14.65</v>
      </c>
      <c r="F36" s="15">
        <f>40209+19357</f>
        <v>59566</v>
      </c>
      <c r="G36" s="34"/>
      <c r="H36" s="805"/>
      <c r="I36" s="805"/>
    </row>
    <row r="37" spans="1:9" ht="36" customHeight="1" x14ac:dyDescent="0.2">
      <c r="A37" s="806" t="s">
        <v>29</v>
      </c>
      <c r="B37" s="37">
        <f>+B8+B16+B30+B22+B32+B27</f>
        <v>506117</v>
      </c>
      <c r="C37" s="37">
        <f>+C8+C16+C30+C22+C32+C27</f>
        <v>1462402</v>
      </c>
      <c r="D37" s="37">
        <f>+D8+D16+D30+D22+D32+D27</f>
        <v>11495227</v>
      </c>
      <c r="E37" s="38">
        <f>+E8+E16+E30+E22+E32+E27</f>
        <v>100.01000000000002</v>
      </c>
      <c r="F37" s="37">
        <f>+F8+F16+F30+F22+F32+F27</f>
        <v>1391843</v>
      </c>
      <c r="G37" s="39"/>
      <c r="H37" s="40"/>
    </row>
    <row r="38" spans="1:9" ht="18" customHeight="1" x14ac:dyDescent="0.2">
      <c r="A38" s="1177" t="s">
        <v>30</v>
      </c>
      <c r="B38" s="1177"/>
      <c r="C38" s="1178"/>
      <c r="D38" s="1178"/>
      <c r="E38" s="1178"/>
      <c r="F38" s="1178"/>
      <c r="G38" s="40"/>
    </row>
    <row r="39" spans="1:9" ht="30" customHeight="1" x14ac:dyDescent="0.2">
      <c r="A39" s="1179" t="s">
        <v>31</v>
      </c>
      <c r="B39" s="1180"/>
      <c r="C39" s="1181"/>
      <c r="D39" s="1181"/>
      <c r="E39" s="1181"/>
      <c r="F39" s="1181"/>
    </row>
    <row r="40" spans="1:9" x14ac:dyDescent="0.2">
      <c r="A40" s="1182"/>
      <c r="B40" s="1182"/>
      <c r="C40" s="1183"/>
      <c r="D40" s="1183"/>
      <c r="E40" s="1183"/>
      <c r="F40" s="1183"/>
      <c r="G40" s="41"/>
    </row>
    <row r="41" spans="1:9" x14ac:dyDescent="0.2">
      <c r="A41" s="42"/>
      <c r="B41" s="4"/>
      <c r="C41" s="43"/>
      <c r="D41" s="43"/>
      <c r="F41" s="41"/>
      <c r="G41" s="41"/>
    </row>
    <row r="42" spans="1:9" x14ac:dyDescent="0.2">
      <c r="B42" s="45"/>
      <c r="D42" s="46"/>
      <c r="F42" s="47"/>
      <c r="G42" s="41"/>
    </row>
    <row r="43" spans="1:9" ht="15" x14ac:dyDescent="0.25">
      <c r="A43" s="48"/>
      <c r="B43" s="48"/>
      <c r="D43" s="47"/>
      <c r="E43" s="49"/>
      <c r="F43" s="47"/>
      <c r="G43" s="41"/>
    </row>
    <row r="44" spans="1:9" x14ac:dyDescent="0.2">
      <c r="A44" s="50"/>
      <c r="B44" s="50"/>
      <c r="G44" s="41"/>
    </row>
    <row r="45" spans="1:9" x14ac:dyDescent="0.2">
      <c r="G45" s="41"/>
    </row>
    <row r="46" spans="1:9" x14ac:dyDescent="0.2">
      <c r="G46" s="41"/>
    </row>
    <row r="47" spans="1:9" x14ac:dyDescent="0.2">
      <c r="G47" s="41"/>
    </row>
    <row r="48" spans="1:9" x14ac:dyDescent="0.2">
      <c r="G48" s="41"/>
    </row>
    <row r="49" spans="4:7" x14ac:dyDescent="0.2">
      <c r="D49" s="51"/>
      <c r="G49" s="41"/>
    </row>
    <row r="50" spans="4:7" x14ac:dyDescent="0.2">
      <c r="G50" s="41"/>
    </row>
    <row r="51" spans="4:7" x14ac:dyDescent="0.2">
      <c r="G51" s="41"/>
    </row>
    <row r="52" spans="4:7" x14ac:dyDescent="0.2">
      <c r="G52" s="41"/>
    </row>
    <row r="53" spans="4:7" x14ac:dyDescent="0.2">
      <c r="G53" s="41"/>
    </row>
  </sheetData>
  <sheetProtection password="9C8D" sheet="1" objects="1" scenarios="1"/>
  <mergeCells count="11">
    <mergeCell ref="G6:G7"/>
    <mergeCell ref="A38:F38"/>
    <mergeCell ref="A39:F39"/>
    <mergeCell ref="A40:F40"/>
    <mergeCell ref="A1:F1"/>
    <mergeCell ref="A2:F2"/>
    <mergeCell ref="A3:F3"/>
    <mergeCell ref="A5:F5"/>
    <mergeCell ref="A6:A7"/>
    <mergeCell ref="B6:E6"/>
    <mergeCell ref="F6:F7"/>
  </mergeCells>
  <pageMargins left="0.78740157499999996" right="0.78740157499999996" top="0.66" bottom="0.56000000000000005" header="0.49212598499999999" footer="0.49212598499999999"/>
  <pageSetup paperSize="9" scale="6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indowProtection="1" showGridLines="0" workbookViewId="0">
      <selection activeCell="D6" sqref="D6"/>
    </sheetView>
  </sheetViews>
  <sheetFormatPr defaultRowHeight="12.75" x14ac:dyDescent="0.2"/>
  <cols>
    <col min="1" max="1" width="29.85546875" style="110" customWidth="1"/>
    <col min="2" max="2" width="21" style="110" customWidth="1"/>
    <col min="3" max="3" width="12.5703125" style="110" customWidth="1"/>
    <col min="4" max="4" width="14" style="110" bestFit="1" customWidth="1"/>
    <col min="5" max="16384" width="9.140625" style="110"/>
  </cols>
  <sheetData>
    <row r="1" spans="1:5" ht="15.75" x14ac:dyDescent="0.2">
      <c r="A1" s="1219" t="s">
        <v>85</v>
      </c>
      <c r="B1" s="1219"/>
      <c r="C1" s="1219"/>
    </row>
    <row r="2" spans="1:5" ht="18" x14ac:dyDescent="0.2">
      <c r="A2" s="1220" t="s">
        <v>86</v>
      </c>
      <c r="B2" s="1220"/>
      <c r="C2" s="1220"/>
    </row>
    <row r="3" spans="1:5" ht="15" x14ac:dyDescent="0.2">
      <c r="A3" s="1221" t="str">
        <f>[4]Dados!A18</f>
        <v>Exercício de 2015</v>
      </c>
      <c r="B3" s="1221"/>
      <c r="C3" s="1221"/>
    </row>
    <row r="4" spans="1:5" ht="15" x14ac:dyDescent="0.2">
      <c r="A4" s="111"/>
      <c r="B4" s="111"/>
      <c r="C4" s="111"/>
    </row>
    <row r="5" spans="1:5" x14ac:dyDescent="0.2">
      <c r="A5" s="1222" t="s">
        <v>1</v>
      </c>
      <c r="B5" s="1222"/>
      <c r="C5" s="1222"/>
    </row>
    <row r="6" spans="1:5" ht="36" customHeight="1" x14ac:dyDescent="0.2">
      <c r="A6" s="6" t="s">
        <v>87</v>
      </c>
      <c r="B6" s="6" t="s">
        <v>7</v>
      </c>
      <c r="C6" s="6" t="s">
        <v>8</v>
      </c>
      <c r="D6" s="58"/>
      <c r="E6" s="112"/>
    </row>
    <row r="7" spans="1:5" ht="15" customHeight="1" x14ac:dyDescent="0.2">
      <c r="A7" s="113" t="s">
        <v>88</v>
      </c>
      <c r="B7" s="114">
        <v>26442</v>
      </c>
      <c r="C7" s="115">
        <f>IF($B$18=0,0,ROUND(B7/$B$18*100,1))</f>
        <v>21.1</v>
      </c>
      <c r="D7" s="116"/>
      <c r="E7" s="117"/>
    </row>
    <row r="8" spans="1:5" ht="15" customHeight="1" x14ac:dyDescent="0.2">
      <c r="A8" s="113" t="s">
        <v>89</v>
      </c>
      <c r="B8" s="118">
        <v>16243</v>
      </c>
      <c r="C8" s="115">
        <f t="shared" ref="C8:C17" si="0">IF($B$18=0,0,ROUND(B8/$B$18*100,1))</f>
        <v>13</v>
      </c>
      <c r="D8" s="116"/>
      <c r="E8" s="117"/>
    </row>
    <row r="9" spans="1:5" ht="15" customHeight="1" x14ac:dyDescent="0.2">
      <c r="A9" s="113" t="s">
        <v>90</v>
      </c>
      <c r="B9" s="118">
        <v>9529</v>
      </c>
      <c r="C9" s="119">
        <f>IF($B$18=0,0,ROUND(B9/$B$18*100,1))-0.1</f>
        <v>7.5</v>
      </c>
      <c r="D9" s="116"/>
      <c r="E9" s="117"/>
    </row>
    <row r="10" spans="1:5" ht="15" customHeight="1" x14ac:dyDescent="0.2">
      <c r="A10" s="113" t="s">
        <v>91</v>
      </c>
      <c r="B10" s="118">
        <v>22438</v>
      </c>
      <c r="C10" s="115">
        <f t="shared" si="0"/>
        <v>17.899999999999999</v>
      </c>
      <c r="D10" s="116"/>
      <c r="E10" s="117"/>
    </row>
    <row r="11" spans="1:5" ht="15" customHeight="1" x14ac:dyDescent="0.2">
      <c r="A11" s="113" t="s">
        <v>92</v>
      </c>
      <c r="B11" s="118">
        <v>3221</v>
      </c>
      <c r="C11" s="115">
        <f t="shared" si="0"/>
        <v>2.6</v>
      </c>
      <c r="D11" s="116"/>
      <c r="E11" s="117"/>
    </row>
    <row r="12" spans="1:5" ht="15" customHeight="1" x14ac:dyDescent="0.2">
      <c r="A12" s="113" t="s">
        <v>93</v>
      </c>
      <c r="B12" s="118">
        <v>2365</v>
      </c>
      <c r="C12" s="115">
        <f t="shared" si="0"/>
        <v>1.9</v>
      </c>
      <c r="D12" s="116"/>
      <c r="E12" s="117"/>
    </row>
    <row r="13" spans="1:5" ht="15" customHeight="1" x14ac:dyDescent="0.2">
      <c r="A13" s="113" t="s">
        <v>94</v>
      </c>
      <c r="B13" s="114">
        <v>3225</v>
      </c>
      <c r="C13" s="115">
        <f t="shared" si="0"/>
        <v>2.6</v>
      </c>
      <c r="D13" s="116"/>
      <c r="E13" s="117"/>
    </row>
    <row r="14" spans="1:5" ht="15" customHeight="1" x14ac:dyDescent="0.2">
      <c r="A14" s="113" t="s">
        <v>95</v>
      </c>
      <c r="B14" s="114">
        <v>25127</v>
      </c>
      <c r="C14" s="115">
        <f t="shared" si="0"/>
        <v>20</v>
      </c>
      <c r="D14" s="116"/>
      <c r="E14" s="117"/>
    </row>
    <row r="15" spans="1:5" ht="15" customHeight="1" x14ac:dyDescent="0.2">
      <c r="A15" s="113" t="s">
        <v>96</v>
      </c>
      <c r="B15" s="114">
        <v>8741</v>
      </c>
      <c r="C15" s="115">
        <f t="shared" si="0"/>
        <v>7</v>
      </c>
      <c r="D15" s="116"/>
      <c r="E15" s="117"/>
    </row>
    <row r="16" spans="1:5" ht="15" customHeight="1" x14ac:dyDescent="0.2">
      <c r="A16" s="113" t="s">
        <v>97</v>
      </c>
      <c r="B16" s="118">
        <v>6198</v>
      </c>
      <c r="C16" s="115">
        <f t="shared" si="0"/>
        <v>4.9000000000000004</v>
      </c>
      <c r="D16" s="116"/>
      <c r="E16" s="117"/>
    </row>
    <row r="17" spans="1:5" ht="15" customHeight="1" x14ac:dyDescent="0.2">
      <c r="A17" s="113" t="s">
        <v>98</v>
      </c>
      <c r="B17" s="114">
        <v>1871</v>
      </c>
      <c r="C17" s="115">
        <f t="shared" si="0"/>
        <v>1.5</v>
      </c>
      <c r="D17" s="116"/>
      <c r="E17" s="117"/>
    </row>
    <row r="18" spans="1:5" ht="21" customHeight="1" x14ac:dyDescent="0.2">
      <c r="A18" s="120" t="s">
        <v>29</v>
      </c>
      <c r="B18" s="121">
        <f>SUM(B7:B17)</f>
        <v>125400</v>
      </c>
      <c r="C18" s="122">
        <f>SUM(C7:C17)</f>
        <v>100</v>
      </c>
      <c r="D18" s="117"/>
    </row>
    <row r="19" spans="1:5" x14ac:dyDescent="0.2">
      <c r="A19" s="1223" t="s">
        <v>99</v>
      </c>
      <c r="B19" s="1223"/>
      <c r="C19" s="123"/>
      <c r="D19" s="117"/>
    </row>
    <row r="20" spans="1:5" ht="25.5" customHeight="1" x14ac:dyDescent="0.2">
      <c r="A20" s="1231" t="s">
        <v>100</v>
      </c>
      <c r="B20" s="1232"/>
      <c r="C20" s="1232"/>
    </row>
    <row r="21" spans="1:5" x14ac:dyDescent="0.2">
      <c r="A21" s="17"/>
      <c r="B21" s="124"/>
      <c r="C21" s="124"/>
    </row>
    <row r="22" spans="1:5" x14ac:dyDescent="0.2">
      <c r="A22" s="112"/>
      <c r="B22" s="43"/>
      <c r="C22" s="43"/>
    </row>
    <row r="23" spans="1:5" x14ac:dyDescent="0.2">
      <c r="B23" s="125"/>
      <c r="C23" s="125"/>
    </row>
  </sheetData>
  <sheetProtection password="9C8D" sheet="1" objects="1" scenarios="1"/>
  <mergeCells count="6">
    <mergeCell ref="A20:C20"/>
    <mergeCell ref="A1:C1"/>
    <mergeCell ref="A2:C2"/>
    <mergeCell ref="A3:C3"/>
    <mergeCell ref="A5:C5"/>
    <mergeCell ref="A19:B19"/>
  </mergeCells>
  <pageMargins left="0.78740157499999996" right="0.78740157499999996" top="0.984251969" bottom="0.984251969" header="0.49212598499999999" footer="0.49212598499999999"/>
  <pageSetup paperSize="9" orientation="portrait" r:id="rId1"/>
  <headerFooter alignWithMargins="0"/>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windowProtection="1" showGridLines="0" workbookViewId="0">
      <selection sqref="A1:C1"/>
    </sheetView>
  </sheetViews>
  <sheetFormatPr defaultRowHeight="16.5" x14ac:dyDescent="0.3"/>
  <cols>
    <col min="1" max="1" width="76" style="857" bestFit="1" customWidth="1"/>
    <col min="2" max="3" width="13.7109375" style="857" bestFit="1" customWidth="1"/>
    <col min="4" max="16384" width="9.140625" style="857"/>
  </cols>
  <sheetData>
    <row r="1" spans="1:3" x14ac:dyDescent="0.3">
      <c r="A1" s="1433" t="s">
        <v>865</v>
      </c>
      <c r="B1" s="1433"/>
      <c r="C1" s="1433"/>
    </row>
    <row r="2" spans="1:3" ht="18" x14ac:dyDescent="0.35">
      <c r="A2" s="1454" t="s">
        <v>864</v>
      </c>
      <c r="B2" s="1454"/>
      <c r="C2" s="1454"/>
    </row>
    <row r="3" spans="1:3" ht="18" x14ac:dyDescent="0.35">
      <c r="A3" s="1454" t="s">
        <v>814</v>
      </c>
      <c r="B3" s="1454"/>
      <c r="C3" s="1454"/>
    </row>
    <row r="4" spans="1:3" ht="18" x14ac:dyDescent="0.35">
      <c r="A4" s="1454"/>
      <c r="B4" s="1454"/>
      <c r="C4" s="1454"/>
    </row>
    <row r="5" spans="1:3" x14ac:dyDescent="0.3">
      <c r="A5" s="1456" t="s">
        <v>1</v>
      </c>
      <c r="B5" s="1456"/>
      <c r="C5" s="1456"/>
    </row>
    <row r="6" spans="1:3" x14ac:dyDescent="0.3">
      <c r="A6" s="934" t="s">
        <v>221</v>
      </c>
      <c r="B6" s="934">
        <v>2014</v>
      </c>
      <c r="C6" s="934">
        <v>2015</v>
      </c>
    </row>
    <row r="7" spans="1:3" x14ac:dyDescent="0.3">
      <c r="A7" s="935"/>
      <c r="B7" s="935"/>
      <c r="C7" s="936"/>
    </row>
    <row r="8" spans="1:3" x14ac:dyDescent="0.3">
      <c r="A8" s="937" t="s">
        <v>835</v>
      </c>
      <c r="B8" s="938">
        <v>6908697</v>
      </c>
      <c r="C8" s="938">
        <v>7790705</v>
      </c>
    </row>
    <row r="9" spans="1:3" x14ac:dyDescent="0.3">
      <c r="A9" s="939"/>
      <c r="B9" s="938"/>
      <c r="C9" s="938"/>
    </row>
    <row r="10" spans="1:3" x14ac:dyDescent="0.3">
      <c r="A10" s="940" t="s">
        <v>836</v>
      </c>
      <c r="B10" s="941">
        <f>SUM(B11:B18)</f>
        <v>15297177</v>
      </c>
      <c r="C10" s="941">
        <f>SUM(C11:C18)</f>
        <v>17690105</v>
      </c>
    </row>
    <row r="11" spans="1:3" x14ac:dyDescent="0.3">
      <c r="A11" s="942" t="s">
        <v>837</v>
      </c>
      <c r="B11" s="943">
        <v>6078784</v>
      </c>
      <c r="C11" s="943">
        <v>6394782</v>
      </c>
    </row>
    <row r="12" spans="1:3" x14ac:dyDescent="0.3">
      <c r="A12" s="942" t="s">
        <v>838</v>
      </c>
      <c r="B12" s="943">
        <v>7810900</v>
      </c>
      <c r="C12" s="943">
        <v>9486806</v>
      </c>
    </row>
    <row r="13" spans="1:3" x14ac:dyDescent="0.3">
      <c r="A13" s="942" t="s">
        <v>839</v>
      </c>
      <c r="B13" s="943">
        <v>55235</v>
      </c>
      <c r="C13" s="943">
        <v>77231</v>
      </c>
    </row>
    <row r="14" spans="1:3" x14ac:dyDescent="0.3">
      <c r="A14" s="942" t="s">
        <v>840</v>
      </c>
      <c r="B14" s="943">
        <v>840648</v>
      </c>
      <c r="C14" s="943">
        <v>1122202</v>
      </c>
    </row>
    <row r="15" spans="1:3" x14ac:dyDescent="0.3">
      <c r="A15" s="942" t="s">
        <v>841</v>
      </c>
      <c r="B15" s="943">
        <v>387527</v>
      </c>
      <c r="C15" s="943">
        <v>412048</v>
      </c>
    </row>
    <row r="16" spans="1:3" x14ac:dyDescent="0.3">
      <c r="A16" s="942" t="s">
        <v>842</v>
      </c>
      <c r="B16" s="943">
        <v>118828</v>
      </c>
      <c r="C16" s="943">
        <v>190183</v>
      </c>
    </row>
    <row r="17" spans="1:3" x14ac:dyDescent="0.3">
      <c r="A17" s="942" t="s">
        <v>843</v>
      </c>
      <c r="B17" s="943">
        <v>5233</v>
      </c>
      <c r="C17" s="943">
        <v>6846</v>
      </c>
    </row>
    <row r="18" spans="1:3" x14ac:dyDescent="0.3">
      <c r="A18" s="942" t="s">
        <v>844</v>
      </c>
      <c r="B18" s="944">
        <v>22</v>
      </c>
      <c r="C18" s="944">
        <v>7</v>
      </c>
    </row>
    <row r="19" spans="1:3" x14ac:dyDescent="0.3">
      <c r="A19" s="945"/>
      <c r="B19" s="943"/>
      <c r="C19" s="943"/>
    </row>
    <row r="20" spans="1:3" x14ac:dyDescent="0.3">
      <c r="A20" s="940" t="s">
        <v>845</v>
      </c>
      <c r="B20" s="938">
        <f>SUM(B21:B36)</f>
        <v>-14415169</v>
      </c>
      <c r="C20" s="938">
        <f>SUM(C21:C36)</f>
        <v>-14156470</v>
      </c>
    </row>
    <row r="21" spans="1:3" x14ac:dyDescent="0.3">
      <c r="A21" s="947" t="s">
        <v>846</v>
      </c>
      <c r="B21" s="946">
        <f>-11662810+14020</f>
        <v>-11648790</v>
      </c>
      <c r="C21" s="946">
        <f>-11186862+19067</f>
        <v>-11167795</v>
      </c>
    </row>
    <row r="22" spans="1:3" x14ac:dyDescent="0.3">
      <c r="A22" s="947" t="s">
        <v>847</v>
      </c>
      <c r="B22" s="943">
        <v>-1215757</v>
      </c>
      <c r="C22" s="943">
        <v>-1278956</v>
      </c>
    </row>
    <row r="23" spans="1:3" x14ac:dyDescent="0.3">
      <c r="A23" s="947" t="s">
        <v>848</v>
      </c>
      <c r="B23" s="943">
        <v>-1083978</v>
      </c>
      <c r="C23" s="943">
        <v>-1206889</v>
      </c>
    </row>
    <row r="24" spans="1:3" x14ac:dyDescent="0.3">
      <c r="A24" s="947" t="s">
        <v>849</v>
      </c>
      <c r="B24" s="943">
        <v>-3544</v>
      </c>
      <c r="C24" s="943">
        <v>-3465</v>
      </c>
    </row>
    <row r="25" spans="1:3" x14ac:dyDescent="0.3">
      <c r="A25" s="947" t="s">
        <v>850</v>
      </c>
      <c r="B25" s="943">
        <v>-3268</v>
      </c>
      <c r="C25" s="943">
        <v>-5230</v>
      </c>
    </row>
    <row r="26" spans="1:3" x14ac:dyDescent="0.3">
      <c r="A26" s="947" t="s">
        <v>851</v>
      </c>
      <c r="B26" s="943">
        <v>-257787</v>
      </c>
      <c r="C26" s="943">
        <v>-321030</v>
      </c>
    </row>
    <row r="27" spans="1:3" x14ac:dyDescent="0.3">
      <c r="A27" s="947" t="s">
        <v>852</v>
      </c>
      <c r="B27" s="943">
        <v>-67</v>
      </c>
      <c r="C27" s="943">
        <v>-105</v>
      </c>
    </row>
    <row r="28" spans="1:3" x14ac:dyDescent="0.3">
      <c r="A28" s="947" t="s">
        <v>853</v>
      </c>
      <c r="B28" s="943">
        <v>-18608</v>
      </c>
      <c r="C28" s="943">
        <v>-14857</v>
      </c>
    </row>
    <row r="29" spans="1:3" x14ac:dyDescent="0.3">
      <c r="A29" s="947" t="s">
        <v>854</v>
      </c>
      <c r="B29" s="943">
        <v>-11172</v>
      </c>
      <c r="C29" s="943">
        <v>-10308</v>
      </c>
    </row>
    <row r="30" spans="1:3" x14ac:dyDescent="0.3">
      <c r="A30" s="947" t="s">
        <v>855</v>
      </c>
      <c r="B30" s="943">
        <v>-82120</v>
      </c>
      <c r="C30" s="943">
        <v>-34454</v>
      </c>
    </row>
    <row r="31" spans="1:3" x14ac:dyDescent="0.3">
      <c r="A31" s="947" t="s">
        <v>856</v>
      </c>
      <c r="B31" s="943">
        <v>-55235</v>
      </c>
      <c r="C31" s="943">
        <v>-77231</v>
      </c>
    </row>
    <row r="32" spans="1:3" x14ac:dyDescent="0.3">
      <c r="A32" s="947" t="s">
        <v>857</v>
      </c>
      <c r="B32" s="943">
        <v>-14020</v>
      </c>
      <c r="C32" s="943">
        <v>-19067</v>
      </c>
    </row>
    <row r="33" spans="1:3" x14ac:dyDescent="0.3">
      <c r="A33" s="947" t="s">
        <v>858</v>
      </c>
      <c r="B33" s="943">
        <v>-2574</v>
      </c>
      <c r="C33" s="943">
        <v>-3724</v>
      </c>
    </row>
    <row r="34" spans="1:3" x14ac:dyDescent="0.3">
      <c r="A34" s="947" t="s">
        <v>863</v>
      </c>
      <c r="B34" s="943">
        <v>-16258</v>
      </c>
      <c r="C34" s="943">
        <v>0</v>
      </c>
    </row>
    <row r="35" spans="1:3" x14ac:dyDescent="0.3">
      <c r="A35" s="947" t="s">
        <v>859</v>
      </c>
      <c r="B35" s="943">
        <v>-693</v>
      </c>
      <c r="C35" s="943">
        <v>-9347</v>
      </c>
    </row>
    <row r="36" spans="1:3" x14ac:dyDescent="0.3">
      <c r="A36" s="947" t="s">
        <v>860</v>
      </c>
      <c r="B36" s="943">
        <v>-1298</v>
      </c>
      <c r="C36" s="943">
        <v>-4012</v>
      </c>
    </row>
    <row r="37" spans="1:3" x14ac:dyDescent="0.3">
      <c r="A37" s="942"/>
      <c r="B37" s="943"/>
      <c r="C37" s="943"/>
    </row>
    <row r="38" spans="1:3" ht="17.25" thickBot="1" x14ac:dyDescent="0.35">
      <c r="A38" s="949" t="s">
        <v>861</v>
      </c>
      <c r="B38" s="950">
        <f>+B8+B10+B20</f>
        <v>7790705</v>
      </c>
      <c r="C38" s="950">
        <f>+C8+C10+C20</f>
        <v>11324340</v>
      </c>
    </row>
    <row r="40" spans="1:3" x14ac:dyDescent="0.3">
      <c r="B40" s="951">
        <v>7790705</v>
      </c>
      <c r="C40" s="951">
        <v>11324340</v>
      </c>
    </row>
    <row r="41" spans="1:3" x14ac:dyDescent="0.3">
      <c r="B41" s="917">
        <f>+B38-B40</f>
        <v>0</v>
      </c>
      <c r="C41" s="917">
        <f>+C38-C40</f>
        <v>0</v>
      </c>
    </row>
  </sheetData>
  <sheetProtection password="9C8D" sheet="1" objects="1" scenarios="1"/>
  <mergeCells count="5">
    <mergeCell ref="A2:C2"/>
    <mergeCell ref="A3:C3"/>
    <mergeCell ref="A4:C4"/>
    <mergeCell ref="A5:C5"/>
    <mergeCell ref="A1:C1"/>
  </mergeCells>
  <pageMargins left="0.511811024" right="0.511811024" top="0.78740157499999996" bottom="0.78740157499999996" header="0.31496062000000002" footer="0.31496062000000002"/>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windowProtection="1" showGridLines="0" zoomScale="90" zoomScaleNormal="90" workbookViewId="0">
      <selection sqref="A1:C1"/>
    </sheetView>
  </sheetViews>
  <sheetFormatPr defaultRowHeight="16.5" x14ac:dyDescent="0.3"/>
  <cols>
    <col min="1" max="1" width="78" style="857" customWidth="1"/>
    <col min="2" max="3" width="18.7109375" style="857" bestFit="1" customWidth="1"/>
    <col min="4" max="5" width="11.42578125" style="857" bestFit="1" customWidth="1"/>
    <col min="6" max="16384" width="9.140625" style="857"/>
  </cols>
  <sheetData>
    <row r="1" spans="1:5" x14ac:dyDescent="0.3">
      <c r="A1" s="1433" t="s">
        <v>934</v>
      </c>
      <c r="B1" s="1433"/>
      <c r="C1" s="1433"/>
    </row>
    <row r="2" spans="1:5" ht="18" x14ac:dyDescent="0.35">
      <c r="A2" s="1454" t="s">
        <v>866</v>
      </c>
      <c r="B2" s="1454"/>
      <c r="C2" s="1454"/>
    </row>
    <row r="3" spans="1:5" ht="18" x14ac:dyDescent="0.35">
      <c r="A3" s="1454" t="s">
        <v>814</v>
      </c>
      <c r="B3" s="1454"/>
      <c r="C3" s="1454"/>
    </row>
    <row r="4" spans="1:5" x14ac:dyDescent="0.3">
      <c r="A4" s="1443"/>
      <c r="B4" s="1443"/>
      <c r="C4" s="1443"/>
    </row>
    <row r="5" spans="1:5" ht="17.25" x14ac:dyDescent="0.35">
      <c r="A5" s="1444" t="s">
        <v>1</v>
      </c>
      <c r="B5" s="1444"/>
      <c r="C5" s="1444"/>
    </row>
    <row r="6" spans="1:5" ht="26.25" customHeight="1" x14ac:dyDescent="0.3">
      <c r="A6" s="952" t="s">
        <v>867</v>
      </c>
      <c r="B6" s="953" t="s">
        <v>817</v>
      </c>
      <c r="C6" s="953" t="s">
        <v>816</v>
      </c>
    </row>
    <row r="7" spans="1:5" ht="15.75" customHeight="1" x14ac:dyDescent="0.3"/>
    <row r="8" spans="1:5" ht="15.75" customHeight="1" x14ac:dyDescent="0.3">
      <c r="A8" s="954" t="s">
        <v>868</v>
      </c>
      <c r="B8" s="955">
        <f>+B9+B29+B30</f>
        <v>1921399</v>
      </c>
      <c r="C8" s="955">
        <f>+C9+C29+C30</f>
        <v>2430085</v>
      </c>
    </row>
    <row r="9" spans="1:5" ht="15.75" customHeight="1" x14ac:dyDescent="0.3">
      <c r="A9" s="956" t="s">
        <v>869</v>
      </c>
      <c r="B9" s="957">
        <f>SUM(B10:B28)</f>
        <v>1080393</v>
      </c>
      <c r="C9" s="957">
        <f>SUM(C10:C28)</f>
        <v>1307879</v>
      </c>
      <c r="D9" s="958"/>
      <c r="E9" s="958"/>
    </row>
    <row r="10" spans="1:5" ht="15.75" customHeight="1" x14ac:dyDescent="0.3">
      <c r="A10" s="959" t="s">
        <v>870</v>
      </c>
      <c r="B10" s="960">
        <v>2645046</v>
      </c>
      <c r="C10" s="960">
        <v>2952389</v>
      </c>
    </row>
    <row r="11" spans="1:5" ht="15.75" customHeight="1" x14ac:dyDescent="0.3">
      <c r="A11" s="959" t="s">
        <v>871</v>
      </c>
      <c r="B11" s="960">
        <v>66501</v>
      </c>
      <c r="C11" s="960">
        <v>95302</v>
      </c>
      <c r="D11" s="958"/>
      <c r="E11" s="958"/>
    </row>
    <row r="12" spans="1:5" ht="15.75" customHeight="1" x14ac:dyDescent="0.3">
      <c r="A12" s="959" t="s">
        <v>872</v>
      </c>
      <c r="B12" s="960">
        <v>80186</v>
      </c>
      <c r="C12" s="960">
        <v>124450</v>
      </c>
    </row>
    <row r="13" spans="1:5" ht="15.75" customHeight="1" x14ac:dyDescent="0.3">
      <c r="A13" s="959" t="s">
        <v>873</v>
      </c>
      <c r="B13" s="960">
        <v>85</v>
      </c>
      <c r="C13" s="960">
        <v>87</v>
      </c>
    </row>
    <row r="14" spans="1:5" ht="15.75" customHeight="1" x14ac:dyDescent="0.3">
      <c r="A14" s="959" t="s">
        <v>874</v>
      </c>
      <c r="B14" s="960">
        <v>268526</v>
      </c>
      <c r="C14" s="960">
        <v>278191</v>
      </c>
    </row>
    <row r="15" spans="1:5" ht="15.75" customHeight="1" x14ac:dyDescent="0.3">
      <c r="A15" s="959" t="s">
        <v>875</v>
      </c>
      <c r="B15" s="960">
        <v>302</v>
      </c>
      <c r="C15" s="960">
        <v>397</v>
      </c>
    </row>
    <row r="16" spans="1:5" ht="15.75" customHeight="1" x14ac:dyDescent="0.3">
      <c r="A16" s="959" t="s">
        <v>876</v>
      </c>
      <c r="B16" s="961">
        <v>-1083978</v>
      </c>
      <c r="C16" s="961">
        <v>-1206890</v>
      </c>
    </row>
    <row r="17" spans="1:3" ht="15.75" customHeight="1" x14ac:dyDescent="0.3">
      <c r="A17" s="959" t="s">
        <v>877</v>
      </c>
      <c r="B17" s="961">
        <v>-3544</v>
      </c>
      <c r="C17" s="961">
        <v>-3465</v>
      </c>
    </row>
    <row r="18" spans="1:3" ht="15.75" customHeight="1" x14ac:dyDescent="0.3">
      <c r="A18" s="959" t="s">
        <v>878</v>
      </c>
      <c r="B18" s="961">
        <v>-22385</v>
      </c>
      <c r="C18" s="961">
        <v>-6232</v>
      </c>
    </row>
    <row r="19" spans="1:3" ht="16.5" customHeight="1" x14ac:dyDescent="0.3">
      <c r="A19" s="962" t="s">
        <v>879</v>
      </c>
      <c r="B19" s="961">
        <v>-219138</v>
      </c>
      <c r="C19" s="961">
        <v>-146006</v>
      </c>
    </row>
    <row r="20" spans="1:3" ht="15.75" customHeight="1" x14ac:dyDescent="0.3">
      <c r="A20" s="962" t="s">
        <v>880</v>
      </c>
      <c r="B20" s="961">
        <v>-599322</v>
      </c>
      <c r="C20" s="961">
        <v>-748080</v>
      </c>
    </row>
    <row r="21" spans="1:3" ht="15.75" customHeight="1" x14ac:dyDescent="0.3">
      <c r="A21" s="959" t="s">
        <v>881</v>
      </c>
      <c r="B21" s="961">
        <v>-11172</v>
      </c>
      <c r="C21" s="961">
        <v>-10308</v>
      </c>
    </row>
    <row r="22" spans="1:3" ht="15.75" customHeight="1" x14ac:dyDescent="0.3">
      <c r="A22" s="959" t="s">
        <v>882</v>
      </c>
      <c r="B22" s="961">
        <v>-18552</v>
      </c>
      <c r="C22" s="961">
        <v>-1834</v>
      </c>
    </row>
    <row r="23" spans="1:3" ht="15.75" customHeight="1" x14ac:dyDescent="0.3">
      <c r="A23" s="959" t="s">
        <v>883</v>
      </c>
      <c r="B23" s="961">
        <v>-2</v>
      </c>
      <c r="C23" s="961">
        <v>0</v>
      </c>
    </row>
    <row r="24" spans="1:3" ht="15.75" customHeight="1" x14ac:dyDescent="0.3">
      <c r="A24" s="959" t="s">
        <v>884</v>
      </c>
      <c r="B24" s="961">
        <v>-202</v>
      </c>
      <c r="C24" s="961">
        <v>-35</v>
      </c>
    </row>
    <row r="25" spans="1:3" ht="15.75" customHeight="1" x14ac:dyDescent="0.3">
      <c r="A25" s="959" t="s">
        <v>885</v>
      </c>
      <c r="B25" s="961">
        <v>-82</v>
      </c>
      <c r="C25" s="961">
        <v>0</v>
      </c>
    </row>
    <row r="26" spans="1:3" ht="15.75" customHeight="1" x14ac:dyDescent="0.3">
      <c r="A26" s="959" t="s">
        <v>886</v>
      </c>
      <c r="B26" s="961">
        <v>-3268</v>
      </c>
      <c r="C26" s="961">
        <v>-5230</v>
      </c>
    </row>
    <row r="27" spans="1:3" ht="15.75" customHeight="1" x14ac:dyDescent="0.3">
      <c r="A27" s="962" t="s">
        <v>887</v>
      </c>
      <c r="B27" s="961">
        <v>-4</v>
      </c>
      <c r="C27" s="961">
        <v>-1</v>
      </c>
    </row>
    <row r="28" spans="1:3" ht="15.75" customHeight="1" x14ac:dyDescent="0.3">
      <c r="A28" s="962" t="s">
        <v>888</v>
      </c>
      <c r="B28" s="961">
        <v>-18604</v>
      </c>
      <c r="C28" s="961">
        <v>-14856</v>
      </c>
    </row>
    <row r="29" spans="1:3" ht="15.75" customHeight="1" x14ac:dyDescent="0.3">
      <c r="A29" s="956" t="s">
        <v>840</v>
      </c>
      <c r="B29" s="961">
        <v>840648</v>
      </c>
      <c r="C29" s="961">
        <v>1122202</v>
      </c>
    </row>
    <row r="30" spans="1:3" ht="15.75" customHeight="1" x14ac:dyDescent="0.3">
      <c r="A30" s="956" t="s">
        <v>889</v>
      </c>
      <c r="B30" s="961">
        <v>358</v>
      </c>
      <c r="C30" s="961">
        <v>4</v>
      </c>
    </row>
    <row r="31" spans="1:3" ht="15.75" customHeight="1" x14ac:dyDescent="0.3">
      <c r="A31" s="956"/>
      <c r="B31" s="961"/>
      <c r="C31" s="961"/>
    </row>
    <row r="32" spans="1:3" ht="15.75" customHeight="1" x14ac:dyDescent="0.3">
      <c r="A32" s="963" t="s">
        <v>890</v>
      </c>
      <c r="B32" s="964">
        <f>SUM(B33:B38)</f>
        <v>-2094339</v>
      </c>
      <c r="C32" s="964">
        <f>SUM(C33:C38)</f>
        <v>-2384940</v>
      </c>
    </row>
    <row r="33" spans="1:3" ht="15.75" customHeight="1" x14ac:dyDescent="0.3">
      <c r="A33" s="965" t="s">
        <v>847</v>
      </c>
      <c r="B33" s="961">
        <v>-1215757</v>
      </c>
      <c r="C33" s="961">
        <v>-1278956</v>
      </c>
    </row>
    <row r="34" spans="1:3" ht="15.75" customHeight="1" x14ac:dyDescent="0.3">
      <c r="A34" s="965" t="s">
        <v>891</v>
      </c>
      <c r="B34" s="961">
        <v>-200339</v>
      </c>
      <c r="C34" s="961">
        <v>-234751</v>
      </c>
    </row>
    <row r="35" spans="1:3" ht="15.75" customHeight="1" x14ac:dyDescent="0.3">
      <c r="A35" s="965" t="s">
        <v>892</v>
      </c>
      <c r="B35" s="961">
        <v>-43540</v>
      </c>
      <c r="C35" s="961">
        <v>-55011</v>
      </c>
    </row>
    <row r="36" spans="1:3" ht="15.75" customHeight="1" x14ac:dyDescent="0.3">
      <c r="A36" s="965" t="s">
        <v>893</v>
      </c>
      <c r="B36" s="961">
        <v>-13908</v>
      </c>
      <c r="C36" s="961">
        <v>-31266</v>
      </c>
    </row>
    <row r="37" spans="1:3" ht="15.75" customHeight="1" x14ac:dyDescent="0.3">
      <c r="A37" s="965" t="s">
        <v>894</v>
      </c>
      <c r="B37" s="961">
        <v>-620704</v>
      </c>
      <c r="C37" s="961">
        <v>-784843</v>
      </c>
    </row>
    <row r="38" spans="1:3" ht="15.75" customHeight="1" x14ac:dyDescent="0.3">
      <c r="A38" s="966" t="s">
        <v>895</v>
      </c>
      <c r="B38" s="961">
        <v>-91</v>
      </c>
      <c r="C38" s="961">
        <v>-113</v>
      </c>
    </row>
    <row r="39" spans="1:3" ht="15.75" customHeight="1" x14ac:dyDescent="0.3"/>
    <row r="40" spans="1:3" ht="20.100000000000001" customHeight="1" thickBot="1" x14ac:dyDescent="0.35">
      <c r="A40" s="967" t="s">
        <v>896</v>
      </c>
      <c r="B40" s="968">
        <f>+B8+B32</f>
        <v>-172940</v>
      </c>
      <c r="C40" s="968">
        <f>+C8+C32</f>
        <v>45145</v>
      </c>
    </row>
    <row r="41" spans="1:3" ht="15.75" customHeight="1" x14ac:dyDescent="0.3"/>
    <row r="42" spans="1:3" ht="15.75" customHeight="1" x14ac:dyDescent="0.3"/>
    <row r="43" spans="1:3" ht="15.75" customHeight="1" x14ac:dyDescent="0.3"/>
    <row r="44" spans="1:3" ht="15.75" customHeight="1" x14ac:dyDescent="0.3"/>
    <row r="45" spans="1:3" ht="15.75" customHeight="1" x14ac:dyDescent="0.3"/>
    <row r="46" spans="1:3" ht="15.75" customHeight="1" x14ac:dyDescent="0.3"/>
    <row r="47" spans="1:3" ht="15.75" customHeight="1" x14ac:dyDescent="0.3"/>
    <row r="48" spans="1:3"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sheetData>
  <sheetProtection password="9C8D" sheet="1" objects="1" scenarios="1"/>
  <mergeCells count="5">
    <mergeCell ref="A2:C2"/>
    <mergeCell ref="A3:C3"/>
    <mergeCell ref="A4:C4"/>
    <mergeCell ref="A5:C5"/>
    <mergeCell ref="A1:C1"/>
  </mergeCells>
  <pageMargins left="0.511811024" right="0.511811024" top="0.78740157499999996" bottom="0.78740157499999996" header="0.31496062000000002" footer="0.31496062000000002"/>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windowProtection="1" showGridLines="0" workbookViewId="0">
      <selection activeCell="A3" sqref="A3:C3"/>
    </sheetView>
  </sheetViews>
  <sheetFormatPr defaultRowHeight="16.5" x14ac:dyDescent="0.3"/>
  <cols>
    <col min="1" max="1" width="53.42578125" style="857" bestFit="1" customWidth="1"/>
    <col min="2" max="3" width="18" style="857" bestFit="1" customWidth="1"/>
    <col min="4" max="4" width="10.5703125" style="857" bestFit="1" customWidth="1"/>
    <col min="5" max="6" width="16.28515625" style="857" bestFit="1" customWidth="1"/>
    <col min="7" max="16384" width="9.140625" style="857"/>
  </cols>
  <sheetData>
    <row r="1" spans="1:6" x14ac:dyDescent="0.3">
      <c r="A1" s="1433" t="s">
        <v>935</v>
      </c>
      <c r="B1" s="1433"/>
      <c r="C1" s="1433"/>
    </row>
    <row r="2" spans="1:6" ht="18" x14ac:dyDescent="0.35">
      <c r="A2" s="1454" t="s">
        <v>897</v>
      </c>
      <c r="B2" s="1454"/>
      <c r="C2" s="1454"/>
    </row>
    <row r="3" spans="1:6" ht="18" x14ac:dyDescent="0.35">
      <c r="A3" s="1454" t="s">
        <v>814</v>
      </c>
      <c r="B3" s="1454"/>
      <c r="C3" s="1454"/>
    </row>
    <row r="4" spans="1:6" x14ac:dyDescent="0.3">
      <c r="A4" s="1443"/>
      <c r="B4" s="1443"/>
      <c r="C4" s="1443"/>
    </row>
    <row r="5" spans="1:6" ht="17.25" x14ac:dyDescent="0.35">
      <c r="A5" s="1444" t="s">
        <v>1</v>
      </c>
      <c r="B5" s="1444"/>
      <c r="C5" s="1444"/>
    </row>
    <row r="6" spans="1:6" ht="29.25" customHeight="1" x14ac:dyDescent="0.3">
      <c r="A6" s="969" t="s">
        <v>867</v>
      </c>
      <c r="B6" s="918">
        <v>2014</v>
      </c>
      <c r="C6" s="918">
        <v>2015</v>
      </c>
    </row>
    <row r="7" spans="1:6" ht="15.75" customHeight="1" x14ac:dyDescent="0.3">
      <c r="A7" s="970"/>
      <c r="B7" s="971"/>
      <c r="C7" s="971"/>
    </row>
    <row r="8" spans="1:6" ht="15.75" customHeight="1" x14ac:dyDescent="0.3">
      <c r="A8" s="972" t="s">
        <v>898</v>
      </c>
      <c r="B8" s="957">
        <v>47642619</v>
      </c>
      <c r="C8" s="957">
        <v>53478865</v>
      </c>
      <c r="D8" s="958"/>
      <c r="E8" s="958"/>
      <c r="F8" s="951"/>
    </row>
    <row r="9" spans="1:6" ht="15.75" customHeight="1" x14ac:dyDescent="0.3">
      <c r="A9" s="972"/>
      <c r="B9" s="961"/>
      <c r="C9" s="961"/>
    </row>
    <row r="10" spans="1:6" ht="15.75" customHeight="1" x14ac:dyDescent="0.3">
      <c r="A10" s="973" t="s">
        <v>899</v>
      </c>
      <c r="B10" s="957">
        <v>24</v>
      </c>
      <c r="C10" s="957">
        <v>8</v>
      </c>
      <c r="E10" s="951"/>
      <c r="F10" s="951"/>
    </row>
    <row r="11" spans="1:6" ht="15.75" customHeight="1" x14ac:dyDescent="0.3">
      <c r="A11" s="973" t="s">
        <v>900</v>
      </c>
      <c r="B11" s="957">
        <v>6078784</v>
      </c>
      <c r="C11" s="957">
        <v>6394782</v>
      </c>
      <c r="E11" s="951"/>
      <c r="F11" s="951"/>
    </row>
    <row r="12" spans="1:6" ht="15.75" customHeight="1" x14ac:dyDescent="0.3">
      <c r="A12" s="956" t="s">
        <v>840</v>
      </c>
      <c r="B12" s="957">
        <v>840648</v>
      </c>
      <c r="C12" s="957">
        <v>1122200</v>
      </c>
      <c r="E12" s="951"/>
      <c r="F12" s="951"/>
    </row>
    <row r="13" spans="1:6" ht="15.75" customHeight="1" x14ac:dyDescent="0.3">
      <c r="A13" s="956" t="s">
        <v>901</v>
      </c>
      <c r="B13" s="957">
        <v>80186</v>
      </c>
      <c r="C13" s="957">
        <v>124450</v>
      </c>
      <c r="E13" s="951"/>
      <c r="F13" s="951"/>
    </row>
    <row r="14" spans="1:6" ht="15.75" customHeight="1" x14ac:dyDescent="0.3">
      <c r="A14" s="956" t="s">
        <v>902</v>
      </c>
      <c r="B14" s="957">
        <f>+B15+B16+B19</f>
        <v>2711548</v>
      </c>
      <c r="C14" s="957">
        <f>+C15+C16+C19</f>
        <v>3047692</v>
      </c>
      <c r="E14" s="951"/>
      <c r="F14" s="951"/>
    </row>
    <row r="15" spans="1:6" ht="15.75" customHeight="1" x14ac:dyDescent="0.3">
      <c r="A15" s="974" t="s">
        <v>903</v>
      </c>
      <c r="B15" s="957">
        <v>2626642</v>
      </c>
      <c r="C15" s="957">
        <v>2970460</v>
      </c>
      <c r="E15" s="951"/>
      <c r="F15" s="951"/>
    </row>
    <row r="16" spans="1:6" ht="15.75" customHeight="1" x14ac:dyDescent="0.3">
      <c r="A16" s="974" t="s">
        <v>904</v>
      </c>
      <c r="B16" s="957">
        <v>84108</v>
      </c>
      <c r="C16" s="957">
        <v>76387</v>
      </c>
      <c r="E16" s="951"/>
      <c r="F16" s="951"/>
    </row>
    <row r="17" spans="1:6" ht="15.75" customHeight="1" x14ac:dyDescent="0.3">
      <c r="A17" s="975" t="s">
        <v>905</v>
      </c>
      <c r="B17" s="961">
        <v>69121</v>
      </c>
      <c r="C17" s="961">
        <v>62544</v>
      </c>
      <c r="E17" s="951"/>
      <c r="F17" s="951"/>
    </row>
    <row r="18" spans="1:6" ht="15.75" customHeight="1" x14ac:dyDescent="0.3">
      <c r="A18" s="975" t="s">
        <v>906</v>
      </c>
      <c r="B18" s="961">
        <v>14987</v>
      </c>
      <c r="C18" s="961">
        <v>13843</v>
      </c>
      <c r="E18" s="951"/>
      <c r="F18" s="951"/>
    </row>
    <row r="19" spans="1:6" ht="15.75" customHeight="1" x14ac:dyDescent="0.3">
      <c r="A19" s="974" t="s">
        <v>907</v>
      </c>
      <c r="B19" s="957">
        <v>798</v>
      </c>
      <c r="C19" s="957">
        <v>845</v>
      </c>
      <c r="E19" s="951"/>
      <c r="F19" s="951"/>
    </row>
    <row r="20" spans="1:6" x14ac:dyDescent="0.3">
      <c r="A20" s="956" t="s">
        <v>908</v>
      </c>
      <c r="B20" s="957">
        <v>85</v>
      </c>
      <c r="C20" s="957">
        <v>87</v>
      </c>
      <c r="E20" s="951"/>
      <c r="F20" s="951"/>
    </row>
    <row r="21" spans="1:6" ht="24" customHeight="1" x14ac:dyDescent="0.3">
      <c r="A21" s="956" t="s">
        <v>909</v>
      </c>
      <c r="B21" s="957">
        <v>357</v>
      </c>
      <c r="C21" s="957">
        <v>5</v>
      </c>
      <c r="E21" s="951"/>
      <c r="F21" s="951"/>
    </row>
    <row r="22" spans="1:6" ht="15.75" customHeight="1" x14ac:dyDescent="0.3">
      <c r="A22" s="956" t="s">
        <v>910</v>
      </c>
      <c r="B22" s="957">
        <v>268526</v>
      </c>
      <c r="C22" s="957">
        <v>278191</v>
      </c>
      <c r="E22" s="951"/>
      <c r="F22" s="951"/>
    </row>
    <row r="23" spans="1:6" ht="15.75" customHeight="1" x14ac:dyDescent="0.3">
      <c r="A23" s="973" t="s">
        <v>847</v>
      </c>
      <c r="B23" s="961">
        <v>-1215757</v>
      </c>
      <c r="C23" s="961">
        <v>-1278956</v>
      </c>
      <c r="E23" s="951"/>
      <c r="F23" s="951"/>
    </row>
    <row r="24" spans="1:6" ht="15.75" customHeight="1" x14ac:dyDescent="0.3">
      <c r="A24" s="973" t="s">
        <v>891</v>
      </c>
      <c r="B24" s="961">
        <v>-200339</v>
      </c>
      <c r="C24" s="961">
        <v>-234751</v>
      </c>
      <c r="E24" s="951"/>
      <c r="F24" s="951"/>
    </row>
    <row r="25" spans="1:6" ht="15.75" customHeight="1" x14ac:dyDescent="0.3">
      <c r="A25" s="973" t="s">
        <v>911</v>
      </c>
      <c r="B25" s="961">
        <v>-43540</v>
      </c>
      <c r="C25" s="961">
        <v>-55011</v>
      </c>
      <c r="E25" s="951"/>
      <c r="F25" s="951"/>
    </row>
    <row r="26" spans="1:6" ht="15.75" customHeight="1" x14ac:dyDescent="0.3">
      <c r="A26" s="973" t="s">
        <v>912</v>
      </c>
      <c r="B26" s="961">
        <v>-13908</v>
      </c>
      <c r="C26" s="961">
        <v>-31266</v>
      </c>
      <c r="E26" s="951"/>
      <c r="F26" s="951"/>
    </row>
    <row r="27" spans="1:6" ht="15.75" customHeight="1" x14ac:dyDescent="0.3">
      <c r="A27" s="956" t="s">
        <v>895</v>
      </c>
      <c r="B27" s="961">
        <v>-91</v>
      </c>
      <c r="C27" s="961">
        <v>-113</v>
      </c>
      <c r="E27" s="951"/>
      <c r="F27" s="951"/>
    </row>
    <row r="28" spans="1:6" ht="15.75" customHeight="1" x14ac:dyDescent="0.3">
      <c r="A28" s="956" t="s">
        <v>913</v>
      </c>
      <c r="B28" s="961">
        <v>-22385</v>
      </c>
      <c r="C28" s="961">
        <v>-6232</v>
      </c>
      <c r="E28" s="951"/>
      <c r="F28" s="951"/>
    </row>
    <row r="29" spans="1:6" ht="15.75" customHeight="1" x14ac:dyDescent="0.3">
      <c r="A29" s="956" t="s">
        <v>914</v>
      </c>
      <c r="B29" s="957">
        <f>SUM(B30:B31)</f>
        <v>-1087522</v>
      </c>
      <c r="C29" s="957">
        <f>SUM(C30:C31)</f>
        <v>-1210354</v>
      </c>
      <c r="E29" s="951"/>
      <c r="F29" s="951"/>
    </row>
    <row r="30" spans="1:6" ht="15.75" customHeight="1" x14ac:dyDescent="0.3">
      <c r="A30" s="976" t="s">
        <v>915</v>
      </c>
      <c r="B30" s="961">
        <v>-1083978</v>
      </c>
      <c r="C30" s="961">
        <v>-1206889</v>
      </c>
      <c r="D30" s="958"/>
      <c r="E30" s="958"/>
      <c r="F30" s="951"/>
    </row>
    <row r="31" spans="1:6" ht="15.75" customHeight="1" x14ac:dyDescent="0.3">
      <c r="A31" s="976" t="s">
        <v>906</v>
      </c>
      <c r="B31" s="961">
        <v>-3544</v>
      </c>
      <c r="C31" s="961">
        <v>-3465</v>
      </c>
      <c r="E31" s="951"/>
      <c r="F31" s="951"/>
    </row>
    <row r="32" spans="1:6" ht="15.75" customHeight="1" x14ac:dyDescent="0.3">
      <c r="A32" s="956" t="s">
        <v>916</v>
      </c>
      <c r="B32" s="961">
        <v>-219139</v>
      </c>
      <c r="C32" s="961">
        <v>-146006</v>
      </c>
      <c r="E32" s="951"/>
      <c r="F32" s="951"/>
    </row>
    <row r="33" spans="1:6" ht="15.75" customHeight="1" x14ac:dyDescent="0.3">
      <c r="A33" s="973" t="s">
        <v>917</v>
      </c>
      <c r="B33" s="961">
        <v>-202</v>
      </c>
      <c r="C33" s="961">
        <v>-35</v>
      </c>
      <c r="E33" s="951"/>
      <c r="F33" s="951"/>
    </row>
    <row r="34" spans="1:6" ht="15.75" customHeight="1" x14ac:dyDescent="0.3">
      <c r="A34" s="956" t="s">
        <v>918</v>
      </c>
      <c r="B34" s="957">
        <f>SUM(B35:B36)</f>
        <v>-620635</v>
      </c>
      <c r="C34" s="957">
        <f>SUM(C35:C36)</f>
        <v>-784839</v>
      </c>
      <c r="E34" s="951"/>
      <c r="F34" s="951"/>
    </row>
    <row r="35" spans="1:6" ht="15.75" customHeight="1" x14ac:dyDescent="0.3">
      <c r="A35" s="976" t="s">
        <v>919</v>
      </c>
      <c r="B35" s="961">
        <v>-268783</v>
      </c>
      <c r="C35" s="961">
        <v>-293887</v>
      </c>
      <c r="E35" s="951"/>
      <c r="F35" s="951"/>
    </row>
    <row r="36" spans="1:6" ht="15.75" customHeight="1" x14ac:dyDescent="0.3">
      <c r="A36" s="976" t="s">
        <v>920</v>
      </c>
      <c r="B36" s="961">
        <v>-351852</v>
      </c>
      <c r="C36" s="961">
        <v>-490952</v>
      </c>
      <c r="E36" s="951"/>
      <c r="F36" s="951"/>
    </row>
    <row r="37" spans="1:6" ht="15.75" customHeight="1" x14ac:dyDescent="0.3">
      <c r="A37" s="956" t="s">
        <v>921</v>
      </c>
      <c r="B37" s="961">
        <v>-70</v>
      </c>
      <c r="C37" s="961">
        <v>-5</v>
      </c>
      <c r="E37" s="951"/>
      <c r="F37" s="951"/>
    </row>
    <row r="38" spans="1:6" ht="15.75" customHeight="1" x14ac:dyDescent="0.3">
      <c r="A38" s="956" t="s">
        <v>922</v>
      </c>
      <c r="B38" s="957">
        <f>SUM(B39:B42)</f>
        <v>-629048</v>
      </c>
      <c r="C38" s="957">
        <f>SUM(C39:C42)</f>
        <v>-760222</v>
      </c>
      <c r="E38" s="951"/>
      <c r="F38" s="951"/>
    </row>
    <row r="39" spans="1:6" ht="15.75" customHeight="1" x14ac:dyDescent="0.3">
      <c r="A39" s="976" t="s">
        <v>903</v>
      </c>
      <c r="B39" s="961">
        <v>-599322</v>
      </c>
      <c r="C39" s="961">
        <v>-748080</v>
      </c>
      <c r="E39" s="951"/>
      <c r="F39" s="951"/>
    </row>
    <row r="40" spans="1:6" ht="15.75" customHeight="1" x14ac:dyDescent="0.3">
      <c r="A40" s="976" t="s">
        <v>923</v>
      </c>
      <c r="B40" s="961">
        <v>-11172</v>
      </c>
      <c r="C40" s="961">
        <v>-10308</v>
      </c>
      <c r="E40" s="951"/>
      <c r="F40" s="951"/>
    </row>
    <row r="41" spans="1:6" ht="15.75" customHeight="1" x14ac:dyDescent="0.3">
      <c r="A41" s="976" t="s">
        <v>924</v>
      </c>
      <c r="B41" s="961">
        <v>-18552</v>
      </c>
      <c r="C41" s="961">
        <v>-1834</v>
      </c>
      <c r="E41" s="951"/>
      <c r="F41" s="951"/>
    </row>
    <row r="42" spans="1:6" ht="15.75" customHeight="1" x14ac:dyDescent="0.3">
      <c r="A42" s="976" t="s">
        <v>925</v>
      </c>
      <c r="B42" s="961">
        <v>-2</v>
      </c>
      <c r="C42" s="961">
        <v>0</v>
      </c>
      <c r="E42" s="951"/>
      <c r="F42" s="951"/>
    </row>
    <row r="43" spans="1:6" ht="15.75" customHeight="1" x14ac:dyDescent="0.3">
      <c r="A43" s="956" t="s">
        <v>926</v>
      </c>
      <c r="B43" s="961">
        <v>-82</v>
      </c>
      <c r="C43" s="961">
        <v>0</v>
      </c>
      <c r="E43" s="951"/>
      <c r="F43" s="951"/>
    </row>
    <row r="44" spans="1:6" ht="15.75" customHeight="1" x14ac:dyDescent="0.3">
      <c r="A44" s="956" t="s">
        <v>927</v>
      </c>
      <c r="B44" s="961">
        <v>-4</v>
      </c>
      <c r="C44" s="961">
        <v>-1</v>
      </c>
      <c r="E44" s="951"/>
      <c r="F44" s="951"/>
    </row>
    <row r="45" spans="1:6" ht="15.75" customHeight="1" x14ac:dyDescent="0.3">
      <c r="A45" s="956" t="s">
        <v>928</v>
      </c>
      <c r="B45" s="961">
        <v>-18604</v>
      </c>
      <c r="C45" s="961">
        <v>-14856</v>
      </c>
      <c r="E45" s="951"/>
      <c r="F45" s="951"/>
    </row>
    <row r="46" spans="1:6" ht="15.75" customHeight="1" x14ac:dyDescent="0.3">
      <c r="A46" s="956" t="s">
        <v>929</v>
      </c>
      <c r="B46" s="961">
        <v>-3267</v>
      </c>
      <c r="C46" s="961">
        <v>-5230</v>
      </c>
      <c r="E46" s="951"/>
      <c r="F46" s="951"/>
    </row>
    <row r="47" spans="1:6" ht="15.75" customHeight="1" x14ac:dyDescent="0.3">
      <c r="A47" s="956" t="s">
        <v>930</v>
      </c>
      <c r="B47" s="957">
        <v>-69621</v>
      </c>
      <c r="C47" s="957">
        <v>-25630</v>
      </c>
      <c r="E47" s="951"/>
      <c r="F47" s="951"/>
    </row>
    <row r="48" spans="1:6" ht="15.75" customHeight="1" x14ac:dyDescent="0.3">
      <c r="A48" s="956" t="s">
        <v>931</v>
      </c>
      <c r="B48" s="957">
        <v>302</v>
      </c>
      <c r="C48" s="957">
        <v>397</v>
      </c>
      <c r="E48" s="951"/>
      <c r="F48" s="951"/>
    </row>
    <row r="49" spans="1:3" ht="15.75" customHeight="1" x14ac:dyDescent="0.3">
      <c r="A49" s="945" t="s">
        <v>932</v>
      </c>
      <c r="B49" s="961"/>
      <c r="C49" s="961"/>
    </row>
    <row r="50" spans="1:3" ht="15.75" customHeight="1" thickBot="1" x14ac:dyDescent="0.35">
      <c r="A50" s="977" t="s">
        <v>933</v>
      </c>
      <c r="B50" s="978">
        <f>B8+SUM(B10:B14)+B20+B21+B22+SUM(B23:B29)+SUM(B32:B34)+B37+B38+SUM(B43:B47)+B48</f>
        <v>53478865</v>
      </c>
      <c r="C50" s="978">
        <f>C8+SUM(C10:C14)+C20+C21+C22+SUM(C23:C29)+SUM(C32:C34)+C37+C38+SUM(C43:C47)+C48</f>
        <v>59893170</v>
      </c>
    </row>
    <row r="51" spans="1:3" ht="15.75" customHeight="1" x14ac:dyDescent="0.3"/>
    <row r="52" spans="1:3" ht="15.75" customHeight="1" x14ac:dyDescent="0.3"/>
    <row r="53" spans="1:3" ht="15.75" customHeight="1" x14ac:dyDescent="0.3"/>
    <row r="54" spans="1:3" ht="15.75" customHeight="1" x14ac:dyDescent="0.3"/>
    <row r="55" spans="1:3" ht="15.75" customHeight="1" x14ac:dyDescent="0.3"/>
    <row r="56" spans="1:3" ht="15.75" customHeight="1" x14ac:dyDescent="0.3"/>
    <row r="57" spans="1:3" ht="15.75" customHeight="1" x14ac:dyDescent="0.3"/>
    <row r="58" spans="1:3" ht="15.75" customHeight="1" x14ac:dyDescent="0.3"/>
    <row r="59" spans="1:3" ht="15.75" customHeight="1" x14ac:dyDescent="0.3"/>
    <row r="60" spans="1:3" ht="15.75" customHeight="1" x14ac:dyDescent="0.3"/>
    <row r="61" spans="1:3" ht="15.75" customHeight="1" x14ac:dyDescent="0.3"/>
    <row r="62" spans="1:3" ht="15.75" customHeight="1" x14ac:dyDescent="0.3"/>
    <row r="63" spans="1:3" ht="15.75" customHeight="1" x14ac:dyDescent="0.3"/>
  </sheetData>
  <sheetProtection password="9C8D" sheet="1" objects="1" scenarios="1"/>
  <mergeCells count="5">
    <mergeCell ref="A2:C2"/>
    <mergeCell ref="A3:C3"/>
    <mergeCell ref="A4:C4"/>
    <mergeCell ref="A5:C5"/>
    <mergeCell ref="A1:C1"/>
  </mergeCells>
  <pageMargins left="0.511811024" right="0.511811024" top="0.78740157499999996" bottom="0.78740157499999996" header="0.31496062000000002" footer="0.31496062000000002"/>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2"/>
  <sheetViews>
    <sheetView windowProtection="1" topLeftCell="A2" workbookViewId="0">
      <selection activeCell="AT14" sqref="AT14"/>
    </sheetView>
  </sheetViews>
  <sheetFormatPr defaultColWidth="10.42578125" defaultRowHeight="15" x14ac:dyDescent="0.25"/>
  <cols>
    <col min="1" max="1" width="10.42578125" style="994"/>
    <col min="2" max="2" width="12.28515625" style="994" hidden="1" customWidth="1"/>
    <col min="3" max="3" width="0" style="994" hidden="1" customWidth="1"/>
    <col min="4" max="4" width="8" style="994" bestFit="1" customWidth="1"/>
    <col min="5" max="6" width="0" style="994" hidden="1" customWidth="1"/>
    <col min="7" max="7" width="7" style="994" bestFit="1" customWidth="1"/>
    <col min="8" max="9" width="0" style="994" hidden="1" customWidth="1"/>
    <col min="10" max="10" width="8" style="994" bestFit="1" customWidth="1"/>
    <col min="11" max="12" width="0" style="994" hidden="1" customWidth="1"/>
    <col min="13" max="13" width="9.5703125" style="994" bestFit="1" customWidth="1"/>
    <col min="14" max="14" width="12.85546875" style="994" hidden="1" customWidth="1"/>
    <col min="15" max="15" width="0" style="994" hidden="1" customWidth="1"/>
    <col min="16" max="16" width="8" style="994" bestFit="1" customWidth="1"/>
    <col min="17" max="17" width="12.42578125" style="994" hidden="1" customWidth="1"/>
    <col min="18" max="18" width="10.42578125" style="994" hidden="1" customWidth="1"/>
    <col min="19" max="19" width="9.5703125" style="994" bestFit="1" customWidth="1"/>
    <col min="20" max="21" width="10.42578125" style="994" hidden="1" customWidth="1"/>
    <col min="22" max="22" width="9.5703125" style="994" bestFit="1" customWidth="1"/>
    <col min="23" max="24" width="10.42578125" style="994" hidden="1" customWidth="1"/>
    <col min="25" max="25" width="9.5703125" style="994" bestFit="1" customWidth="1"/>
    <col min="26" max="27" width="10.42578125" style="994" hidden="1" customWidth="1"/>
    <col min="28" max="28" width="10.5703125" style="994" bestFit="1" customWidth="1"/>
    <col min="29" max="29" width="10.42578125" style="994" hidden="1" customWidth="1"/>
    <col min="30" max="30" width="3.85546875" style="994" hidden="1" customWidth="1"/>
    <col min="31" max="31" width="8" style="994" bestFit="1" customWidth="1"/>
    <col min="32" max="32" width="12.5703125" style="994" hidden="1" customWidth="1"/>
    <col min="33" max="33" width="0" style="994" hidden="1" customWidth="1"/>
    <col min="34" max="34" width="10.5703125" style="994" bestFit="1" customWidth="1"/>
    <col min="35" max="36" width="0" style="994" hidden="1" customWidth="1"/>
    <col min="37" max="37" width="11.5703125" style="994" bestFit="1" customWidth="1"/>
    <col min="38" max="38" width="12.7109375" style="994" hidden="1" customWidth="1"/>
    <col min="39" max="39" width="0" style="994" hidden="1" customWidth="1"/>
    <col min="40" max="40" width="8.140625" style="995" bestFit="1" customWidth="1"/>
    <col min="41" max="41" width="13.140625" style="994" hidden="1" customWidth="1"/>
    <col min="42" max="42" width="0" style="994" hidden="1" customWidth="1"/>
    <col min="43" max="43" width="8.140625" style="995" bestFit="1" customWidth="1"/>
    <col min="44" max="16384" width="10.42578125" style="994"/>
  </cols>
  <sheetData>
    <row r="1" spans="1:43" ht="15.75" x14ac:dyDescent="0.25">
      <c r="A1" s="1433" t="s">
        <v>945</v>
      </c>
      <c r="B1" s="1433"/>
      <c r="C1" s="1433"/>
      <c r="D1" s="1433"/>
      <c r="E1" s="1433"/>
      <c r="F1" s="1433"/>
      <c r="G1" s="1433"/>
      <c r="H1" s="1433"/>
      <c r="I1" s="1433"/>
      <c r="J1" s="1433"/>
      <c r="K1" s="1433"/>
      <c r="L1" s="1433"/>
      <c r="M1" s="1433"/>
      <c r="N1" s="1433"/>
      <c r="O1" s="1433"/>
      <c r="P1" s="1433"/>
      <c r="Q1" s="1433"/>
      <c r="R1" s="1433"/>
      <c r="S1" s="1433"/>
      <c r="T1" s="1433"/>
      <c r="U1" s="1433"/>
      <c r="V1" s="1433"/>
      <c r="W1" s="1433"/>
      <c r="X1" s="1433"/>
      <c r="Y1" s="1433"/>
      <c r="Z1" s="1433"/>
      <c r="AA1" s="1433"/>
      <c r="AB1" s="1433"/>
      <c r="AC1" s="1433"/>
      <c r="AD1" s="1433"/>
      <c r="AE1" s="1433"/>
      <c r="AF1" s="1433"/>
      <c r="AG1" s="1433"/>
      <c r="AH1" s="1433"/>
      <c r="AI1" s="1433"/>
      <c r="AJ1" s="1433"/>
      <c r="AK1" s="1433"/>
      <c r="AL1" s="1433"/>
      <c r="AM1" s="1433"/>
      <c r="AN1" s="1433"/>
      <c r="AO1" s="1433"/>
      <c r="AP1" s="1433"/>
      <c r="AQ1" s="1433"/>
    </row>
    <row r="2" spans="1:43" ht="18" x14ac:dyDescent="0.35">
      <c r="A2" s="1454" t="s">
        <v>943</v>
      </c>
      <c r="B2" s="1454"/>
      <c r="C2" s="1454"/>
      <c r="D2" s="1454"/>
      <c r="E2" s="1454"/>
      <c r="F2" s="1454"/>
      <c r="G2" s="1454"/>
      <c r="H2" s="1454"/>
      <c r="I2" s="1454"/>
      <c r="J2" s="1454"/>
      <c r="K2" s="1454"/>
      <c r="L2" s="1454"/>
      <c r="M2" s="1454"/>
      <c r="N2" s="1454"/>
      <c r="O2" s="1454"/>
      <c r="P2" s="1454"/>
      <c r="Q2" s="1454"/>
      <c r="R2" s="1454"/>
      <c r="S2" s="1454"/>
      <c r="T2" s="1454"/>
      <c r="U2" s="1454"/>
      <c r="V2" s="1454"/>
      <c r="W2" s="1454"/>
      <c r="X2" s="1454"/>
      <c r="Y2" s="1454"/>
      <c r="Z2" s="1454"/>
      <c r="AA2" s="1454"/>
      <c r="AB2" s="1454"/>
      <c r="AC2" s="1454"/>
      <c r="AD2" s="1454"/>
      <c r="AE2" s="1454"/>
      <c r="AF2" s="1454"/>
      <c r="AG2" s="1454"/>
      <c r="AH2" s="1454"/>
      <c r="AI2" s="1454"/>
      <c r="AJ2" s="1454"/>
      <c r="AK2" s="1454"/>
      <c r="AL2" s="1454"/>
      <c r="AM2" s="1454"/>
      <c r="AN2" s="1454"/>
      <c r="AO2" s="1454"/>
      <c r="AP2" s="1454"/>
      <c r="AQ2" s="1454"/>
    </row>
    <row r="3" spans="1:43" ht="18" x14ac:dyDescent="0.35">
      <c r="A3" s="1454" t="s">
        <v>814</v>
      </c>
      <c r="B3" s="1454"/>
      <c r="C3" s="1454"/>
      <c r="D3" s="1454"/>
      <c r="E3" s="1454"/>
      <c r="F3" s="1454"/>
      <c r="G3" s="1454"/>
      <c r="H3" s="1454"/>
      <c r="I3" s="1454"/>
      <c r="J3" s="1454"/>
      <c r="K3" s="1454"/>
      <c r="L3" s="1454"/>
      <c r="M3" s="1454"/>
      <c r="N3" s="1454"/>
      <c r="O3" s="1454"/>
      <c r="P3" s="1454"/>
      <c r="Q3" s="1454"/>
      <c r="R3" s="1454"/>
      <c r="S3" s="1454"/>
      <c r="T3" s="1454"/>
      <c r="U3" s="1454"/>
      <c r="V3" s="1454"/>
      <c r="W3" s="1454"/>
      <c r="X3" s="1454"/>
      <c r="Y3" s="1454"/>
      <c r="Z3" s="1454"/>
      <c r="AA3" s="1454"/>
      <c r="AB3" s="1454"/>
      <c r="AC3" s="1454"/>
      <c r="AD3" s="1454"/>
      <c r="AE3" s="1454"/>
      <c r="AF3" s="1454"/>
      <c r="AG3" s="1454"/>
      <c r="AH3" s="1454"/>
      <c r="AI3" s="1454"/>
      <c r="AJ3" s="1454"/>
      <c r="AK3" s="1454"/>
      <c r="AL3" s="1454"/>
      <c r="AM3" s="1454"/>
      <c r="AN3" s="1454"/>
      <c r="AO3" s="1454"/>
      <c r="AP3" s="1454"/>
      <c r="AQ3" s="1454"/>
    </row>
    <row r="4" spans="1:43" s="979" customFormat="1" ht="18" x14ac:dyDescent="0.35">
      <c r="A4" s="1457" t="s">
        <v>944</v>
      </c>
      <c r="B4" s="1457"/>
      <c r="C4" s="1457"/>
      <c r="D4" s="1457"/>
      <c r="E4" s="1457"/>
      <c r="F4" s="1457"/>
      <c r="G4" s="1457"/>
      <c r="H4" s="1457"/>
      <c r="I4" s="1457"/>
      <c r="J4" s="1457"/>
      <c r="K4" s="1457"/>
      <c r="L4" s="1457"/>
      <c r="M4" s="1457"/>
      <c r="N4" s="1457"/>
      <c r="O4" s="1457"/>
      <c r="P4" s="1457"/>
      <c r="Q4" s="1457"/>
      <c r="R4" s="1457"/>
      <c r="S4" s="1457"/>
      <c r="T4" s="1457"/>
      <c r="U4" s="1457"/>
      <c r="V4" s="1457"/>
      <c r="W4" s="1457"/>
      <c r="X4" s="1457"/>
      <c r="Y4" s="1457"/>
      <c r="Z4" s="1457"/>
      <c r="AA4" s="1457"/>
      <c r="AB4" s="1457"/>
      <c r="AC4" s="1457"/>
      <c r="AD4" s="1457"/>
      <c r="AE4" s="1457"/>
      <c r="AF4" s="1457"/>
      <c r="AG4" s="1457"/>
      <c r="AH4" s="1457"/>
      <c r="AI4" s="1457"/>
      <c r="AJ4" s="1457"/>
      <c r="AK4" s="1457"/>
      <c r="AL4" s="1457"/>
      <c r="AM4" s="1457"/>
      <c r="AN4" s="1457"/>
      <c r="AO4" s="1457"/>
      <c r="AP4" s="1457"/>
      <c r="AQ4" s="1457"/>
    </row>
    <row r="5" spans="1:43" s="981" customFormat="1" x14ac:dyDescent="0.25">
      <c r="A5" s="996" t="s">
        <v>936</v>
      </c>
      <c r="B5" s="1459" t="s">
        <v>138</v>
      </c>
      <c r="C5" s="1459"/>
      <c r="D5" s="1459"/>
      <c r="E5" s="1459"/>
      <c r="F5" s="1459"/>
      <c r="G5" s="1459"/>
      <c r="H5" s="1459" t="s">
        <v>937</v>
      </c>
      <c r="I5" s="1459"/>
      <c r="J5" s="1459"/>
      <c r="K5" s="1459"/>
      <c r="L5" s="1459"/>
      <c r="M5" s="1459"/>
      <c r="N5" s="1459" t="s">
        <v>938</v>
      </c>
      <c r="O5" s="1459"/>
      <c r="P5" s="1459"/>
      <c r="Q5" s="1459"/>
      <c r="R5" s="1459"/>
      <c r="S5" s="1459"/>
      <c r="T5" s="1459" t="s">
        <v>143</v>
      </c>
      <c r="U5" s="1459"/>
      <c r="V5" s="1459"/>
      <c r="W5" s="1459"/>
      <c r="X5" s="1459"/>
      <c r="Y5" s="1459"/>
      <c r="Z5" s="1459" t="s">
        <v>939</v>
      </c>
      <c r="AA5" s="1459"/>
      <c r="AB5" s="1459"/>
      <c r="AC5" s="1459"/>
      <c r="AD5" s="1459"/>
      <c r="AE5" s="1459"/>
      <c r="AF5" s="1459" t="s">
        <v>141</v>
      </c>
      <c r="AG5" s="1459"/>
      <c r="AH5" s="1459"/>
      <c r="AI5" s="1459"/>
      <c r="AJ5" s="1459"/>
      <c r="AK5" s="1459"/>
      <c r="AL5" s="1458" t="s">
        <v>222</v>
      </c>
      <c r="AM5" s="1458"/>
      <c r="AN5" s="1458"/>
      <c r="AO5" s="1458"/>
      <c r="AP5" s="1458"/>
      <c r="AQ5" s="1458"/>
    </row>
    <row r="6" spans="1:43" s="981" customFormat="1" x14ac:dyDescent="0.25">
      <c r="A6" s="997"/>
      <c r="B6" s="1458">
        <v>2014</v>
      </c>
      <c r="C6" s="1458"/>
      <c r="D6" s="1458"/>
      <c r="E6" s="1458">
        <v>2015</v>
      </c>
      <c r="F6" s="1458"/>
      <c r="G6" s="1458"/>
      <c r="H6" s="1458">
        <v>2014</v>
      </c>
      <c r="I6" s="1458"/>
      <c r="J6" s="1458"/>
      <c r="K6" s="1458">
        <v>2015</v>
      </c>
      <c r="L6" s="1458"/>
      <c r="M6" s="1458"/>
      <c r="N6" s="1458">
        <v>2014</v>
      </c>
      <c r="O6" s="1458"/>
      <c r="P6" s="1458"/>
      <c r="Q6" s="1458">
        <v>2015</v>
      </c>
      <c r="R6" s="1458"/>
      <c r="S6" s="1458"/>
      <c r="T6" s="1458">
        <v>2014</v>
      </c>
      <c r="U6" s="1458"/>
      <c r="V6" s="1458"/>
      <c r="W6" s="1458">
        <v>2015</v>
      </c>
      <c r="X6" s="1458"/>
      <c r="Y6" s="1458"/>
      <c r="Z6" s="1458">
        <v>2014</v>
      </c>
      <c r="AA6" s="1458"/>
      <c r="AB6" s="1458"/>
      <c r="AC6" s="1458">
        <v>2015</v>
      </c>
      <c r="AD6" s="1458"/>
      <c r="AE6" s="1458"/>
      <c r="AF6" s="1458">
        <v>2014</v>
      </c>
      <c r="AG6" s="1458"/>
      <c r="AH6" s="1458"/>
      <c r="AI6" s="1458">
        <v>2015</v>
      </c>
      <c r="AJ6" s="1458"/>
      <c r="AK6" s="1458"/>
      <c r="AL6" s="1458">
        <v>2014</v>
      </c>
      <c r="AM6" s="1458"/>
      <c r="AN6" s="1458"/>
      <c r="AO6" s="1458">
        <v>2015</v>
      </c>
      <c r="AP6" s="1458"/>
      <c r="AQ6" s="1458"/>
    </row>
    <row r="7" spans="1:43" s="982" customFormat="1" ht="34.5" hidden="1" customHeight="1" x14ac:dyDescent="0.25">
      <c r="B7" s="982" t="s">
        <v>940</v>
      </c>
      <c r="C7" s="982" t="s">
        <v>941</v>
      </c>
      <c r="D7" s="982" t="s">
        <v>942</v>
      </c>
      <c r="E7" s="982" t="s">
        <v>940</v>
      </c>
      <c r="F7" s="982" t="s">
        <v>941</v>
      </c>
      <c r="G7" s="982" t="s">
        <v>942</v>
      </c>
      <c r="H7" s="982" t="s">
        <v>940</v>
      </c>
      <c r="I7" s="982" t="s">
        <v>941</v>
      </c>
      <c r="J7" s="982" t="s">
        <v>942</v>
      </c>
      <c r="K7" s="982" t="s">
        <v>940</v>
      </c>
      <c r="L7" s="982" t="s">
        <v>941</v>
      </c>
      <c r="M7" s="982" t="s">
        <v>942</v>
      </c>
      <c r="N7" s="982" t="s">
        <v>940</v>
      </c>
      <c r="O7" s="982" t="s">
        <v>941</v>
      </c>
      <c r="P7" s="982" t="s">
        <v>942</v>
      </c>
      <c r="Q7" s="982" t="s">
        <v>940</v>
      </c>
      <c r="R7" s="982" t="s">
        <v>941</v>
      </c>
      <c r="S7" s="982" t="s">
        <v>942</v>
      </c>
      <c r="T7" s="982" t="s">
        <v>940</v>
      </c>
      <c r="U7" s="982" t="s">
        <v>941</v>
      </c>
      <c r="V7" s="982" t="s">
        <v>942</v>
      </c>
      <c r="W7" s="982" t="s">
        <v>940</v>
      </c>
      <c r="X7" s="982" t="s">
        <v>941</v>
      </c>
      <c r="Y7" s="982" t="s">
        <v>942</v>
      </c>
      <c r="Z7" s="982" t="s">
        <v>940</v>
      </c>
      <c r="AA7" s="982" t="s">
        <v>941</v>
      </c>
      <c r="AB7" s="982" t="s">
        <v>942</v>
      </c>
      <c r="AC7" s="982" t="s">
        <v>940</v>
      </c>
      <c r="AD7" s="982" t="s">
        <v>941</v>
      </c>
      <c r="AE7" s="982" t="s">
        <v>942</v>
      </c>
      <c r="AF7" s="982" t="s">
        <v>940</v>
      </c>
      <c r="AG7" s="982" t="s">
        <v>941</v>
      </c>
      <c r="AH7" s="982" t="s">
        <v>942</v>
      </c>
      <c r="AI7" s="982" t="s">
        <v>940</v>
      </c>
      <c r="AJ7" s="982" t="s">
        <v>941</v>
      </c>
      <c r="AK7" s="982" t="s">
        <v>942</v>
      </c>
      <c r="AL7" s="982" t="s">
        <v>940</v>
      </c>
      <c r="AM7" s="982" t="s">
        <v>941</v>
      </c>
      <c r="AN7" s="983" t="s">
        <v>942</v>
      </c>
      <c r="AO7" s="982" t="s">
        <v>940</v>
      </c>
      <c r="AP7" s="982" t="s">
        <v>941</v>
      </c>
      <c r="AQ7" s="983" t="s">
        <v>942</v>
      </c>
    </row>
    <row r="8" spans="1:43" s="985" customFormat="1" ht="12.75" x14ac:dyDescent="0.2">
      <c r="A8" s="984" t="s">
        <v>168</v>
      </c>
      <c r="B8" s="985">
        <v>124096</v>
      </c>
      <c r="C8" s="985">
        <v>24209.999599999999</v>
      </c>
      <c r="D8" s="985">
        <f>(B8/C8)</f>
        <v>5.1258158632931163</v>
      </c>
      <c r="E8" s="985">
        <v>160024</v>
      </c>
      <c r="F8" s="985">
        <v>25798</v>
      </c>
      <c r="G8" s="985">
        <f>(E8/F8)</f>
        <v>6.2029614698813864</v>
      </c>
      <c r="H8" s="985">
        <v>327415</v>
      </c>
      <c r="I8" s="985">
        <v>606</v>
      </c>
      <c r="J8" s="985">
        <f>(H8/I8)</f>
        <v>540.28877887788781</v>
      </c>
      <c r="K8" s="985">
        <v>32689</v>
      </c>
      <c r="L8" s="985">
        <v>71</v>
      </c>
      <c r="M8" s="985">
        <f>(K8/L8)</f>
        <v>460.40845070422534</v>
      </c>
      <c r="N8" s="986">
        <v>2763</v>
      </c>
      <c r="O8" s="985">
        <v>94</v>
      </c>
      <c r="P8" s="1001">
        <f>(N8/O8)</f>
        <v>29.393617021276597</v>
      </c>
      <c r="Q8" s="985">
        <f>26442+1</f>
        <v>26443</v>
      </c>
      <c r="R8" s="985">
        <v>232</v>
      </c>
      <c r="S8" s="1001">
        <f>(Q8/R8)</f>
        <v>113.97844827586206</v>
      </c>
      <c r="T8" s="985">
        <v>21662</v>
      </c>
      <c r="U8" s="985">
        <v>18</v>
      </c>
      <c r="V8" s="1001">
        <f>(T8/U8)</f>
        <v>1203.4444444444443</v>
      </c>
      <c r="W8" s="985">
        <v>85800</v>
      </c>
      <c r="X8" s="985">
        <v>16</v>
      </c>
      <c r="Y8" s="1001">
        <f>(W8/X8)</f>
        <v>5362.5</v>
      </c>
      <c r="Z8" s="985">
        <v>98659</v>
      </c>
      <c r="AA8" s="985">
        <v>787.99990000000003</v>
      </c>
      <c r="AB8" s="1001">
        <f>(Z8/AA8)</f>
        <v>125.20179253829855</v>
      </c>
      <c r="AC8" s="985">
        <v>125785</v>
      </c>
      <c r="AD8" s="985">
        <v>733</v>
      </c>
      <c r="AE8" s="1001">
        <f>(AC8/AD8)</f>
        <v>171.60300136425647</v>
      </c>
      <c r="AL8" s="985">
        <f>B8+H8+N8+T8+Z8+AF8</f>
        <v>574595</v>
      </c>
      <c r="AM8" s="985">
        <f>C8+I8+O8+U8+AA8+AG8</f>
        <v>25715.999499999998</v>
      </c>
      <c r="AN8" s="1001">
        <f>AL8/AM8</f>
        <v>22.343871954111684</v>
      </c>
      <c r="AO8" s="985">
        <f>E8+K8+Q8+W8+AC8+AI8</f>
        <v>430741</v>
      </c>
      <c r="AP8" s="985">
        <f>F8+L8+R8+X8+AD8+AJ8</f>
        <v>26850</v>
      </c>
      <c r="AQ8" s="1002">
        <f>AO8/AP8</f>
        <v>16.042495344506516</v>
      </c>
    </row>
    <row r="9" spans="1:43" s="985" customFormat="1" ht="12.75" x14ac:dyDescent="0.2">
      <c r="A9" s="984" t="s">
        <v>172</v>
      </c>
      <c r="B9" s="985">
        <v>1591392</v>
      </c>
      <c r="C9" s="985">
        <v>91331.997800000012</v>
      </c>
      <c r="D9" s="985">
        <f t="shared" ref="D9:D18" si="0">(B9/C9)</f>
        <v>17.424254788391366</v>
      </c>
      <c r="E9" s="985">
        <v>1877832</v>
      </c>
      <c r="F9" s="985">
        <v>104131.9987</v>
      </c>
      <c r="G9" s="985">
        <f t="shared" ref="G9:G18" si="1">(E9/F9)</f>
        <v>18.033188870310237</v>
      </c>
      <c r="H9" s="985">
        <v>1013049</v>
      </c>
      <c r="I9" s="985">
        <v>3283.9999000000003</v>
      </c>
      <c r="J9" s="985">
        <f t="shared" ref="J9:J18" si="2">(H9/I9)</f>
        <v>308.48021645798462</v>
      </c>
      <c r="K9" s="985">
        <v>216155</v>
      </c>
      <c r="L9" s="985">
        <v>488.99980000000005</v>
      </c>
      <c r="M9" s="985">
        <f t="shared" ref="M9:M18" si="3">(K9/L9)</f>
        <v>442.03494561756463</v>
      </c>
      <c r="N9" s="986">
        <v>17954</v>
      </c>
      <c r="O9" s="985">
        <v>204.99979999999999</v>
      </c>
      <c r="P9" s="1001">
        <f t="shared" ref="P9:P18" si="4">(N9/O9)</f>
        <v>87.580573249339764</v>
      </c>
      <c r="Q9" s="985">
        <v>16242</v>
      </c>
      <c r="R9" s="985">
        <v>362</v>
      </c>
      <c r="S9" s="1001">
        <f t="shared" ref="S9:S18" si="5">(Q9/R9)</f>
        <v>44.867403314917127</v>
      </c>
      <c r="T9" s="985">
        <v>60219</v>
      </c>
      <c r="U9" s="985">
        <v>86</v>
      </c>
      <c r="V9" s="1001">
        <f t="shared" ref="V9:V18" si="6">(T9/U9)</f>
        <v>700.22093023255809</v>
      </c>
      <c r="W9" s="985">
        <f>167906+1</f>
        <v>167907</v>
      </c>
      <c r="X9" s="985">
        <v>52</v>
      </c>
      <c r="Y9" s="1001">
        <f t="shared" ref="Y9:Y18" si="7">(W9/X9)</f>
        <v>3228.9807692307691</v>
      </c>
      <c r="Z9" s="985">
        <v>602839</v>
      </c>
      <c r="AA9" s="985">
        <v>1801.9995999999999</v>
      </c>
      <c r="AB9" s="1001">
        <f t="shared" ref="AB9:AB18" si="8">(Z9/AA9)</f>
        <v>334.53891998644173</v>
      </c>
      <c r="AC9" s="985">
        <f>888622+1</f>
        <v>888623</v>
      </c>
      <c r="AD9" s="985">
        <v>4723.9997999999996</v>
      </c>
      <c r="AE9" s="1001">
        <f t="shared" ref="AE9:AE18" si="9">(AC9/AD9)</f>
        <v>188.10817900542673</v>
      </c>
      <c r="AF9" s="985">
        <v>181904.99438999998</v>
      </c>
      <c r="AG9" s="985">
        <v>2</v>
      </c>
      <c r="AH9" s="985">
        <f>(AF9/AG9)</f>
        <v>90952.497194999989</v>
      </c>
      <c r="AI9" s="985">
        <v>44810</v>
      </c>
      <c r="AJ9" s="985">
        <v>2</v>
      </c>
      <c r="AK9" s="985">
        <f>(AI9/AJ9)</f>
        <v>22405</v>
      </c>
      <c r="AL9" s="985">
        <f t="shared" ref="AL9:AM18" si="10">B9+H9+N9+T9+Z9+AF9</f>
        <v>3467357.9943900001</v>
      </c>
      <c r="AM9" s="985">
        <f t="shared" si="10"/>
        <v>96710.997100000008</v>
      </c>
      <c r="AN9" s="1001">
        <f t="shared" ref="AN9:AN18" si="11">AL9/AM9</f>
        <v>35.852778881027582</v>
      </c>
      <c r="AO9" s="985">
        <f t="shared" ref="AO9:AP18" si="12">E9+K9+Q9+W9+AC9+AI9</f>
        <v>3211569</v>
      </c>
      <c r="AP9" s="985">
        <f t="shared" si="12"/>
        <v>109760.99830000001</v>
      </c>
      <c r="AQ9" s="1002">
        <f t="shared" ref="AQ9:AQ18" si="13">AO9/AP9</f>
        <v>29.259655521919573</v>
      </c>
    </row>
    <row r="10" spans="1:43" s="985" customFormat="1" ht="12.75" x14ac:dyDescent="0.2">
      <c r="A10" s="984" t="s">
        <v>174</v>
      </c>
      <c r="B10" s="985">
        <v>443525</v>
      </c>
      <c r="C10" s="985">
        <v>58925.999500000005</v>
      </c>
      <c r="D10" s="985">
        <f t="shared" si="0"/>
        <v>7.5268133551133056</v>
      </c>
      <c r="E10" s="985">
        <v>443606</v>
      </c>
      <c r="F10" s="985">
        <v>64007.999800000005</v>
      </c>
      <c r="G10" s="985">
        <f t="shared" si="1"/>
        <v>6.9304774619749949</v>
      </c>
      <c r="H10" s="985">
        <v>523098</v>
      </c>
      <c r="I10" s="985">
        <v>4285.9998999999998</v>
      </c>
      <c r="J10" s="985">
        <f t="shared" si="2"/>
        <v>122.04806631003422</v>
      </c>
      <c r="K10" s="985">
        <f>352024+1</f>
        <v>352025</v>
      </c>
      <c r="L10" s="985">
        <v>750</v>
      </c>
      <c r="M10" s="985">
        <f t="shared" si="3"/>
        <v>469.36666666666667</v>
      </c>
      <c r="N10" s="986">
        <f>21299+1</f>
        <v>21300</v>
      </c>
      <c r="O10" s="985">
        <v>482</v>
      </c>
      <c r="P10" s="1001">
        <f t="shared" si="4"/>
        <v>44.190871369294605</v>
      </c>
      <c r="Q10" s="985">
        <v>9529</v>
      </c>
      <c r="R10" s="985">
        <v>739</v>
      </c>
      <c r="S10" s="1001">
        <f t="shared" si="5"/>
        <v>12.89445196211096</v>
      </c>
      <c r="T10" s="985">
        <v>50929</v>
      </c>
      <c r="U10" s="985">
        <v>244</v>
      </c>
      <c r="V10" s="1001">
        <f t="shared" si="6"/>
        <v>208.72540983606558</v>
      </c>
      <c r="W10" s="985">
        <v>69988</v>
      </c>
      <c r="X10" s="985">
        <v>246</v>
      </c>
      <c r="Y10" s="1001">
        <f t="shared" si="7"/>
        <v>284.5040650406504</v>
      </c>
      <c r="Z10" s="985">
        <v>577238</v>
      </c>
      <c r="AA10" s="985">
        <v>2373.9996000000006</v>
      </c>
      <c r="AB10" s="1001">
        <f t="shared" si="8"/>
        <v>243.14999884582957</v>
      </c>
      <c r="AC10" s="985">
        <v>549583</v>
      </c>
      <c r="AD10" s="985">
        <v>4515.9998999999998</v>
      </c>
      <c r="AE10" s="1001">
        <f t="shared" si="9"/>
        <v>121.69685831923957</v>
      </c>
      <c r="AF10" s="985">
        <v>48356.986530000002</v>
      </c>
      <c r="AG10" s="985">
        <v>1</v>
      </c>
      <c r="AH10" s="985">
        <f t="shared" ref="AH10:AH14" si="14">(AF10/AG10)</f>
        <v>48356.986530000002</v>
      </c>
      <c r="AI10" s="985">
        <v>370615</v>
      </c>
      <c r="AJ10" s="985">
        <v>2</v>
      </c>
      <c r="AK10" s="985">
        <f t="shared" ref="AK10:AK15" si="15">(AI10/AJ10)</f>
        <v>185307.5</v>
      </c>
      <c r="AL10" s="985">
        <f t="shared" si="10"/>
        <v>1664446.9865300001</v>
      </c>
      <c r="AM10" s="985">
        <f t="shared" si="10"/>
        <v>66312.999000000011</v>
      </c>
      <c r="AN10" s="1001">
        <f t="shared" si="11"/>
        <v>25.099859931383889</v>
      </c>
      <c r="AO10" s="985">
        <f t="shared" si="12"/>
        <v>1795346</v>
      </c>
      <c r="AP10" s="985">
        <f t="shared" si="12"/>
        <v>70260.9997</v>
      </c>
      <c r="AQ10" s="1002">
        <f t="shared" si="13"/>
        <v>25.552525692286725</v>
      </c>
    </row>
    <row r="11" spans="1:43" s="985" customFormat="1" ht="12.75" x14ac:dyDescent="0.2">
      <c r="A11" s="984" t="s">
        <v>175</v>
      </c>
      <c r="B11" s="985">
        <v>52703</v>
      </c>
      <c r="C11" s="985">
        <v>439.99979999999999</v>
      </c>
      <c r="D11" s="985">
        <f t="shared" si="0"/>
        <v>119.77959989981814</v>
      </c>
      <c r="E11" s="985">
        <v>52663</v>
      </c>
      <c r="F11" s="985">
        <v>543.99980000000005</v>
      </c>
      <c r="G11" s="985">
        <f t="shared" si="1"/>
        <v>96.807020884934147</v>
      </c>
      <c r="H11" s="985">
        <v>127886</v>
      </c>
      <c r="I11" s="985">
        <v>256</v>
      </c>
      <c r="J11" s="985">
        <f t="shared" si="2"/>
        <v>499.5546875</v>
      </c>
      <c r="K11" s="985">
        <v>33542</v>
      </c>
      <c r="L11" s="985">
        <v>76</v>
      </c>
      <c r="M11" s="985">
        <f t="shared" si="3"/>
        <v>441.34210526315792</v>
      </c>
      <c r="N11" s="986">
        <v>3757</v>
      </c>
      <c r="O11" s="985">
        <v>8</v>
      </c>
      <c r="P11" s="1001">
        <f t="shared" si="4"/>
        <v>469.625</v>
      </c>
      <c r="Q11" s="985">
        <v>22438</v>
      </c>
      <c r="R11" s="985">
        <v>3</v>
      </c>
      <c r="S11" s="1001">
        <f t="shared" si="5"/>
        <v>7479.333333333333</v>
      </c>
      <c r="T11" s="985">
        <v>6776</v>
      </c>
      <c r="U11" s="985">
        <v>4</v>
      </c>
      <c r="V11" s="1001">
        <f t="shared" si="6"/>
        <v>1694</v>
      </c>
      <c r="W11" s="985">
        <v>2610</v>
      </c>
      <c r="X11" s="985">
        <v>2</v>
      </c>
      <c r="Y11" s="1001">
        <f t="shared" si="7"/>
        <v>1305</v>
      </c>
      <c r="Z11" s="985">
        <v>24122</v>
      </c>
      <c r="AA11" s="985">
        <v>171</v>
      </c>
      <c r="AB11" s="1001">
        <f t="shared" si="8"/>
        <v>141.06432748538012</v>
      </c>
      <c r="AC11" s="985">
        <v>40518</v>
      </c>
      <c r="AD11" s="985">
        <v>345.99990000000003</v>
      </c>
      <c r="AE11" s="1001">
        <f t="shared" si="9"/>
        <v>117.10408008788441</v>
      </c>
      <c r="AL11" s="985">
        <f t="shared" si="10"/>
        <v>215244</v>
      </c>
      <c r="AM11" s="985">
        <f t="shared" si="10"/>
        <v>878.99980000000005</v>
      </c>
      <c r="AN11" s="1001">
        <f t="shared" si="11"/>
        <v>244.87377585296377</v>
      </c>
      <c r="AO11" s="985">
        <f t="shared" si="12"/>
        <v>151771</v>
      </c>
      <c r="AP11" s="985">
        <f t="shared" si="12"/>
        <v>970.99970000000008</v>
      </c>
      <c r="AQ11" s="1002">
        <f t="shared" si="13"/>
        <v>156.30385879624885</v>
      </c>
    </row>
    <row r="12" spans="1:43" s="985" customFormat="1" ht="12.75" x14ac:dyDescent="0.2">
      <c r="A12" s="984" t="s">
        <v>176</v>
      </c>
      <c r="B12" s="985">
        <v>732116</v>
      </c>
      <c r="C12" s="985">
        <v>45504.997499999998</v>
      </c>
      <c r="D12" s="985">
        <f t="shared" si="0"/>
        <v>16.088694434056393</v>
      </c>
      <c r="E12" s="985">
        <v>836819</v>
      </c>
      <c r="F12" s="985">
        <v>46906.998599999999</v>
      </c>
      <c r="G12" s="985">
        <f t="shared" si="1"/>
        <v>17.839960453150802</v>
      </c>
      <c r="H12" s="985">
        <v>327971</v>
      </c>
      <c r="I12" s="985">
        <v>1656</v>
      </c>
      <c r="J12" s="985">
        <f t="shared" si="2"/>
        <v>198.05012077294685</v>
      </c>
      <c r="K12" s="985">
        <v>33011</v>
      </c>
      <c r="L12" s="985">
        <v>120</v>
      </c>
      <c r="M12" s="985">
        <f t="shared" si="3"/>
        <v>275.09166666666664</v>
      </c>
      <c r="N12" s="986">
        <v>7502</v>
      </c>
      <c r="O12" s="985">
        <v>520</v>
      </c>
      <c r="P12" s="1001">
        <f t="shared" si="4"/>
        <v>14.426923076923076</v>
      </c>
      <c r="Q12" s="985">
        <v>3221</v>
      </c>
      <c r="R12" s="985">
        <v>576</v>
      </c>
      <c r="S12" s="1001">
        <f t="shared" si="5"/>
        <v>5.5920138888888893</v>
      </c>
      <c r="T12" s="985">
        <v>12915</v>
      </c>
      <c r="U12" s="985">
        <v>43</v>
      </c>
      <c r="V12" s="1001">
        <f t="shared" si="6"/>
        <v>300.3488372093023</v>
      </c>
      <c r="W12" s="985">
        <v>4056</v>
      </c>
      <c r="X12" s="985">
        <v>18</v>
      </c>
      <c r="Y12" s="1001">
        <f t="shared" si="7"/>
        <v>225.33333333333334</v>
      </c>
      <c r="Z12" s="985">
        <v>247157</v>
      </c>
      <c r="AA12" s="985">
        <v>1162.9995000000001</v>
      </c>
      <c r="AB12" s="1001">
        <f t="shared" si="8"/>
        <v>212.51685834774648</v>
      </c>
      <c r="AC12" s="985">
        <v>341223</v>
      </c>
      <c r="AD12" s="985">
        <v>1946</v>
      </c>
      <c r="AE12" s="1001">
        <f t="shared" si="9"/>
        <v>175.34583761562178</v>
      </c>
      <c r="AL12" s="985">
        <f t="shared" si="10"/>
        <v>1327661</v>
      </c>
      <c r="AM12" s="985">
        <f t="shared" si="10"/>
        <v>48886.996999999996</v>
      </c>
      <c r="AN12" s="1001">
        <f t="shared" si="11"/>
        <v>27.157753216054569</v>
      </c>
      <c r="AO12" s="985">
        <f t="shared" si="12"/>
        <v>1218330</v>
      </c>
      <c r="AP12" s="985">
        <f t="shared" si="12"/>
        <v>49566.998599999999</v>
      </c>
      <c r="AQ12" s="1002">
        <f t="shared" si="13"/>
        <v>24.579458801445362</v>
      </c>
    </row>
    <row r="13" spans="1:43" s="985" customFormat="1" ht="12.75" x14ac:dyDescent="0.2">
      <c r="A13" s="984" t="s">
        <v>177</v>
      </c>
      <c r="B13" s="985">
        <v>321147</v>
      </c>
      <c r="C13" s="985">
        <v>42980.9997</v>
      </c>
      <c r="D13" s="985">
        <f t="shared" si="0"/>
        <v>7.4718364449768719</v>
      </c>
      <c r="E13" s="985">
        <v>409311</v>
      </c>
      <c r="F13" s="985">
        <v>47014.999599999996</v>
      </c>
      <c r="G13" s="985">
        <f t="shared" si="1"/>
        <v>8.7059662550757526</v>
      </c>
      <c r="H13" s="985">
        <v>171169</v>
      </c>
      <c r="I13" s="985">
        <v>1110.9998000000001</v>
      </c>
      <c r="J13" s="985">
        <f t="shared" si="2"/>
        <v>154.06753448560477</v>
      </c>
      <c r="K13" s="985">
        <v>243399</v>
      </c>
      <c r="L13" s="985">
        <v>92</v>
      </c>
      <c r="M13" s="985">
        <f t="shared" si="3"/>
        <v>2645.641304347826</v>
      </c>
      <c r="N13" s="986">
        <v>2338</v>
      </c>
      <c r="O13" s="985">
        <v>444</v>
      </c>
      <c r="P13" s="1001">
        <f t="shared" si="4"/>
        <v>5.2657657657657655</v>
      </c>
      <c r="Q13" s="985">
        <v>2365</v>
      </c>
      <c r="R13" s="985">
        <v>562</v>
      </c>
      <c r="S13" s="1001">
        <f t="shared" si="5"/>
        <v>4.2081850533807827</v>
      </c>
      <c r="T13" s="985">
        <v>1994</v>
      </c>
      <c r="U13" s="985">
        <v>5</v>
      </c>
      <c r="V13" s="1001">
        <f t="shared" si="6"/>
        <v>398.8</v>
      </c>
      <c r="W13" s="985">
        <f>660+1</f>
        <v>661</v>
      </c>
      <c r="X13" s="985">
        <v>6</v>
      </c>
      <c r="Y13" s="1001">
        <f t="shared" si="7"/>
        <v>110.16666666666667</v>
      </c>
      <c r="Z13" s="985">
        <v>57282</v>
      </c>
      <c r="AA13" s="985">
        <v>414</v>
      </c>
      <c r="AB13" s="1001">
        <f t="shared" si="8"/>
        <v>138.36231884057972</v>
      </c>
      <c r="AC13" s="985">
        <v>141115</v>
      </c>
      <c r="AD13" s="985">
        <v>1400.9999</v>
      </c>
      <c r="AE13" s="1001">
        <f t="shared" si="9"/>
        <v>100.72448970196214</v>
      </c>
      <c r="AL13" s="985">
        <f t="shared" si="10"/>
        <v>553930</v>
      </c>
      <c r="AM13" s="985">
        <f t="shared" si="10"/>
        <v>44954.999499999998</v>
      </c>
      <c r="AN13" s="1001">
        <f t="shared" si="11"/>
        <v>12.321877570035342</v>
      </c>
      <c r="AO13" s="985">
        <f t="shared" si="12"/>
        <v>796851</v>
      </c>
      <c r="AP13" s="985">
        <f t="shared" si="12"/>
        <v>49075.999499999998</v>
      </c>
      <c r="AQ13" s="1002">
        <f t="shared" si="13"/>
        <v>16.237081427144446</v>
      </c>
    </row>
    <row r="14" spans="1:43" s="985" customFormat="1" ht="12.75" x14ac:dyDescent="0.2">
      <c r="A14" s="984" t="s">
        <v>178</v>
      </c>
      <c r="B14" s="985">
        <v>197383</v>
      </c>
      <c r="C14" s="985">
        <v>36324.999799999998</v>
      </c>
      <c r="D14" s="985">
        <f t="shared" si="0"/>
        <v>5.4338059487064339</v>
      </c>
      <c r="E14" s="985">
        <v>267017</v>
      </c>
      <c r="F14" s="985">
        <v>42955.999900000003</v>
      </c>
      <c r="G14" s="985">
        <f t="shared" si="1"/>
        <v>6.216058306676735</v>
      </c>
      <c r="H14" s="985">
        <v>178392</v>
      </c>
      <c r="I14" s="985">
        <v>1594</v>
      </c>
      <c r="J14" s="985">
        <f t="shared" si="2"/>
        <v>111.91468005018821</v>
      </c>
      <c r="K14" s="985">
        <v>141836</v>
      </c>
      <c r="L14" s="985">
        <v>343</v>
      </c>
      <c r="M14" s="985">
        <f t="shared" si="3"/>
        <v>413.51603498542272</v>
      </c>
      <c r="N14" s="986">
        <v>11308</v>
      </c>
      <c r="O14" s="985">
        <v>89</v>
      </c>
      <c r="P14" s="1001">
        <f t="shared" si="4"/>
        <v>127.0561797752809</v>
      </c>
      <c r="Q14" s="985">
        <v>3225</v>
      </c>
      <c r="R14" s="985">
        <v>77</v>
      </c>
      <c r="S14" s="1001">
        <f t="shared" si="5"/>
        <v>41.883116883116884</v>
      </c>
      <c r="T14" s="985">
        <v>74924</v>
      </c>
      <c r="U14" s="985">
        <v>91</v>
      </c>
      <c r="V14" s="1001">
        <f t="shared" si="6"/>
        <v>823.34065934065939</v>
      </c>
      <c r="W14" s="985">
        <v>8162</v>
      </c>
      <c r="X14" s="985">
        <v>82</v>
      </c>
      <c r="Y14" s="1001">
        <f t="shared" si="7"/>
        <v>99.536585365853654</v>
      </c>
      <c r="Z14" s="985">
        <v>84233</v>
      </c>
      <c r="AA14" s="985">
        <v>797</v>
      </c>
      <c r="AB14" s="1001">
        <f t="shared" si="8"/>
        <v>105.68757841907151</v>
      </c>
      <c r="AC14" s="985">
        <v>211213</v>
      </c>
      <c r="AD14" s="985">
        <v>2012.9999</v>
      </c>
      <c r="AE14" s="1001">
        <f t="shared" si="9"/>
        <v>104.92449602208127</v>
      </c>
      <c r="AF14" s="985">
        <v>3348.0974300000003</v>
      </c>
      <c r="AG14" s="985">
        <v>1</v>
      </c>
      <c r="AH14" s="985">
        <f t="shared" si="14"/>
        <v>3348.0974300000003</v>
      </c>
      <c r="AL14" s="985">
        <f t="shared" si="10"/>
        <v>549588.09742999997</v>
      </c>
      <c r="AM14" s="985">
        <f t="shared" si="10"/>
        <v>38896.999799999998</v>
      </c>
      <c r="AN14" s="1001">
        <f t="shared" si="11"/>
        <v>14.12931846301421</v>
      </c>
      <c r="AO14" s="985">
        <f t="shared" si="12"/>
        <v>631453</v>
      </c>
      <c r="AP14" s="985">
        <f t="shared" si="12"/>
        <v>45470.999800000005</v>
      </c>
      <c r="AQ14" s="1002">
        <f t="shared" si="13"/>
        <v>13.886938989188444</v>
      </c>
    </row>
    <row r="15" spans="1:43" s="985" customFormat="1" ht="12.75" x14ac:dyDescent="0.2">
      <c r="A15" s="984" t="s">
        <v>179</v>
      </c>
      <c r="B15" s="985">
        <v>365424</v>
      </c>
      <c r="C15" s="985">
        <v>50547.499099999994</v>
      </c>
      <c r="D15" s="985">
        <f t="shared" si="0"/>
        <v>7.2293190861345709</v>
      </c>
      <c r="E15" s="985">
        <v>377926</v>
      </c>
      <c r="F15" s="985">
        <v>51259.999800000005</v>
      </c>
      <c r="G15" s="985">
        <f t="shared" si="1"/>
        <v>7.3727273014932777</v>
      </c>
      <c r="H15" s="985">
        <v>1115872</v>
      </c>
      <c r="I15" s="985">
        <v>2755</v>
      </c>
      <c r="J15" s="985">
        <f t="shared" si="2"/>
        <v>405.03520871143377</v>
      </c>
      <c r="K15" s="985">
        <f>269621+1</f>
        <v>269622</v>
      </c>
      <c r="L15" s="985">
        <v>576</v>
      </c>
      <c r="M15" s="985">
        <f t="shared" si="3"/>
        <v>468.09375</v>
      </c>
      <c r="N15" s="986">
        <v>15175</v>
      </c>
      <c r="O15" s="985">
        <v>46.5</v>
      </c>
      <c r="P15" s="1001">
        <f t="shared" si="4"/>
        <v>326.3440860215054</v>
      </c>
      <c r="Q15" s="985">
        <v>25127</v>
      </c>
      <c r="R15" s="985">
        <v>55</v>
      </c>
      <c r="S15" s="1001">
        <f t="shared" si="5"/>
        <v>456.85454545454547</v>
      </c>
      <c r="T15" s="985">
        <v>55084</v>
      </c>
      <c r="U15" s="985">
        <v>66</v>
      </c>
      <c r="V15" s="1001">
        <f t="shared" si="6"/>
        <v>834.60606060606062</v>
      </c>
      <c r="W15" s="985">
        <v>53719</v>
      </c>
      <c r="X15" s="985">
        <v>49</v>
      </c>
      <c r="Y15" s="1001">
        <f t="shared" si="7"/>
        <v>1096.3061224489795</v>
      </c>
      <c r="Z15" s="985">
        <v>341900</v>
      </c>
      <c r="AA15" s="985">
        <v>1292</v>
      </c>
      <c r="AB15" s="1001">
        <f t="shared" si="8"/>
        <v>264.62848297213623</v>
      </c>
      <c r="AC15" s="985">
        <f>430324+1</f>
        <v>430325</v>
      </c>
      <c r="AD15" s="985">
        <v>3404.9998999999998</v>
      </c>
      <c r="AE15" s="1001">
        <f t="shared" si="9"/>
        <v>126.38032676594206</v>
      </c>
      <c r="AI15" s="985">
        <v>73212</v>
      </c>
      <c r="AJ15" s="985">
        <v>2</v>
      </c>
      <c r="AK15" s="985">
        <f t="shared" si="15"/>
        <v>36606</v>
      </c>
      <c r="AL15" s="985">
        <f t="shared" si="10"/>
        <v>1893455</v>
      </c>
      <c r="AM15" s="985">
        <f t="shared" si="10"/>
        <v>54706.999099999994</v>
      </c>
      <c r="AN15" s="1001">
        <f t="shared" si="11"/>
        <v>34.610836477045957</v>
      </c>
      <c r="AO15" s="985">
        <f t="shared" si="12"/>
        <v>1229931</v>
      </c>
      <c r="AP15" s="985">
        <f t="shared" si="12"/>
        <v>55346.999700000008</v>
      </c>
      <c r="AQ15" s="1002">
        <f t="shared" si="13"/>
        <v>22.222180184412053</v>
      </c>
    </row>
    <row r="16" spans="1:43" s="985" customFormat="1" ht="12.75" x14ac:dyDescent="0.2">
      <c r="A16" s="984" t="s">
        <v>180</v>
      </c>
      <c r="B16" s="985">
        <v>684982</v>
      </c>
      <c r="C16" s="985">
        <v>43899.997000000003</v>
      </c>
      <c r="D16" s="985">
        <f t="shared" si="0"/>
        <v>15.603235690426128</v>
      </c>
      <c r="E16" s="985">
        <v>711333</v>
      </c>
      <c r="F16" s="985">
        <v>48081.996500000001</v>
      </c>
      <c r="G16" s="985">
        <f t="shared" si="1"/>
        <v>14.794165213168716</v>
      </c>
      <c r="H16" s="985">
        <v>237525</v>
      </c>
      <c r="I16" s="985">
        <v>1255</v>
      </c>
      <c r="J16" s="985">
        <f t="shared" si="2"/>
        <v>189.26294820717132</v>
      </c>
      <c r="K16" s="985">
        <v>42363</v>
      </c>
      <c r="L16" s="985">
        <v>162</v>
      </c>
      <c r="M16" s="985">
        <f t="shared" si="3"/>
        <v>261.5</v>
      </c>
      <c r="N16" s="986">
        <v>19732</v>
      </c>
      <c r="O16" s="985">
        <v>294</v>
      </c>
      <c r="P16" s="1001">
        <f t="shared" si="4"/>
        <v>67.115646258503403</v>
      </c>
      <c r="Q16" s="985">
        <v>8741</v>
      </c>
      <c r="R16" s="985">
        <v>347</v>
      </c>
      <c r="S16" s="1001">
        <f t="shared" si="5"/>
        <v>25.190201729106629</v>
      </c>
      <c r="T16" s="985">
        <v>4532</v>
      </c>
      <c r="U16" s="985">
        <v>20</v>
      </c>
      <c r="V16" s="1001">
        <f t="shared" si="6"/>
        <v>226.6</v>
      </c>
      <c r="W16" s="985">
        <v>10499</v>
      </c>
      <c r="X16" s="985">
        <v>30</v>
      </c>
      <c r="Y16" s="1001">
        <f t="shared" si="7"/>
        <v>349.96666666666664</v>
      </c>
      <c r="Z16" s="985">
        <v>178010</v>
      </c>
      <c r="AA16" s="985">
        <v>452.99979999999999</v>
      </c>
      <c r="AB16" s="1001">
        <f t="shared" si="8"/>
        <v>392.95823088663616</v>
      </c>
      <c r="AC16" s="985">
        <v>288516</v>
      </c>
      <c r="AD16" s="985">
        <v>1464.9999</v>
      </c>
      <c r="AE16" s="1001">
        <f t="shared" si="9"/>
        <v>196.93926258971075</v>
      </c>
      <c r="AL16" s="985">
        <f t="shared" si="10"/>
        <v>1124781</v>
      </c>
      <c r="AM16" s="985">
        <f t="shared" si="10"/>
        <v>45921.996800000001</v>
      </c>
      <c r="AN16" s="1001">
        <f t="shared" si="11"/>
        <v>24.493294681820107</v>
      </c>
      <c r="AO16" s="985">
        <f t="shared" si="12"/>
        <v>1061452</v>
      </c>
      <c r="AP16" s="985">
        <f t="shared" si="12"/>
        <v>50085.996400000004</v>
      </c>
      <c r="AQ16" s="1002">
        <f t="shared" si="13"/>
        <v>21.192590270601062</v>
      </c>
    </row>
    <row r="17" spans="1:43" s="985" customFormat="1" ht="12.75" x14ac:dyDescent="0.2">
      <c r="A17" s="984" t="s">
        <v>181</v>
      </c>
      <c r="B17" s="985">
        <v>166145</v>
      </c>
      <c r="C17" s="985">
        <v>23630.999499999998</v>
      </c>
      <c r="D17" s="985">
        <f t="shared" si="0"/>
        <v>7.030807139579518</v>
      </c>
      <c r="E17" s="985">
        <v>192610</v>
      </c>
      <c r="F17" s="985">
        <v>25676.999800000001</v>
      </c>
      <c r="G17" s="985">
        <f t="shared" si="1"/>
        <v>7.5012657826168612</v>
      </c>
      <c r="H17" s="985">
        <v>226484</v>
      </c>
      <c r="I17" s="985">
        <v>2112</v>
      </c>
      <c r="J17" s="985">
        <f t="shared" si="2"/>
        <v>107.23674242424242</v>
      </c>
      <c r="K17" s="985">
        <v>54639</v>
      </c>
      <c r="L17" s="985">
        <v>365</v>
      </c>
      <c r="M17" s="985">
        <f t="shared" si="3"/>
        <v>149.6958904109589</v>
      </c>
      <c r="N17" s="986">
        <v>11994</v>
      </c>
      <c r="O17" s="985">
        <v>410</v>
      </c>
      <c r="P17" s="1001">
        <f t="shared" si="4"/>
        <v>29.253658536585366</v>
      </c>
      <c r="Q17" s="985">
        <v>6198</v>
      </c>
      <c r="R17" s="985">
        <v>529</v>
      </c>
      <c r="S17" s="1001">
        <f t="shared" si="5"/>
        <v>11.716446124763705</v>
      </c>
      <c r="T17" s="985">
        <v>196351</v>
      </c>
      <c r="U17" s="985">
        <v>79</v>
      </c>
      <c r="V17" s="1001">
        <f t="shared" si="6"/>
        <v>2485.4556962025317</v>
      </c>
      <c r="W17" s="985">
        <v>120568</v>
      </c>
      <c r="X17" s="985">
        <v>66</v>
      </c>
      <c r="Y17" s="1001">
        <f t="shared" si="7"/>
        <v>1826.7878787878788</v>
      </c>
      <c r="Z17" s="985">
        <v>300894</v>
      </c>
      <c r="AA17" s="985">
        <v>1146</v>
      </c>
      <c r="AB17" s="1001">
        <f t="shared" si="8"/>
        <v>262.56020942408378</v>
      </c>
      <c r="AC17" s="985">
        <v>221643</v>
      </c>
      <c r="AD17" s="985">
        <v>2506</v>
      </c>
      <c r="AE17" s="1001">
        <f t="shared" si="9"/>
        <v>88.444932162809252</v>
      </c>
      <c r="AL17" s="985">
        <f t="shared" si="10"/>
        <v>901868</v>
      </c>
      <c r="AM17" s="985">
        <f t="shared" si="10"/>
        <v>27377.999499999998</v>
      </c>
      <c r="AN17" s="1001">
        <f t="shared" si="11"/>
        <v>32.94134036345497</v>
      </c>
      <c r="AO17" s="985">
        <f t="shared" si="12"/>
        <v>595658</v>
      </c>
      <c r="AP17" s="985">
        <f t="shared" si="12"/>
        <v>29142.999800000001</v>
      </c>
      <c r="AQ17" s="1002">
        <f t="shared" si="13"/>
        <v>20.439145046420375</v>
      </c>
    </row>
    <row r="18" spans="1:43" s="985" customFormat="1" ht="12.75" x14ac:dyDescent="0.2">
      <c r="A18" s="998" t="s">
        <v>182</v>
      </c>
      <c r="B18" s="999">
        <v>158701</v>
      </c>
      <c r="C18" s="999">
        <v>16200</v>
      </c>
      <c r="D18" s="999">
        <f t="shared" si="0"/>
        <v>9.796358024691358</v>
      </c>
      <c r="E18" s="999">
        <v>180938</v>
      </c>
      <c r="F18" s="999">
        <v>18001</v>
      </c>
      <c r="G18" s="999">
        <f t="shared" si="1"/>
        <v>10.051552691517138</v>
      </c>
      <c r="H18" s="999">
        <v>776283</v>
      </c>
      <c r="I18" s="999">
        <v>1040</v>
      </c>
      <c r="J18" s="999">
        <f t="shared" si="2"/>
        <v>746.42596153846159</v>
      </c>
      <c r="K18" s="999">
        <v>62788</v>
      </c>
      <c r="L18" s="999">
        <v>169</v>
      </c>
      <c r="M18" s="999">
        <f t="shared" si="3"/>
        <v>371.52662721893489</v>
      </c>
      <c r="N18" s="1000">
        <v>1842</v>
      </c>
      <c r="O18" s="999">
        <v>63</v>
      </c>
      <c r="P18" s="1001">
        <f t="shared" si="4"/>
        <v>29.238095238095237</v>
      </c>
      <c r="Q18" s="999">
        <v>1871</v>
      </c>
      <c r="R18" s="999">
        <v>59</v>
      </c>
      <c r="S18" s="1001">
        <f t="shared" si="5"/>
        <v>31.711864406779661</v>
      </c>
      <c r="T18" s="999">
        <v>3081</v>
      </c>
      <c r="U18" s="999">
        <v>15</v>
      </c>
      <c r="V18" s="1001">
        <f t="shared" si="6"/>
        <v>205.4</v>
      </c>
      <c r="W18" s="999">
        <v>1891</v>
      </c>
      <c r="X18" s="999">
        <v>11</v>
      </c>
      <c r="Y18" s="1001">
        <f t="shared" si="7"/>
        <v>171.90909090909091</v>
      </c>
      <c r="Z18" s="999">
        <v>240872</v>
      </c>
      <c r="AA18" s="999">
        <v>1227.9998000000001</v>
      </c>
      <c r="AB18" s="1001">
        <f t="shared" si="8"/>
        <v>196.14986907978323</v>
      </c>
      <c r="AC18" s="999">
        <v>124637</v>
      </c>
      <c r="AD18" s="999">
        <v>1343.9998999999998</v>
      </c>
      <c r="AE18" s="1001">
        <f t="shared" si="9"/>
        <v>92.735869995228441</v>
      </c>
      <c r="AF18" s="999"/>
      <c r="AG18" s="999"/>
      <c r="AH18" s="999"/>
      <c r="AI18" s="999"/>
      <c r="AJ18" s="999"/>
      <c r="AK18" s="999"/>
      <c r="AL18" s="999">
        <f t="shared" si="10"/>
        <v>1180779</v>
      </c>
      <c r="AM18" s="999">
        <f t="shared" si="10"/>
        <v>18545.999800000001</v>
      </c>
      <c r="AN18" s="1001">
        <f t="shared" si="11"/>
        <v>63.667583992964346</v>
      </c>
      <c r="AO18" s="999">
        <f t="shared" si="12"/>
        <v>372125</v>
      </c>
      <c r="AP18" s="999">
        <f t="shared" si="12"/>
        <v>19583.999899999999</v>
      </c>
      <c r="AQ18" s="1002">
        <f t="shared" si="13"/>
        <v>19.00148089767913</v>
      </c>
    </row>
    <row r="19" spans="1:43" s="988" customFormat="1" x14ac:dyDescent="0.25">
      <c r="A19" s="987"/>
      <c r="N19" s="989"/>
      <c r="AQ19" s="990"/>
    </row>
    <row r="20" spans="1:43" s="979" customFormat="1" x14ac:dyDescent="0.25">
      <c r="AH20" s="991"/>
      <c r="AI20" s="992"/>
      <c r="AK20" s="993"/>
      <c r="AN20" s="980"/>
      <c r="AQ20" s="980"/>
    </row>
    <row r="21" spans="1:43" s="979" customFormat="1" x14ac:dyDescent="0.25">
      <c r="AN21" s="980"/>
      <c r="AQ21" s="980"/>
    </row>
    <row r="22" spans="1:43" s="979" customFormat="1" x14ac:dyDescent="0.25">
      <c r="AN22" s="980"/>
      <c r="AQ22" s="980"/>
    </row>
  </sheetData>
  <sheetProtection password="9C8D" sheet="1" objects="1" scenarios="1"/>
  <mergeCells count="25">
    <mergeCell ref="A1:AQ1"/>
    <mergeCell ref="A2:AQ2"/>
    <mergeCell ref="AL5:AQ5"/>
    <mergeCell ref="B6:D6"/>
    <mergeCell ref="E6:G6"/>
    <mergeCell ref="H6:J6"/>
    <mergeCell ref="K6:M6"/>
    <mergeCell ref="N6:P6"/>
    <mergeCell ref="Q6:S6"/>
    <mergeCell ref="T6:V6"/>
    <mergeCell ref="W6:Y6"/>
    <mergeCell ref="Z6:AB6"/>
    <mergeCell ref="B5:G5"/>
    <mergeCell ref="H5:M5"/>
    <mergeCell ref="N5:S5"/>
    <mergeCell ref="T5:Y5"/>
    <mergeCell ref="A3:AQ3"/>
    <mergeCell ref="A4:AQ4"/>
    <mergeCell ref="AC6:AE6"/>
    <mergeCell ref="AF6:AH6"/>
    <mergeCell ref="AI6:AK6"/>
    <mergeCell ref="AL6:AN6"/>
    <mergeCell ref="AO6:AQ6"/>
    <mergeCell ref="Z5:AE5"/>
    <mergeCell ref="AF5:AK5"/>
  </mergeCells>
  <pageMargins left="0.511811024" right="0.511811024" top="0.78740157499999996" bottom="0.78740157499999996" header="0.31496062000000002" footer="0.31496062000000002"/>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windowProtection="1" showGridLines="0" zoomScaleNormal="100" workbookViewId="0">
      <selection activeCell="E6" sqref="E6"/>
    </sheetView>
  </sheetViews>
  <sheetFormatPr defaultRowHeight="12.75" x14ac:dyDescent="0.2"/>
  <cols>
    <col min="1" max="1" width="47.7109375" customWidth="1"/>
    <col min="2" max="2" width="15.140625" customWidth="1"/>
    <col min="3" max="3" width="14.28515625" customWidth="1"/>
    <col min="4" max="4" width="16.28515625" customWidth="1"/>
    <col min="5" max="5" width="11.85546875" customWidth="1"/>
    <col min="6" max="6" width="11.28515625" bestFit="1" customWidth="1"/>
  </cols>
  <sheetData>
    <row r="1" spans="1:6" ht="18" customHeight="1" x14ac:dyDescent="0.2">
      <c r="A1" s="1209" t="s">
        <v>317</v>
      </c>
      <c r="B1" s="1235"/>
      <c r="C1" s="1235"/>
      <c r="D1" s="1235"/>
    </row>
    <row r="2" spans="1:6" ht="18" customHeight="1" x14ac:dyDescent="0.2">
      <c r="A2" s="1188" t="s">
        <v>318</v>
      </c>
      <c r="B2" s="1236"/>
      <c r="C2" s="1236"/>
      <c r="D2" s="1236"/>
      <c r="E2" s="126"/>
    </row>
    <row r="3" spans="1:6" ht="18" customHeight="1" x14ac:dyDescent="0.2">
      <c r="A3" s="1188" t="str">
        <f>[5]Dados!A18</f>
        <v>Exercício de 2015</v>
      </c>
      <c r="B3" s="1236"/>
      <c r="C3" s="1236"/>
      <c r="D3" s="1236"/>
      <c r="E3" s="40"/>
    </row>
    <row r="4" spans="1:6" x14ac:dyDescent="0.2">
      <c r="A4" s="127"/>
      <c r="B4" s="98"/>
      <c r="C4" s="98"/>
      <c r="D4" s="98"/>
    </row>
    <row r="5" spans="1:6" x14ac:dyDescent="0.2">
      <c r="A5" s="1229" t="s">
        <v>1</v>
      </c>
      <c r="B5" s="1229"/>
      <c r="C5" s="1229"/>
      <c r="D5" s="1229"/>
      <c r="E5" s="40"/>
    </row>
    <row r="6" spans="1:6" ht="27" customHeight="1" x14ac:dyDescent="0.2">
      <c r="A6" s="289" t="s">
        <v>34</v>
      </c>
      <c r="B6" s="289" t="s">
        <v>7</v>
      </c>
      <c r="C6" s="289" t="s">
        <v>35</v>
      </c>
      <c r="D6" s="289" t="s">
        <v>36</v>
      </c>
      <c r="E6" s="292"/>
      <c r="F6" s="128"/>
    </row>
    <row r="7" spans="1:6" ht="17.25" customHeight="1" x14ac:dyDescent="0.2">
      <c r="A7" s="410" t="s">
        <v>319</v>
      </c>
      <c r="B7" s="130">
        <f>SUM(B8:B21)</f>
        <v>755490</v>
      </c>
      <c r="C7" s="131">
        <v>51</v>
      </c>
      <c r="D7" s="131">
        <v>6.6</v>
      </c>
      <c r="E7" s="45"/>
    </row>
    <row r="8" spans="1:6" ht="15.95" customHeight="1" x14ac:dyDescent="0.2">
      <c r="A8" s="411" t="s">
        <v>320</v>
      </c>
      <c r="B8" s="65">
        <v>71362</v>
      </c>
      <c r="C8" s="102">
        <f>IF($B$43=0,0,ROUND(B8/$B$43*100,2))</f>
        <v>4.82</v>
      </c>
      <c r="D8" s="102">
        <f>IF('[5]2'!$D$37=0,0,ROUND(B8/'[5]2'!$D$37*100,2))</f>
        <v>0.62</v>
      </c>
      <c r="E8" s="137"/>
    </row>
    <row r="9" spans="1:6" ht="15.95" customHeight="1" x14ac:dyDescent="0.2">
      <c r="A9" s="412" t="s">
        <v>321</v>
      </c>
      <c r="B9" s="65">
        <v>332425</v>
      </c>
      <c r="C9" s="102">
        <v>22.5</v>
      </c>
      <c r="D9" s="102">
        <v>3</v>
      </c>
      <c r="E9" s="413"/>
    </row>
    <row r="10" spans="1:6" ht="15.95" customHeight="1" x14ac:dyDescent="0.2">
      <c r="A10" s="411" t="s">
        <v>322</v>
      </c>
      <c r="B10" s="65">
        <v>23509</v>
      </c>
      <c r="C10" s="102">
        <f t="shared" ref="C10:C21" si="0">IF($B$43=0,0,ROUND(B10/$B$43*100,2))</f>
        <v>1.59</v>
      </c>
      <c r="D10" s="102">
        <f>IF('[5]2'!$D$37=0,0,ROUND(B10/'[5]2'!$D$37*100,2))</f>
        <v>0.2</v>
      </c>
      <c r="E10" s="413"/>
    </row>
    <row r="11" spans="1:6" ht="15.95" customHeight="1" x14ac:dyDescent="0.2">
      <c r="A11" s="412" t="s">
        <v>323</v>
      </c>
      <c r="B11" s="65">
        <v>45177</v>
      </c>
      <c r="C11" s="102">
        <f t="shared" si="0"/>
        <v>3.05</v>
      </c>
      <c r="D11" s="102">
        <f>IF('[5]2'!$D$37=0,0,ROUND(B11/'[5]2'!$D$37*100,2))</f>
        <v>0.39</v>
      </c>
      <c r="E11" s="413"/>
      <c r="F11" s="258"/>
    </row>
    <row r="12" spans="1:6" ht="15.95" customHeight="1" x14ac:dyDescent="0.2">
      <c r="A12" s="411" t="s">
        <v>324</v>
      </c>
      <c r="B12" s="65">
        <v>7730</v>
      </c>
      <c r="C12" s="102">
        <f t="shared" si="0"/>
        <v>0.52</v>
      </c>
      <c r="D12" s="102">
        <f>IF('[5]2'!$D$37=0,0,ROUND(B12/'[5]2'!$D$37*100,2))</f>
        <v>7.0000000000000007E-2</v>
      </c>
      <c r="E12" s="413"/>
    </row>
    <row r="13" spans="1:6" ht="15.95" customHeight="1" x14ac:dyDescent="0.2">
      <c r="A13" s="411" t="s">
        <v>325</v>
      </c>
      <c r="B13" s="65">
        <v>97755</v>
      </c>
      <c r="C13" s="102">
        <f t="shared" si="0"/>
        <v>6.6</v>
      </c>
      <c r="D13" s="102">
        <f>IF('[5]2'!$D$37=0,0,ROUND(B13/'[5]2'!$D$37*100,2))</f>
        <v>0.85</v>
      </c>
      <c r="E13" s="413"/>
    </row>
    <row r="14" spans="1:6" ht="15.95" customHeight="1" x14ac:dyDescent="0.2">
      <c r="A14" s="412" t="s">
        <v>326</v>
      </c>
      <c r="B14" s="65">
        <v>15431</v>
      </c>
      <c r="C14" s="102">
        <f t="shared" si="0"/>
        <v>1.04</v>
      </c>
      <c r="D14" s="102">
        <f>IF('[5]2'!$D$37=0,0,ROUND(B14/'[5]2'!$D$37*100,2))</f>
        <v>0.13</v>
      </c>
      <c r="E14" s="413"/>
    </row>
    <row r="15" spans="1:6" ht="15.95" customHeight="1" x14ac:dyDescent="0.2">
      <c r="A15" s="411" t="s">
        <v>327</v>
      </c>
      <c r="B15" s="65">
        <v>56570</v>
      </c>
      <c r="C15" s="102">
        <f t="shared" si="0"/>
        <v>3.82</v>
      </c>
      <c r="D15" s="102">
        <f>IF('[5]2'!$D$37=0,0,ROUND(B15/'[5]2'!$D$37*100,2))</f>
        <v>0.49</v>
      </c>
      <c r="E15" s="413"/>
    </row>
    <row r="16" spans="1:6" ht="15.95" customHeight="1" x14ac:dyDescent="0.2">
      <c r="A16" s="414" t="s">
        <v>235</v>
      </c>
      <c r="B16" s="65">
        <v>20814</v>
      </c>
      <c r="C16" s="102">
        <f t="shared" si="0"/>
        <v>1.4</v>
      </c>
      <c r="D16" s="102">
        <f>IF('[5]2'!$D$37=0,0,ROUND(B16/'[5]2'!$D$37*100,2))</f>
        <v>0.18</v>
      </c>
      <c r="E16" s="413"/>
    </row>
    <row r="17" spans="1:6" ht="15.95" customHeight="1" x14ac:dyDescent="0.2">
      <c r="A17" s="415" t="s">
        <v>328</v>
      </c>
      <c r="B17" s="65">
        <v>27591</v>
      </c>
      <c r="C17" s="102">
        <f t="shared" si="0"/>
        <v>1.86</v>
      </c>
      <c r="D17" s="102">
        <f>IF('[5]2'!$D$37=0,0,ROUND(B17/'[5]2'!$D$37*100,2))</f>
        <v>0.24</v>
      </c>
      <c r="E17" s="413"/>
    </row>
    <row r="18" spans="1:6" ht="18" customHeight="1" x14ac:dyDescent="0.2">
      <c r="A18" s="415" t="s">
        <v>79</v>
      </c>
      <c r="B18" s="416">
        <v>12173</v>
      </c>
      <c r="C18" s="102">
        <f t="shared" si="0"/>
        <v>0.82</v>
      </c>
      <c r="D18" s="102">
        <f>IF('[5]2'!$D$37=0,0,ROUND(B18/'[5]2'!$D$37*100,2))</f>
        <v>0.11</v>
      </c>
      <c r="E18" s="136"/>
      <c r="F18" s="4"/>
    </row>
    <row r="19" spans="1:6" ht="15.95" customHeight="1" x14ac:dyDescent="0.2">
      <c r="A19" s="415" t="s">
        <v>236</v>
      </c>
      <c r="B19" s="134">
        <v>25813</v>
      </c>
      <c r="C19" s="102">
        <f t="shared" si="0"/>
        <v>1.74</v>
      </c>
      <c r="D19" s="102">
        <f>IF('[5]2'!$D$37=0,0,ROUND(B19/'[5]2'!$D$37*100,2))</f>
        <v>0.22</v>
      </c>
      <c r="E19" s="136"/>
      <c r="F19" s="4"/>
    </row>
    <row r="20" spans="1:6" ht="15.95" customHeight="1" x14ac:dyDescent="0.2">
      <c r="A20" s="415" t="s">
        <v>329</v>
      </c>
      <c r="B20" s="65">
        <v>4218</v>
      </c>
      <c r="C20" s="102">
        <f t="shared" si="0"/>
        <v>0.28000000000000003</v>
      </c>
      <c r="D20" s="102">
        <f>IF('[5]2'!$D$37=0,0,ROUND(B20/'[5]2'!$D$37*100,2))</f>
        <v>0.04</v>
      </c>
      <c r="E20" s="413"/>
    </row>
    <row r="21" spans="1:6" ht="15.95" customHeight="1" x14ac:dyDescent="0.2">
      <c r="A21" s="138" t="s">
        <v>1009</v>
      </c>
      <c r="B21" s="65">
        <v>14922</v>
      </c>
      <c r="C21" s="102">
        <f t="shared" si="0"/>
        <v>1.01</v>
      </c>
      <c r="D21" s="102">
        <f>IF('[5]2'!$D$37=0,0,ROUND(B21/'[5]2'!$D$37*100,2))</f>
        <v>0.13</v>
      </c>
      <c r="E21" s="413"/>
    </row>
    <row r="22" spans="1:6" ht="15.95" customHeight="1" x14ac:dyDescent="0.25">
      <c r="A22" s="129" t="s">
        <v>330</v>
      </c>
      <c r="B22" s="417">
        <f>SUM(B23:B34)</f>
        <v>452095</v>
      </c>
      <c r="C22" s="418">
        <v>30.5</v>
      </c>
      <c r="D22" s="419">
        <v>3.9</v>
      </c>
      <c r="E22" s="413"/>
    </row>
    <row r="23" spans="1:6" ht="15.95" customHeight="1" x14ac:dyDescent="0.2">
      <c r="A23" s="52" t="s">
        <v>331</v>
      </c>
      <c r="B23" s="65">
        <v>47108</v>
      </c>
      <c r="C23" s="102">
        <f>IF($B$43=0,0,ROUND(B23/$B$43*100,2))</f>
        <v>3.18</v>
      </c>
      <c r="D23" s="102">
        <f>IF('[5]2'!$D$37=0,0,ROUND(B23/'[5]2'!$D$37*100,2))</f>
        <v>0.41</v>
      </c>
      <c r="E23" s="413"/>
    </row>
    <row r="24" spans="1:6" ht="15.95" customHeight="1" x14ac:dyDescent="0.2">
      <c r="A24" s="133" t="s">
        <v>332</v>
      </c>
      <c r="B24" s="65">
        <v>56670</v>
      </c>
      <c r="C24" s="102">
        <f t="shared" ref="C24:C34" si="1">IF($B$43=0,0,ROUND(B24/$B$43*100,2))</f>
        <v>3.82</v>
      </c>
      <c r="D24" s="102">
        <f>IF('[5]2'!$D$37=0,0,ROUND(B24/'[5]2'!$D$37*100,2))</f>
        <v>0.49</v>
      </c>
      <c r="E24" s="413"/>
    </row>
    <row r="25" spans="1:6" ht="15.95" customHeight="1" x14ac:dyDescent="0.2">
      <c r="A25" s="52" t="s">
        <v>333</v>
      </c>
      <c r="B25" s="65">
        <v>2392</v>
      </c>
      <c r="C25" s="102">
        <f t="shared" si="1"/>
        <v>0.16</v>
      </c>
      <c r="D25" s="102">
        <f>IF('[5]2'!$D$37=0,0,ROUND(B25/'[5]2'!$D$37*100,2))</f>
        <v>0.02</v>
      </c>
      <c r="E25" s="413"/>
    </row>
    <row r="26" spans="1:6" ht="15.95" customHeight="1" x14ac:dyDescent="0.2">
      <c r="A26" s="138" t="s">
        <v>334</v>
      </c>
      <c r="B26" s="65">
        <f>22028+211983</f>
        <v>234011</v>
      </c>
      <c r="C26" s="102">
        <v>15.7</v>
      </c>
      <c r="D26" s="102">
        <v>1.9</v>
      </c>
      <c r="E26" s="413"/>
    </row>
    <row r="27" spans="1:6" ht="15.95" customHeight="1" x14ac:dyDescent="0.2">
      <c r="A27" s="138" t="s">
        <v>335</v>
      </c>
      <c r="B27" s="65">
        <v>34169</v>
      </c>
      <c r="C27" s="102">
        <f t="shared" si="1"/>
        <v>2.31</v>
      </c>
      <c r="D27" s="102">
        <f>IF('[5]2'!$D$37=0,0,ROUND(B27/'[5]2'!$D$37*100,2))</f>
        <v>0.3</v>
      </c>
      <c r="E27" s="413"/>
    </row>
    <row r="28" spans="1:6" ht="15.95" customHeight="1" x14ac:dyDescent="0.2">
      <c r="A28" s="138" t="s">
        <v>336</v>
      </c>
      <c r="B28" s="65">
        <v>19795</v>
      </c>
      <c r="C28" s="102">
        <f t="shared" si="1"/>
        <v>1.34</v>
      </c>
      <c r="D28" s="102">
        <f>IF('[5]2'!$D$37=0,0,ROUND(B28/'[5]2'!$D$37*100,2))</f>
        <v>0.17</v>
      </c>
      <c r="E28" s="136"/>
    </row>
    <row r="29" spans="1:6" ht="15.95" customHeight="1" x14ac:dyDescent="0.2">
      <c r="A29" s="414" t="s">
        <v>196</v>
      </c>
      <c r="B29" s="65">
        <f>1027</f>
        <v>1027</v>
      </c>
      <c r="C29" s="102">
        <f t="shared" si="1"/>
        <v>7.0000000000000007E-2</v>
      </c>
      <c r="D29" s="102">
        <f>IF('[5]2'!$D$37=0,0,ROUND(B29/'[5]2'!$D$37*100,2))</f>
        <v>0.01</v>
      </c>
      <c r="E29" s="413"/>
    </row>
    <row r="30" spans="1:6" ht="16.5" customHeight="1" x14ac:dyDescent="0.2">
      <c r="A30" s="414" t="s">
        <v>337</v>
      </c>
      <c r="B30" s="416">
        <v>36</v>
      </c>
      <c r="C30" s="102">
        <f t="shared" si="1"/>
        <v>0</v>
      </c>
      <c r="D30" s="102">
        <f>IF('[5]2'!$D$37=0,0,ROUND(B30/'[5]2'!$D$37*100,2))</f>
        <v>0</v>
      </c>
      <c r="E30" s="136"/>
      <c r="F30" s="79"/>
    </row>
    <row r="31" spans="1:6" ht="15.95" customHeight="1" x14ac:dyDescent="0.2">
      <c r="A31" s="414" t="s">
        <v>338</v>
      </c>
      <c r="B31" s="65">
        <v>1797</v>
      </c>
      <c r="C31" s="102">
        <f t="shared" si="1"/>
        <v>0.12</v>
      </c>
      <c r="D31" s="102">
        <f>IF('[5]2'!$D$37=0,0,ROUND(B31/'[5]2'!$D$37*100,2))</f>
        <v>0.02</v>
      </c>
      <c r="E31" s="137"/>
      <c r="F31" s="47"/>
    </row>
    <row r="32" spans="1:6" ht="15.95" customHeight="1" x14ac:dyDescent="0.2">
      <c r="A32" s="414" t="s">
        <v>339</v>
      </c>
      <c r="B32" s="65">
        <v>30336</v>
      </c>
      <c r="C32" s="102">
        <f t="shared" si="1"/>
        <v>2.0499999999999998</v>
      </c>
      <c r="D32" s="102">
        <f>IF('[5]2'!$D$37=0,0,ROUND(B32/'[5]2'!$D$37*100,2))</f>
        <v>0.26</v>
      </c>
      <c r="E32" s="137"/>
      <c r="F32" s="47"/>
    </row>
    <row r="33" spans="1:7" ht="15.95" customHeight="1" x14ac:dyDescent="0.2">
      <c r="A33" s="415" t="s">
        <v>340</v>
      </c>
      <c r="B33" s="65">
        <v>17946</v>
      </c>
      <c r="C33" s="102">
        <f t="shared" si="1"/>
        <v>1.21</v>
      </c>
      <c r="D33" s="102">
        <f>IF('[5]2'!$D$37=0,0,ROUND(B33/'[5]2'!$D$37*100,2))</f>
        <v>0.16</v>
      </c>
      <c r="E33" s="137"/>
      <c r="F33" s="47"/>
    </row>
    <row r="34" spans="1:7" ht="15.95" customHeight="1" x14ac:dyDescent="0.2">
      <c r="A34" s="138" t="s">
        <v>1009</v>
      </c>
      <c r="B34" s="65">
        <v>6808</v>
      </c>
      <c r="C34" s="102">
        <f t="shared" si="1"/>
        <v>0.46</v>
      </c>
      <c r="D34" s="102">
        <f>IF('[5]2'!$D$37=0,0,ROUND(B34/'[5]2'!$D$37*100,2))</f>
        <v>0.06</v>
      </c>
      <c r="E34" s="137"/>
      <c r="F34" s="47"/>
    </row>
    <row r="35" spans="1:7" ht="15.95" customHeight="1" x14ac:dyDescent="0.25">
      <c r="A35" s="420" t="s">
        <v>341</v>
      </c>
      <c r="B35" s="417">
        <f>SUM(B36:B42)</f>
        <v>274484</v>
      </c>
      <c r="C35" s="418">
        <f>SUM(C36:C42)</f>
        <v>18.53</v>
      </c>
      <c r="D35" s="419">
        <f>SUM(D36:D42)</f>
        <v>2.35</v>
      </c>
      <c r="E35" s="137"/>
      <c r="F35" s="47"/>
    </row>
    <row r="36" spans="1:7" ht="15.95" customHeight="1" x14ac:dyDescent="0.2">
      <c r="A36" s="414" t="s">
        <v>342</v>
      </c>
      <c r="B36" s="65">
        <v>33164</v>
      </c>
      <c r="C36" s="102">
        <f>IF($B$43=0,0,ROUND(B36/$B$43*100,2))</f>
        <v>2.2400000000000002</v>
      </c>
      <c r="D36" s="102">
        <f>IF('[5]2'!$D$37=0,0,ROUND(B36/'[5]2'!$D$37*100,2))</f>
        <v>0.28999999999999998</v>
      </c>
      <c r="E36" s="137"/>
      <c r="F36" s="47"/>
    </row>
    <row r="37" spans="1:7" ht="15.95" customHeight="1" x14ac:dyDescent="0.2">
      <c r="A37" s="411" t="s">
        <v>343</v>
      </c>
      <c r="B37" s="65">
        <v>7108</v>
      </c>
      <c r="C37" s="102">
        <f t="shared" ref="C37:C42" si="2">IF($B$43=0,0,ROUND(B37/$B$43*100,2))</f>
        <v>0.48</v>
      </c>
      <c r="D37" s="102">
        <f>IF('[5]2'!$D$37=0,0,ROUND(B37/'[5]2'!$D$37*100,2))</f>
        <v>0.06</v>
      </c>
      <c r="E37" s="137"/>
      <c r="F37" s="47"/>
    </row>
    <row r="38" spans="1:7" ht="15.95" customHeight="1" x14ac:dyDescent="0.2">
      <c r="A38" s="411" t="s">
        <v>344</v>
      </c>
      <c r="B38" s="65">
        <v>1911</v>
      </c>
      <c r="C38" s="102">
        <f t="shared" si="2"/>
        <v>0.13</v>
      </c>
      <c r="D38" s="102">
        <f>IF('[5]2'!$D$37=0,0,ROUND(B38/'[5]2'!$D$37*100,2))</f>
        <v>0.02</v>
      </c>
      <c r="E38" s="137"/>
      <c r="F38" s="47"/>
    </row>
    <row r="39" spans="1:7" ht="15.95" customHeight="1" x14ac:dyDescent="0.2">
      <c r="A39" s="411" t="s">
        <v>345</v>
      </c>
      <c r="B39" s="65">
        <v>101612</v>
      </c>
      <c r="C39" s="102">
        <f t="shared" si="2"/>
        <v>6.86</v>
      </c>
      <c r="D39" s="102">
        <f>IF('[5]2'!$D$37=0,0,ROUND(B39/'[5]2'!$D$37*100,2))</f>
        <v>0.88</v>
      </c>
      <c r="E39" s="137"/>
      <c r="F39" s="47"/>
    </row>
    <row r="40" spans="1:7" ht="15.95" customHeight="1" x14ac:dyDescent="0.2">
      <c r="A40" s="411" t="s">
        <v>346</v>
      </c>
      <c r="B40" s="65">
        <v>7497</v>
      </c>
      <c r="C40" s="102">
        <f t="shared" si="2"/>
        <v>0.51</v>
      </c>
      <c r="D40" s="102">
        <f>IF('[5]2'!$D$37=0,0,ROUND(B40/'[5]2'!$D$37*100,2))</f>
        <v>7.0000000000000007E-2</v>
      </c>
      <c r="E40" s="137"/>
      <c r="F40" s="47"/>
    </row>
    <row r="41" spans="1:7" ht="15.95" customHeight="1" x14ac:dyDescent="0.2">
      <c r="A41" s="421" t="s">
        <v>347</v>
      </c>
      <c r="B41" s="65">
        <v>2966</v>
      </c>
      <c r="C41" s="102">
        <f t="shared" si="2"/>
        <v>0.2</v>
      </c>
      <c r="D41" s="102">
        <f>IF('[5]2'!$D$37=0,0,ROUND(B41/'[5]2'!$D$37*100,2))</f>
        <v>0.03</v>
      </c>
      <c r="E41" s="137"/>
      <c r="F41" s="47"/>
    </row>
    <row r="42" spans="1:7" ht="15.95" customHeight="1" x14ac:dyDescent="0.2">
      <c r="A42" s="414" t="s">
        <v>48</v>
      </c>
      <c r="B42" s="65">
        <v>120226</v>
      </c>
      <c r="C42" s="102">
        <f t="shared" si="2"/>
        <v>8.11</v>
      </c>
      <c r="D42" s="102">
        <v>1</v>
      </c>
      <c r="E42" s="136"/>
      <c r="F42" s="47"/>
    </row>
    <row r="43" spans="1:7" ht="20.100000000000001" customHeight="1" x14ac:dyDescent="0.2">
      <c r="A43" s="289" t="s">
        <v>29</v>
      </c>
      <c r="B43" s="107">
        <f>B7+B22+B35</f>
        <v>1482069</v>
      </c>
      <c r="C43" s="108">
        <f>C7+C22+C35</f>
        <v>100.03</v>
      </c>
      <c r="D43" s="108">
        <f>D7+D22+D35</f>
        <v>12.85</v>
      </c>
      <c r="E43" s="45"/>
      <c r="F43" s="4"/>
      <c r="G43" s="4"/>
    </row>
    <row r="44" spans="1:7" ht="15.95" customHeight="1" x14ac:dyDescent="0.2">
      <c r="A44" s="1237" t="s">
        <v>67</v>
      </c>
      <c r="B44" s="1238"/>
      <c r="C44" s="1238"/>
      <c r="D44" s="1238"/>
      <c r="E44" s="45"/>
      <c r="F44" s="47"/>
    </row>
    <row r="45" spans="1:7" s="258" customFormat="1" x14ac:dyDescent="0.2">
      <c r="A45" s="1212" t="s">
        <v>1015</v>
      </c>
      <c r="B45" s="1213"/>
      <c r="C45" s="1213"/>
      <c r="D45" s="1213"/>
    </row>
    <row r="46" spans="1:7" x14ac:dyDescent="0.2">
      <c r="A46" s="1233"/>
      <c r="B46" s="1234"/>
      <c r="C46" s="1234"/>
      <c r="D46" s="1234"/>
    </row>
    <row r="47" spans="1:7" x14ac:dyDescent="0.2">
      <c r="B47" s="4"/>
      <c r="D47" s="109"/>
    </row>
    <row r="48" spans="1:7" x14ac:dyDescent="0.2">
      <c r="D48" s="54"/>
      <c r="E48" s="255"/>
    </row>
    <row r="51" spans="2:3" x14ac:dyDescent="0.2">
      <c r="C51" s="13"/>
    </row>
    <row r="52" spans="2:3" x14ac:dyDescent="0.2">
      <c r="B52" s="13"/>
    </row>
  </sheetData>
  <sheetProtection password="9C8D" sheet="1" objects="1" scenarios="1"/>
  <mergeCells count="7">
    <mergeCell ref="A46:D46"/>
    <mergeCell ref="A1:D1"/>
    <mergeCell ref="A2:D2"/>
    <mergeCell ref="A3:D3"/>
    <mergeCell ref="A5:D5"/>
    <mergeCell ref="A44:D44"/>
    <mergeCell ref="A45:D45"/>
  </mergeCells>
  <pageMargins left="0.78740157480314965" right="0.19685039370078741" top="0.6692913385826772" bottom="0.47244094488188981" header="0.51181102362204722" footer="0.51181102362204722"/>
  <pageSetup paperSize="9" scale="9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windowProtection="1" showGridLines="0" workbookViewId="0">
      <selection activeCell="D6" sqref="D6"/>
    </sheetView>
  </sheetViews>
  <sheetFormatPr defaultRowHeight="12.75" x14ac:dyDescent="0.2"/>
  <cols>
    <col min="1" max="1" width="32.85546875" customWidth="1"/>
    <col min="2" max="2" width="18.28515625" customWidth="1"/>
    <col min="3" max="3" width="11.7109375" customWidth="1"/>
    <col min="4" max="4" width="15" bestFit="1" customWidth="1"/>
    <col min="5" max="5" width="9.28515625" bestFit="1" customWidth="1"/>
    <col min="6" max="6" width="35.28515625" bestFit="1" customWidth="1"/>
    <col min="10" max="10" width="11.28515625" bestFit="1" customWidth="1"/>
    <col min="11" max="11" width="10.28515625" bestFit="1" customWidth="1"/>
  </cols>
  <sheetData>
    <row r="1" spans="1:11" ht="18" customHeight="1" x14ac:dyDescent="0.2">
      <c r="A1" s="1209" t="s">
        <v>348</v>
      </c>
      <c r="B1" s="1209"/>
      <c r="C1" s="1209"/>
    </row>
    <row r="2" spans="1:11" ht="18" customHeight="1" x14ac:dyDescent="0.2">
      <c r="A2" s="1188" t="s">
        <v>349</v>
      </c>
      <c r="B2" s="1188"/>
      <c r="C2" s="1188"/>
      <c r="D2" s="126"/>
    </row>
    <row r="3" spans="1:11" ht="18" customHeight="1" x14ac:dyDescent="0.2">
      <c r="A3" s="1188" t="str">
        <f>[5]Dados!A18</f>
        <v>Exercício de 2015</v>
      </c>
      <c r="B3" s="1188"/>
      <c r="C3" s="1188"/>
      <c r="D3" s="40"/>
    </row>
    <row r="4" spans="1:11" x14ac:dyDescent="0.2">
      <c r="A4" s="98"/>
      <c r="B4" s="98"/>
      <c r="C4" s="98"/>
    </row>
    <row r="5" spans="1:11" x14ac:dyDescent="0.2">
      <c r="A5" s="1229" t="s">
        <v>1</v>
      </c>
      <c r="B5" s="1229"/>
      <c r="C5" s="1229"/>
      <c r="D5" s="40"/>
    </row>
    <row r="6" spans="1:11" ht="27" customHeight="1" x14ac:dyDescent="0.2">
      <c r="A6" s="120" t="s">
        <v>87</v>
      </c>
      <c r="B6" s="120" t="s">
        <v>7</v>
      </c>
      <c r="C6" s="289" t="s">
        <v>8</v>
      </c>
      <c r="D6" s="292"/>
      <c r="E6" s="83"/>
    </row>
    <row r="7" spans="1:11" ht="15.95" customHeight="1" x14ac:dyDescent="0.2">
      <c r="A7" s="139" t="s">
        <v>88</v>
      </c>
      <c r="B7" s="140">
        <v>32689</v>
      </c>
      <c r="C7" s="141">
        <f>IF($B$18=0,0,ROUND(B7/$B$18*100,2))</f>
        <v>2.21</v>
      </c>
      <c r="D7" s="142"/>
    </row>
    <row r="8" spans="1:11" ht="15.95" customHeight="1" x14ac:dyDescent="0.2">
      <c r="A8" s="143" t="s">
        <v>107</v>
      </c>
      <c r="B8" s="140">
        <v>216155</v>
      </c>
      <c r="C8" s="141">
        <f t="shared" ref="C8:C17" si="0">IF($B$18=0,0,ROUND(B8/$B$18*100,2))</f>
        <v>14.58</v>
      </c>
      <c r="D8" s="41"/>
      <c r="J8" s="144"/>
      <c r="K8" s="144"/>
    </row>
    <row r="9" spans="1:11" ht="15.95" customHeight="1" x14ac:dyDescent="0.2">
      <c r="A9" s="145" t="s">
        <v>90</v>
      </c>
      <c r="B9" s="146">
        <v>352025</v>
      </c>
      <c r="C9" s="141">
        <v>23.7</v>
      </c>
      <c r="D9" s="41"/>
      <c r="J9" s="144"/>
      <c r="K9" s="144"/>
    </row>
    <row r="10" spans="1:11" ht="15.95" customHeight="1" x14ac:dyDescent="0.2">
      <c r="A10" s="143" t="s">
        <v>91</v>
      </c>
      <c r="B10" s="140">
        <v>33542</v>
      </c>
      <c r="C10" s="141">
        <f t="shared" si="0"/>
        <v>2.2599999999999998</v>
      </c>
      <c r="D10" s="83"/>
      <c r="J10" s="144"/>
      <c r="K10" s="144"/>
    </row>
    <row r="11" spans="1:11" ht="15.95" customHeight="1" x14ac:dyDescent="0.2">
      <c r="A11" s="145" t="s">
        <v>92</v>
      </c>
      <c r="B11" s="140">
        <v>33011</v>
      </c>
      <c r="C11" s="141">
        <f t="shared" si="0"/>
        <v>2.23</v>
      </c>
      <c r="D11" s="41"/>
      <c r="J11" s="144"/>
      <c r="K11" s="144"/>
    </row>
    <row r="12" spans="1:11" ht="15.95" customHeight="1" x14ac:dyDescent="0.2">
      <c r="A12" s="143" t="s">
        <v>93</v>
      </c>
      <c r="B12" s="140">
        <v>243399</v>
      </c>
      <c r="C12" s="141">
        <f t="shared" si="0"/>
        <v>16.420000000000002</v>
      </c>
      <c r="D12" s="41"/>
      <c r="J12" s="144"/>
      <c r="K12" s="144"/>
    </row>
    <row r="13" spans="1:11" ht="15.95" customHeight="1" x14ac:dyDescent="0.2">
      <c r="A13" s="145" t="s">
        <v>94</v>
      </c>
      <c r="B13" s="140">
        <v>141836</v>
      </c>
      <c r="C13" s="141">
        <f t="shared" si="0"/>
        <v>9.57</v>
      </c>
      <c r="D13" s="41"/>
      <c r="J13" s="144"/>
      <c r="K13" s="144"/>
    </row>
    <row r="14" spans="1:11" ht="15.95" customHeight="1" x14ac:dyDescent="0.2">
      <c r="A14" s="143" t="s">
        <v>95</v>
      </c>
      <c r="B14" s="140">
        <v>269622</v>
      </c>
      <c r="C14" s="141">
        <f t="shared" si="0"/>
        <v>18.190000000000001</v>
      </c>
      <c r="D14" s="41"/>
      <c r="J14" s="144"/>
      <c r="K14" s="144"/>
    </row>
    <row r="15" spans="1:11" ht="15.95" customHeight="1" x14ac:dyDescent="0.2">
      <c r="A15" s="145" t="s">
        <v>96</v>
      </c>
      <c r="B15" s="140">
        <v>42363</v>
      </c>
      <c r="C15" s="141">
        <f t="shared" si="0"/>
        <v>2.86</v>
      </c>
      <c r="D15" s="41"/>
      <c r="J15" s="144"/>
      <c r="K15" s="144"/>
    </row>
    <row r="16" spans="1:11" ht="15.95" customHeight="1" x14ac:dyDescent="0.2">
      <c r="A16" s="143" t="s">
        <v>108</v>
      </c>
      <c r="B16" s="140">
        <v>54639</v>
      </c>
      <c r="C16" s="141">
        <f t="shared" si="0"/>
        <v>3.69</v>
      </c>
      <c r="D16" s="41"/>
      <c r="J16" s="144"/>
      <c r="K16" s="144"/>
    </row>
    <row r="17" spans="1:4" ht="15.95" customHeight="1" x14ac:dyDescent="0.2">
      <c r="A17" s="143" t="s">
        <v>98</v>
      </c>
      <c r="B17" s="140">
        <v>62788</v>
      </c>
      <c r="C17" s="141">
        <f t="shared" si="0"/>
        <v>4.24</v>
      </c>
      <c r="D17" s="147"/>
    </row>
    <row r="18" spans="1:4" ht="26.25" customHeight="1" x14ac:dyDescent="0.2">
      <c r="A18" s="289" t="s">
        <v>29</v>
      </c>
      <c r="B18" s="107">
        <f>SUM(B7:B17)</f>
        <v>1482069</v>
      </c>
      <c r="C18" s="422">
        <f>SUM(C7:C17)</f>
        <v>99.949999999999989</v>
      </c>
    </row>
    <row r="19" spans="1:4" ht="15.95" customHeight="1" x14ac:dyDescent="0.2">
      <c r="A19" s="1230" t="s">
        <v>67</v>
      </c>
      <c r="B19" s="1230"/>
      <c r="C19" s="1230"/>
    </row>
    <row r="20" spans="1:4" ht="24.75" customHeight="1" x14ac:dyDescent="0.2">
      <c r="A20" s="1239" t="s">
        <v>109</v>
      </c>
      <c r="B20" s="1240"/>
      <c r="C20" s="1240"/>
    </row>
    <row r="22" spans="1:4" ht="14.25" customHeight="1" x14ac:dyDescent="0.2">
      <c r="A22" s="94"/>
      <c r="B22" s="4"/>
    </row>
    <row r="23" spans="1:4" x14ac:dyDescent="0.2">
      <c r="A23" s="1233"/>
      <c r="B23" s="1234"/>
      <c r="C23" s="291"/>
    </row>
  </sheetData>
  <sheetProtection password="9C8D" sheet="1" objects="1" scenarios="1"/>
  <mergeCells count="7">
    <mergeCell ref="A23:B23"/>
    <mergeCell ref="A1:C1"/>
    <mergeCell ref="A2:C2"/>
    <mergeCell ref="A3:C3"/>
    <mergeCell ref="A5:C5"/>
    <mergeCell ref="A19:C19"/>
    <mergeCell ref="A20:C20"/>
  </mergeCells>
  <pageMargins left="0.78740157499999996" right="0.78740157499999996" top="0.984251969" bottom="0.984251969" header="0.49212598499999999" footer="0.49212598499999999"/>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indowProtection="1" showGridLines="0" workbookViewId="0">
      <selection activeCell="E6" sqref="E6"/>
    </sheetView>
  </sheetViews>
  <sheetFormatPr defaultRowHeight="12.75" x14ac:dyDescent="0.2"/>
  <cols>
    <col min="1" max="1" width="46.5703125" customWidth="1"/>
    <col min="2" max="2" width="21.7109375" customWidth="1"/>
    <col min="3" max="3" width="14.28515625" customWidth="1"/>
    <col min="4" max="4" width="16.28515625" customWidth="1"/>
    <col min="5" max="5" width="11.85546875" customWidth="1"/>
    <col min="6" max="6" width="9.28515625" bestFit="1" customWidth="1"/>
  </cols>
  <sheetData>
    <row r="1" spans="1:6" ht="18" customHeight="1" x14ac:dyDescent="0.2">
      <c r="A1" s="1209" t="s">
        <v>350</v>
      </c>
      <c r="B1" s="1235"/>
      <c r="C1" s="1235"/>
      <c r="D1" s="1235"/>
    </row>
    <row r="2" spans="1:6" ht="18" customHeight="1" x14ac:dyDescent="0.2">
      <c r="A2" s="1188" t="s">
        <v>101</v>
      </c>
      <c r="B2" s="1236"/>
      <c r="C2" s="1236"/>
      <c r="D2" s="1236"/>
      <c r="E2" s="126"/>
    </row>
    <row r="3" spans="1:6" ht="18" customHeight="1" x14ac:dyDescent="0.2">
      <c r="A3" s="1188" t="str">
        <f>[4]Dados!A18</f>
        <v>Exercício de 2015</v>
      </c>
      <c r="B3" s="1236"/>
      <c r="C3" s="1236"/>
      <c r="D3" s="1236"/>
      <c r="E3" s="40"/>
    </row>
    <row r="4" spans="1:6" x14ac:dyDescent="0.2">
      <c r="A4" s="127"/>
      <c r="B4" s="98"/>
      <c r="C4" s="98"/>
      <c r="D4" s="98"/>
    </row>
    <row r="5" spans="1:6" x14ac:dyDescent="0.2">
      <c r="A5" s="1229" t="s">
        <v>1</v>
      </c>
      <c r="B5" s="1229"/>
      <c r="C5" s="1229"/>
      <c r="D5" s="1229"/>
      <c r="E5" s="40"/>
    </row>
    <row r="6" spans="1:6" ht="27" customHeight="1" x14ac:dyDescent="0.2">
      <c r="A6" s="6" t="s">
        <v>34</v>
      </c>
      <c r="B6" s="6" t="s">
        <v>7</v>
      </c>
      <c r="C6" s="6" t="s">
        <v>35</v>
      </c>
      <c r="D6" s="6" t="s">
        <v>36</v>
      </c>
      <c r="E6" s="58"/>
      <c r="F6" s="128"/>
    </row>
    <row r="7" spans="1:6" ht="21" customHeight="1" x14ac:dyDescent="0.2">
      <c r="A7" s="129" t="s">
        <v>23</v>
      </c>
      <c r="B7" s="130">
        <f>SUM(B8:B13)</f>
        <v>525861</v>
      </c>
      <c r="C7" s="131">
        <f>SUM(C8:C13)</f>
        <v>100.00000000000001</v>
      </c>
      <c r="D7" s="131">
        <v>4.5999999999999996</v>
      </c>
      <c r="E7" s="132"/>
    </row>
    <row r="8" spans="1:6" ht="15.95" customHeight="1" x14ac:dyDescent="0.2">
      <c r="A8" s="133" t="s">
        <v>102</v>
      </c>
      <c r="B8" s="134">
        <v>341915</v>
      </c>
      <c r="C8" s="102">
        <f>IF($B$14=0,0,ROUND(B8/$B$14*100,1))</f>
        <v>65</v>
      </c>
      <c r="D8" s="102">
        <f>IF('[4]2'!$D$37=0,0,ROUND(B8/'[4]2'!$D$37*100,1))</f>
        <v>3</v>
      </c>
      <c r="E8" s="135"/>
    </row>
    <row r="9" spans="1:6" ht="15.95" customHeight="1" x14ac:dyDescent="0.2">
      <c r="A9" s="133" t="s">
        <v>103</v>
      </c>
      <c r="B9" s="134">
        <v>27168</v>
      </c>
      <c r="C9" s="102">
        <f>IF($B$14=0,0,ROUND(B9/$B$14*100,1))</f>
        <v>5.2</v>
      </c>
      <c r="D9" s="102">
        <f>IF('[4]2'!$D$37=0,0,ROUND(B9/'[4]2'!$D$37*100,1))</f>
        <v>0.2</v>
      </c>
      <c r="E9" s="136"/>
    </row>
    <row r="10" spans="1:6" ht="15.95" customHeight="1" x14ac:dyDescent="0.2">
      <c r="A10" s="133" t="s">
        <v>104</v>
      </c>
      <c r="B10" s="134">
        <v>22782</v>
      </c>
      <c r="C10" s="102">
        <f>IF($B$14=0,0,ROUND(B10/$B$14*100,1))</f>
        <v>4.3</v>
      </c>
      <c r="D10" s="102">
        <f>IF('[4]2'!$D$37=0,0,ROUND(B10/'[4]2'!$D$37*100,1))</f>
        <v>0.2</v>
      </c>
      <c r="E10" s="137"/>
    </row>
    <row r="11" spans="1:6" ht="15.95" customHeight="1" x14ac:dyDescent="0.2">
      <c r="A11" s="133" t="s">
        <v>105</v>
      </c>
      <c r="B11" s="134">
        <v>17864</v>
      </c>
      <c r="C11" s="102">
        <f>IF($B$14=0,0,ROUND(B11/$B$14*100,1))</f>
        <v>3.4</v>
      </c>
      <c r="D11" s="102">
        <f>IF('[4]2'!$D$37=0,0,ROUND(B11/'[4]2'!$D$37*100,1))</f>
        <v>0.2</v>
      </c>
      <c r="E11" s="137"/>
    </row>
    <row r="12" spans="1:6" ht="15.95" customHeight="1" x14ac:dyDescent="0.2">
      <c r="A12" s="576" t="s">
        <v>199</v>
      </c>
      <c r="B12" s="134">
        <v>114075</v>
      </c>
      <c r="C12" s="102">
        <v>21.7</v>
      </c>
      <c r="D12" s="102">
        <v>1</v>
      </c>
      <c r="E12" s="137"/>
    </row>
    <row r="13" spans="1:6" ht="15.95" customHeight="1" x14ac:dyDescent="0.2">
      <c r="A13" s="138" t="s">
        <v>1009</v>
      </c>
      <c r="B13" s="65">
        <f>116132-114075</f>
        <v>2057</v>
      </c>
      <c r="C13" s="102">
        <f>IF($B$14=0,0,ROUND(B13/$B$14*100,1))</f>
        <v>0.4</v>
      </c>
      <c r="D13" s="102">
        <f ca="1">-D13</f>
        <v>0</v>
      </c>
      <c r="E13" s="136"/>
      <c r="F13" s="4"/>
    </row>
    <row r="14" spans="1:6" ht="20.100000000000001" customHeight="1" x14ac:dyDescent="0.2">
      <c r="A14" s="6" t="s">
        <v>29</v>
      </c>
      <c r="B14" s="107">
        <f>+B7</f>
        <v>525861</v>
      </c>
      <c r="C14" s="108">
        <f>C7</f>
        <v>100.00000000000001</v>
      </c>
      <c r="D14" s="108">
        <f>+D7</f>
        <v>4.5999999999999996</v>
      </c>
      <c r="E14" s="45"/>
      <c r="F14" s="4"/>
    </row>
    <row r="15" spans="1:6" s="258" customFormat="1" ht="20.25" customHeight="1" x14ac:dyDescent="0.2">
      <c r="A15" s="1212" t="s">
        <v>597</v>
      </c>
      <c r="B15" s="1213"/>
      <c r="C15" s="1213"/>
      <c r="D15" s="1213"/>
    </row>
    <row r="16" spans="1:6" x14ac:dyDescent="0.2">
      <c r="A16" s="1233"/>
      <c r="B16" s="1234"/>
      <c r="C16" s="1234"/>
      <c r="D16" s="1234"/>
    </row>
    <row r="17" spans="2:4" x14ac:dyDescent="0.2">
      <c r="B17" s="4"/>
      <c r="D17" s="54"/>
    </row>
    <row r="19" spans="2:4" x14ac:dyDescent="0.2">
      <c r="B19" s="13"/>
    </row>
    <row r="21" spans="2:4" x14ac:dyDescent="0.2">
      <c r="C21" s="13"/>
    </row>
    <row r="22" spans="2:4" x14ac:dyDescent="0.2">
      <c r="B22" s="13"/>
    </row>
  </sheetData>
  <sheetProtection password="9C8D" sheet="1" objects="1" scenarios="1"/>
  <mergeCells count="6">
    <mergeCell ref="A16:D16"/>
    <mergeCell ref="A1:D1"/>
    <mergeCell ref="A2:D2"/>
    <mergeCell ref="A3:D3"/>
    <mergeCell ref="A5:D5"/>
    <mergeCell ref="A15:D15"/>
  </mergeCells>
  <pageMargins left="0.78740157480314965" right="0.19685039370078741" top="0.6692913385826772" bottom="0.47244094488188981" header="0.51181102362204722" footer="0.51181102362204722"/>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windowProtection="1" showGridLines="0" workbookViewId="0">
      <selection activeCell="D6" sqref="D6"/>
    </sheetView>
  </sheetViews>
  <sheetFormatPr defaultRowHeight="12.75" x14ac:dyDescent="0.2"/>
  <cols>
    <col min="1" max="1" width="32.85546875" customWidth="1"/>
    <col min="2" max="2" width="18.28515625" customWidth="1"/>
    <col min="3" max="3" width="11.7109375" customWidth="1"/>
    <col min="4" max="4" width="15" bestFit="1" customWidth="1"/>
    <col min="5" max="5" width="9.28515625" bestFit="1" customWidth="1"/>
    <col min="6" max="6" width="35.28515625" bestFit="1" customWidth="1"/>
    <col min="10" max="10" width="11.28515625" bestFit="1" customWidth="1"/>
    <col min="11" max="11" width="10.28515625" bestFit="1" customWidth="1"/>
  </cols>
  <sheetData>
    <row r="1" spans="1:11" ht="18" customHeight="1" x14ac:dyDescent="0.2">
      <c r="A1" s="1209" t="s">
        <v>110</v>
      </c>
      <c r="B1" s="1209"/>
      <c r="C1" s="1209"/>
    </row>
    <row r="2" spans="1:11" ht="18" customHeight="1" x14ac:dyDescent="0.2">
      <c r="A2" s="1188" t="s">
        <v>106</v>
      </c>
      <c r="B2" s="1188"/>
      <c r="C2" s="1188"/>
      <c r="D2" s="126"/>
    </row>
    <row r="3" spans="1:11" ht="18" customHeight="1" x14ac:dyDescent="0.2">
      <c r="A3" s="1188" t="str">
        <f>[4]Dados!A18</f>
        <v>Exercício de 2015</v>
      </c>
      <c r="B3" s="1188"/>
      <c r="C3" s="1188"/>
      <c r="D3" s="40"/>
    </row>
    <row r="4" spans="1:11" x14ac:dyDescent="0.2">
      <c r="A4" s="98"/>
      <c r="B4" s="98"/>
      <c r="C4" s="98"/>
    </row>
    <row r="5" spans="1:11" x14ac:dyDescent="0.2">
      <c r="A5" s="1229" t="s">
        <v>1</v>
      </c>
      <c r="B5" s="1229"/>
      <c r="C5" s="1229"/>
      <c r="D5" s="40"/>
    </row>
    <row r="6" spans="1:11" ht="27" customHeight="1" x14ac:dyDescent="0.2">
      <c r="A6" s="120" t="s">
        <v>87</v>
      </c>
      <c r="B6" s="120" t="s">
        <v>7</v>
      </c>
      <c r="C6" s="6" t="s">
        <v>8</v>
      </c>
      <c r="D6" s="58"/>
      <c r="E6" s="83"/>
    </row>
    <row r="7" spans="1:11" ht="15.95" customHeight="1" x14ac:dyDescent="0.2">
      <c r="A7" s="139" t="s">
        <v>88</v>
      </c>
      <c r="B7" s="140">
        <v>85800</v>
      </c>
      <c r="C7" s="141">
        <f>IF($B$18=0,0,ROUND(B7/$B$18*100,1))</f>
        <v>16.3</v>
      </c>
      <c r="D7" s="142"/>
    </row>
    <row r="8" spans="1:11" ht="15.95" customHeight="1" x14ac:dyDescent="0.2">
      <c r="A8" s="143" t="s">
        <v>107</v>
      </c>
      <c r="B8" s="140">
        <v>167906</v>
      </c>
      <c r="C8" s="141">
        <f t="shared" ref="C8:C17" si="0">IF($B$18=0,0,ROUND(B8/$B$18*100,1))</f>
        <v>31.9</v>
      </c>
      <c r="D8" s="41"/>
      <c r="J8" s="144"/>
      <c r="K8" s="144"/>
    </row>
    <row r="9" spans="1:11" ht="15.95" customHeight="1" x14ac:dyDescent="0.2">
      <c r="A9" s="145" t="s">
        <v>90</v>
      </c>
      <c r="B9" s="146">
        <v>69988</v>
      </c>
      <c r="C9" s="141">
        <f t="shared" si="0"/>
        <v>13.3</v>
      </c>
      <c r="D9" s="41"/>
      <c r="J9" s="144"/>
      <c r="K9" s="144"/>
    </row>
    <row r="10" spans="1:11" ht="15.95" customHeight="1" x14ac:dyDescent="0.2">
      <c r="A10" s="143" t="s">
        <v>91</v>
      </c>
      <c r="B10" s="140">
        <v>2611</v>
      </c>
      <c r="C10" s="141">
        <f t="shared" si="0"/>
        <v>0.5</v>
      </c>
      <c r="D10" s="83"/>
      <c r="J10" s="144"/>
      <c r="K10" s="144"/>
    </row>
    <row r="11" spans="1:11" ht="15.95" customHeight="1" x14ac:dyDescent="0.2">
      <c r="A11" s="145" t="s">
        <v>92</v>
      </c>
      <c r="B11" s="140">
        <v>4056</v>
      </c>
      <c r="C11" s="141">
        <f t="shared" si="0"/>
        <v>0.8</v>
      </c>
      <c r="D11" s="41"/>
      <c r="J11" s="144"/>
      <c r="K11" s="144"/>
    </row>
    <row r="12" spans="1:11" ht="15.95" customHeight="1" x14ac:dyDescent="0.2">
      <c r="A12" s="143" t="s">
        <v>93</v>
      </c>
      <c r="B12" s="140">
        <v>661</v>
      </c>
      <c r="C12" s="141">
        <f t="shared" si="0"/>
        <v>0.1</v>
      </c>
      <c r="D12" s="41"/>
      <c r="J12" s="144"/>
      <c r="K12" s="144"/>
    </row>
    <row r="13" spans="1:11" ht="15.95" customHeight="1" x14ac:dyDescent="0.2">
      <c r="A13" s="145" t="s">
        <v>94</v>
      </c>
      <c r="B13" s="140">
        <v>8162</v>
      </c>
      <c r="C13" s="141">
        <f t="shared" si="0"/>
        <v>1.6</v>
      </c>
      <c r="D13" s="41"/>
      <c r="J13" s="144"/>
      <c r="K13" s="144"/>
    </row>
    <row r="14" spans="1:11" ht="15.95" customHeight="1" x14ac:dyDescent="0.2">
      <c r="A14" s="143" t="s">
        <v>95</v>
      </c>
      <c r="B14" s="140">
        <v>53719</v>
      </c>
      <c r="C14" s="141">
        <f>IF($B$18=0,0,ROUND(B14/$B$18*100,1))</f>
        <v>10.199999999999999</v>
      </c>
      <c r="D14" s="41"/>
      <c r="J14" s="144"/>
      <c r="K14" s="144"/>
    </row>
    <row r="15" spans="1:11" ht="15.95" customHeight="1" x14ac:dyDescent="0.2">
      <c r="A15" s="145" t="s">
        <v>96</v>
      </c>
      <c r="B15" s="140">
        <v>10499</v>
      </c>
      <c r="C15" s="141">
        <f t="shared" si="0"/>
        <v>2</v>
      </c>
      <c r="D15" s="41"/>
      <c r="J15" s="144"/>
      <c r="K15" s="144"/>
    </row>
    <row r="16" spans="1:11" ht="15.95" customHeight="1" x14ac:dyDescent="0.2">
      <c r="A16" s="143" t="s">
        <v>108</v>
      </c>
      <c r="B16" s="140">
        <v>120568</v>
      </c>
      <c r="C16" s="141">
        <f t="shared" si="0"/>
        <v>22.9</v>
      </c>
      <c r="D16" s="41"/>
      <c r="J16" s="144"/>
      <c r="K16" s="144"/>
    </row>
    <row r="17" spans="1:4" ht="15.95" customHeight="1" x14ac:dyDescent="0.2">
      <c r="A17" s="143" t="s">
        <v>98</v>
      </c>
      <c r="B17" s="140">
        <v>1891</v>
      </c>
      <c r="C17" s="141">
        <f t="shared" si="0"/>
        <v>0.4</v>
      </c>
      <c r="D17" s="147"/>
    </row>
    <row r="18" spans="1:4" ht="26.25" customHeight="1" x14ac:dyDescent="0.2">
      <c r="A18" s="6" t="s">
        <v>29</v>
      </c>
      <c r="B18" s="107">
        <f>SUM(B7:B17)</f>
        <v>525861</v>
      </c>
      <c r="C18" s="108">
        <f>SUM(C7:C17)</f>
        <v>100</v>
      </c>
    </row>
    <row r="19" spans="1:4" ht="15.95" customHeight="1" x14ac:dyDescent="0.2">
      <c r="A19" s="1230" t="s">
        <v>67</v>
      </c>
      <c r="B19" s="1230"/>
      <c r="C19" s="1230"/>
    </row>
    <row r="20" spans="1:4" ht="24.75" customHeight="1" x14ac:dyDescent="0.2">
      <c r="A20" s="1239" t="s">
        <v>109</v>
      </c>
      <c r="B20" s="1240"/>
      <c r="C20" s="1240"/>
    </row>
    <row r="22" spans="1:4" ht="14.25" customHeight="1" x14ac:dyDescent="0.2">
      <c r="A22" s="94"/>
      <c r="B22" s="4"/>
    </row>
    <row r="23" spans="1:4" x14ac:dyDescent="0.2">
      <c r="A23" s="1233"/>
      <c r="B23" s="1234"/>
      <c r="C23" s="17"/>
    </row>
  </sheetData>
  <sheetProtection password="9C8D" sheet="1" objects="1" scenarios="1"/>
  <mergeCells count="7">
    <mergeCell ref="A23:B23"/>
    <mergeCell ref="A1:C1"/>
    <mergeCell ref="A2:C2"/>
    <mergeCell ref="A3:C3"/>
    <mergeCell ref="A5:C5"/>
    <mergeCell ref="A19:C19"/>
    <mergeCell ref="A20:C20"/>
  </mergeCells>
  <pageMargins left="0.78740157499999996" right="0.78740157499999996" top="0.984251969" bottom="0.984251969" header="0.49212598499999999" footer="0.49212598499999999"/>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indowProtection="1" showGridLines="0" workbookViewId="0">
      <selection activeCell="E6" sqref="E6"/>
    </sheetView>
  </sheetViews>
  <sheetFormatPr defaultRowHeight="12.75" x14ac:dyDescent="0.2"/>
  <cols>
    <col min="1" max="1" width="30.7109375" customWidth="1"/>
    <col min="2" max="2" width="15.7109375" customWidth="1"/>
    <col min="3" max="3" width="18.7109375" customWidth="1"/>
    <col min="4" max="4" width="17.42578125" customWidth="1"/>
    <col min="5" max="5" width="12.85546875" bestFit="1" customWidth="1"/>
    <col min="6" max="6" width="10.7109375" customWidth="1"/>
  </cols>
  <sheetData>
    <row r="1" spans="1:6" ht="19.5" customHeight="1" x14ac:dyDescent="0.2">
      <c r="A1" s="1209" t="s">
        <v>355</v>
      </c>
      <c r="B1" s="1235"/>
      <c r="C1" s="1235"/>
      <c r="D1" s="1235"/>
    </row>
    <row r="2" spans="1:6" ht="20.25" customHeight="1" x14ac:dyDescent="0.2">
      <c r="A2" s="1210" t="s">
        <v>358</v>
      </c>
      <c r="B2" s="1235"/>
      <c r="C2" s="1235"/>
      <c r="D2" s="1235"/>
    </row>
    <row r="3" spans="1:6" x14ac:dyDescent="0.2">
      <c r="A3" s="1210" t="str">
        <f>[5]Dados!A18</f>
        <v>Exercício de 2015</v>
      </c>
      <c r="B3" s="1235"/>
      <c r="C3" s="1235"/>
      <c r="D3" s="1235"/>
    </row>
    <row r="4" spans="1:6" x14ac:dyDescent="0.2">
      <c r="A4" s="362"/>
      <c r="B4" s="99"/>
      <c r="C4" s="99"/>
      <c r="D4" s="99"/>
      <c r="F4" s="430"/>
    </row>
    <row r="5" spans="1:6" x14ac:dyDescent="0.2">
      <c r="A5" s="1242" t="s">
        <v>1</v>
      </c>
      <c r="B5" s="1242"/>
      <c r="C5" s="1242"/>
      <c r="D5" s="1242"/>
      <c r="F5" s="430"/>
    </row>
    <row r="6" spans="1:6" ht="27.75" customHeight="1" x14ac:dyDescent="0.2">
      <c r="A6" s="289" t="s">
        <v>195</v>
      </c>
      <c r="B6" s="289" t="s">
        <v>7</v>
      </c>
      <c r="C6" s="289" t="s">
        <v>35</v>
      </c>
      <c r="D6" s="289" t="s">
        <v>36</v>
      </c>
      <c r="E6" s="292"/>
      <c r="F6" s="430"/>
    </row>
    <row r="7" spans="1:6" ht="15.95" customHeight="1" x14ac:dyDescent="0.2">
      <c r="A7" s="431" t="s">
        <v>359</v>
      </c>
      <c r="B7" s="432">
        <f>SUM(B8:B12)</f>
        <v>2106774</v>
      </c>
      <c r="C7" s="433">
        <f>SUM(C8:C12)</f>
        <v>62.7</v>
      </c>
      <c r="D7" s="433">
        <f>SUM(D8:D12)</f>
        <v>18.260000000000002</v>
      </c>
      <c r="E7" s="144"/>
      <c r="F7" s="430"/>
    </row>
    <row r="8" spans="1:6" ht="15.95" customHeight="1" x14ac:dyDescent="0.2">
      <c r="A8" s="90" t="s">
        <v>360</v>
      </c>
      <c r="B8" s="152">
        <f>1+1684848</f>
        <v>1684849</v>
      </c>
      <c r="C8" s="102">
        <f>IF($B$33=0,0,ROUND(B8/$B$33*100,1))</f>
        <v>50.1</v>
      </c>
      <c r="D8" s="102">
        <v>14.6</v>
      </c>
      <c r="E8" s="54"/>
      <c r="F8" s="434"/>
    </row>
    <row r="9" spans="1:6" ht="15.95" customHeight="1" x14ac:dyDescent="0.2">
      <c r="A9" s="151" t="s">
        <v>361</v>
      </c>
      <c r="B9" s="152">
        <v>325564</v>
      </c>
      <c r="C9" s="102">
        <f>IF($B$33=0,0,ROUND(B9/$B$33*100,1))</f>
        <v>9.6999999999999993</v>
      </c>
      <c r="D9" s="102">
        <f>IF('[5]2'!$D$37=0,0,ROUND(B9/'[5]2'!$D$37*100,2))</f>
        <v>2.83</v>
      </c>
      <c r="E9" s="54"/>
      <c r="F9" s="435"/>
    </row>
    <row r="10" spans="1:6" ht="15.95" customHeight="1" x14ac:dyDescent="0.2">
      <c r="A10" s="151" t="s">
        <v>104</v>
      </c>
      <c r="B10" s="152">
        <v>66065</v>
      </c>
      <c r="C10" s="102">
        <f>IF($B$33=0,0,ROUND(B10/$B$33*100,1))</f>
        <v>2</v>
      </c>
      <c r="D10" s="102">
        <f>IF('[5]2'!$D$37=0,0,ROUND(B10/'[5]2'!$D$37*100,2))</f>
        <v>0.56999999999999995</v>
      </c>
      <c r="E10" s="54"/>
      <c r="F10" s="435"/>
    </row>
    <row r="11" spans="1:6" ht="15.95" customHeight="1" x14ac:dyDescent="0.2">
      <c r="A11" s="151" t="s">
        <v>362</v>
      </c>
      <c r="B11" s="152">
        <v>5842</v>
      </c>
      <c r="C11" s="102">
        <f>IF($B$33=0,0,ROUND(B11/$B$33*100,1))</f>
        <v>0.2</v>
      </c>
      <c r="D11" s="102">
        <f>IF('[5]2'!$D$37=0,0,ROUND(B11/'[5]2'!$D$37*100,2))</f>
        <v>0.05</v>
      </c>
      <c r="E11" s="54"/>
      <c r="F11" s="435"/>
    </row>
    <row r="12" spans="1:6" ht="15.95" customHeight="1" x14ac:dyDescent="0.2">
      <c r="A12" s="151" t="s">
        <v>48</v>
      </c>
      <c r="B12" s="152">
        <v>24454</v>
      </c>
      <c r="C12" s="102">
        <f>IF($B$33=0,0,ROUND(B12/$B$33*100,1))</f>
        <v>0.7</v>
      </c>
      <c r="D12" s="102">
        <f>IF('[5]2'!$D$37=0,0,ROUND(B12/'[5]2'!$D$37*100,2))</f>
        <v>0.21</v>
      </c>
      <c r="E12" s="54"/>
      <c r="F12" s="435"/>
    </row>
    <row r="13" spans="1:6" ht="15.95" customHeight="1" x14ac:dyDescent="0.2">
      <c r="A13" s="112" t="s">
        <v>363</v>
      </c>
      <c r="B13" s="432">
        <f>SUM(B14:B32)</f>
        <v>1256407</v>
      </c>
      <c r="C13" s="433">
        <f>SUM(C14:C32)</f>
        <v>37.300000000000004</v>
      </c>
      <c r="D13" s="433">
        <v>10.9</v>
      </c>
      <c r="E13" s="144"/>
      <c r="F13" s="436"/>
    </row>
    <row r="14" spans="1:6" ht="15.95" customHeight="1" x14ac:dyDescent="0.2">
      <c r="A14" s="110" t="s">
        <v>364</v>
      </c>
      <c r="B14" s="152">
        <v>10873</v>
      </c>
      <c r="C14" s="102">
        <f>IF($B$33=0,0,ROUND(B14/$B$33*100,1))</f>
        <v>0.3</v>
      </c>
      <c r="D14" s="102">
        <f>IF('[5]2'!$D$37=0,0,ROUND(B14/'[5]2'!$D$37*100,2))</f>
        <v>0.09</v>
      </c>
      <c r="E14" s="54"/>
      <c r="F14" s="437"/>
    </row>
    <row r="15" spans="1:6" ht="15.95" customHeight="1" x14ac:dyDescent="0.2">
      <c r="A15" s="151" t="s">
        <v>365</v>
      </c>
      <c r="B15" s="152">
        <v>300069</v>
      </c>
      <c r="C15" s="102">
        <f t="shared" ref="C15:C32" si="0">IF($B$33=0,0,ROUND(B15/$B$33*100,1))</f>
        <v>8.9</v>
      </c>
      <c r="D15" s="102" t="s">
        <v>366</v>
      </c>
      <c r="E15" s="54"/>
      <c r="F15" s="438"/>
    </row>
    <row r="16" spans="1:6" ht="15.95" customHeight="1" x14ac:dyDescent="0.2">
      <c r="A16" s="151" t="s">
        <v>367</v>
      </c>
      <c r="B16" s="152">
        <v>173316</v>
      </c>
      <c r="C16" s="102">
        <f t="shared" si="0"/>
        <v>5.2</v>
      </c>
      <c r="D16" s="102">
        <f>IF('[5]2'!$D$37=0,0,ROUND(B16/'[5]2'!$D$37*100,2))</f>
        <v>1.51</v>
      </c>
      <c r="E16" s="54"/>
      <c r="F16" s="434"/>
    </row>
    <row r="17" spans="1:6" ht="15.95" customHeight="1" x14ac:dyDescent="0.2">
      <c r="A17" s="151" t="s">
        <v>368</v>
      </c>
      <c r="B17" s="152">
        <v>25</v>
      </c>
      <c r="C17" s="102">
        <f t="shared" si="0"/>
        <v>0</v>
      </c>
      <c r="D17" s="102">
        <f>IF('[5]2'!$D$37=0,0,ROUND(B17/'[5]2'!$D$37*100,2))</f>
        <v>0</v>
      </c>
      <c r="E17" s="54"/>
      <c r="F17" s="434"/>
    </row>
    <row r="18" spans="1:6" ht="15.95" customHeight="1" x14ac:dyDescent="0.2">
      <c r="A18" s="151" t="s">
        <v>352</v>
      </c>
      <c r="B18" s="152">
        <v>17212</v>
      </c>
      <c r="C18" s="102">
        <f t="shared" si="0"/>
        <v>0.5</v>
      </c>
      <c r="D18" s="102">
        <f>IF('[5]2'!$D$37=0,0,ROUND(B18/'[5]2'!$D$37*100,2))</f>
        <v>0.15</v>
      </c>
      <c r="E18" s="54"/>
      <c r="F18" s="434"/>
    </row>
    <row r="19" spans="1:6" ht="15.95" customHeight="1" x14ac:dyDescent="0.2">
      <c r="A19" s="90" t="s">
        <v>369</v>
      </c>
      <c r="B19" s="152">
        <v>118304</v>
      </c>
      <c r="C19" s="102">
        <f t="shared" si="0"/>
        <v>3.5</v>
      </c>
      <c r="D19" s="102">
        <f>IF('[5]2'!$D$37=0,0,ROUND(B19/'[5]2'!$D$37*100,2))</f>
        <v>1.03</v>
      </c>
      <c r="E19" s="54"/>
      <c r="F19" s="434"/>
    </row>
    <row r="20" spans="1:6" ht="15.95" customHeight="1" x14ac:dyDescent="0.2">
      <c r="A20" s="151" t="s">
        <v>370</v>
      </c>
      <c r="B20" s="152">
        <v>91583</v>
      </c>
      <c r="C20" s="102">
        <f t="shared" si="0"/>
        <v>2.7</v>
      </c>
      <c r="D20" s="102">
        <f>IF('[5]2'!$D$37=0,0,ROUND(B20/'[5]2'!$D$37*100,2))</f>
        <v>0.8</v>
      </c>
      <c r="E20" s="54"/>
      <c r="F20" s="434"/>
    </row>
    <row r="21" spans="1:6" ht="15.95" customHeight="1" x14ac:dyDescent="0.2">
      <c r="A21" s="151" t="s">
        <v>371</v>
      </c>
      <c r="B21" s="152">
        <v>23218</v>
      </c>
      <c r="C21" s="102">
        <f t="shared" si="0"/>
        <v>0.7</v>
      </c>
      <c r="D21" s="102">
        <f>IF('[5]2'!$D$37=0,0,ROUND(B21/'[5]2'!$D$37*100,2))</f>
        <v>0.2</v>
      </c>
      <c r="E21" s="54"/>
      <c r="F21" s="434"/>
    </row>
    <row r="22" spans="1:6" ht="15.95" customHeight="1" x14ac:dyDescent="0.2">
      <c r="A22" s="151" t="s">
        <v>372</v>
      </c>
      <c r="B22" s="152">
        <v>22381</v>
      </c>
      <c r="C22" s="102">
        <f t="shared" si="0"/>
        <v>0.7</v>
      </c>
      <c r="D22" s="102">
        <f>IF('[5]2'!$D$37=0,0,ROUND(B22/'[5]2'!$D$37*100,2))</f>
        <v>0.19</v>
      </c>
      <c r="E22" s="54"/>
      <c r="F22" s="434"/>
    </row>
    <row r="23" spans="1:6" ht="15.95" customHeight="1" x14ac:dyDescent="0.2">
      <c r="A23" s="105" t="s">
        <v>228</v>
      </c>
      <c r="B23" s="152">
        <v>88659</v>
      </c>
      <c r="C23" s="102">
        <f t="shared" si="0"/>
        <v>2.6</v>
      </c>
      <c r="D23" s="102">
        <f>IF('[5]2'!$D$37=0,0,ROUND(B23/'[5]2'!$D$37*100,2))</f>
        <v>0.77</v>
      </c>
      <c r="E23" s="63"/>
      <c r="F23" s="434"/>
    </row>
    <row r="24" spans="1:6" ht="15.95" customHeight="1" x14ac:dyDescent="0.2">
      <c r="A24" s="439" t="s">
        <v>373</v>
      </c>
      <c r="B24" s="152">
        <v>48992</v>
      </c>
      <c r="C24" s="102">
        <f t="shared" si="0"/>
        <v>1.5</v>
      </c>
      <c r="D24" s="102">
        <f>IF('[5]2'!$D$37=0,0,ROUND(B24/'[5]2'!$D$37*100,2))</f>
        <v>0.43</v>
      </c>
      <c r="E24" s="63"/>
      <c r="F24" s="434"/>
    </row>
    <row r="25" spans="1:6" ht="15.95" customHeight="1" x14ac:dyDescent="0.2">
      <c r="A25" s="344" t="s">
        <v>374</v>
      </c>
      <c r="B25" s="152">
        <v>6636</v>
      </c>
      <c r="C25" s="102">
        <f t="shared" si="0"/>
        <v>0.2</v>
      </c>
      <c r="D25" s="102">
        <f>IF('[5]2'!$D$37=0,0,ROUND(B25/'[5]2'!$D$37*100,2))</f>
        <v>0.06</v>
      </c>
      <c r="E25" s="63"/>
      <c r="F25" s="434"/>
    </row>
    <row r="26" spans="1:6" ht="15.95" customHeight="1" x14ac:dyDescent="0.2">
      <c r="A26" s="344" t="s">
        <v>375</v>
      </c>
      <c r="B26" s="152">
        <v>55364</v>
      </c>
      <c r="C26" s="102">
        <f t="shared" si="0"/>
        <v>1.6</v>
      </c>
      <c r="D26" s="102">
        <f>IF('[5]2'!$D$37=0,0,ROUND(B26/'[5]2'!$D$37*100,2))</f>
        <v>0.48</v>
      </c>
      <c r="E26" s="63"/>
      <c r="F26" s="434"/>
    </row>
    <row r="27" spans="1:6" ht="15.95" customHeight="1" x14ac:dyDescent="0.2">
      <c r="A27" s="344" t="s">
        <v>376</v>
      </c>
      <c r="B27" s="152">
        <v>141983</v>
      </c>
      <c r="C27" s="102">
        <f>IF($B$33=0,0,ROUND(B27/$B$33*100,1))</f>
        <v>4.2</v>
      </c>
      <c r="D27" s="102">
        <f>IF('[5]2'!$D$37=0,0,ROUND(B27/'[5]2'!$D$37*100,2))</f>
        <v>1.24</v>
      </c>
      <c r="E27" s="63"/>
      <c r="F27" s="434"/>
    </row>
    <row r="28" spans="1:6" ht="15.95" customHeight="1" x14ac:dyDescent="0.2">
      <c r="A28" s="360" t="s">
        <v>200</v>
      </c>
      <c r="B28" s="152">
        <v>34301</v>
      </c>
      <c r="C28" s="102">
        <f t="shared" si="0"/>
        <v>1</v>
      </c>
      <c r="D28" s="102">
        <f>IF('[5]2'!$D$37=0,0,ROUND(B28/'[5]2'!$D$37*100,2))</f>
        <v>0.3</v>
      </c>
      <c r="E28" s="63"/>
      <c r="F28" s="434"/>
    </row>
    <row r="29" spans="1:6" ht="15.95" customHeight="1" x14ac:dyDescent="0.2">
      <c r="A29" s="360" t="s">
        <v>377</v>
      </c>
      <c r="B29" s="152">
        <v>5258</v>
      </c>
      <c r="C29" s="102">
        <f t="shared" si="0"/>
        <v>0.2</v>
      </c>
      <c r="D29" s="102">
        <f>IF('[5]2'!$D$37=0,0,ROUND(B29/'[5]2'!$D$37*100,2))</f>
        <v>0.05</v>
      </c>
      <c r="E29" s="63"/>
      <c r="F29" s="434"/>
    </row>
    <row r="30" spans="1:6" ht="15.95" customHeight="1" x14ac:dyDescent="0.2">
      <c r="A30" s="440" t="s">
        <v>378</v>
      </c>
      <c r="B30" s="152">
        <v>4885</v>
      </c>
      <c r="C30" s="102">
        <f t="shared" si="0"/>
        <v>0.1</v>
      </c>
      <c r="D30" s="102">
        <f>IF('[5]2'!$D$37=0,0,ROUND(B30/'[5]2'!$D$37*100,2))</f>
        <v>0.04</v>
      </c>
      <c r="E30" s="63"/>
      <c r="F30" s="434"/>
    </row>
    <row r="31" spans="1:6" ht="15.95" customHeight="1" x14ac:dyDescent="0.2">
      <c r="A31" s="408" t="s">
        <v>104</v>
      </c>
      <c r="B31" s="152">
        <v>19311</v>
      </c>
      <c r="C31" s="102">
        <f t="shared" si="0"/>
        <v>0.6</v>
      </c>
      <c r="D31" s="102">
        <f>IF('[5]2'!$D$37=0,0,ROUND(B31/'[5]2'!$D$37*100,2))</f>
        <v>0.17</v>
      </c>
      <c r="E31" s="63"/>
      <c r="F31" s="434"/>
    </row>
    <row r="32" spans="1:6" ht="15.95" customHeight="1" x14ac:dyDescent="0.2">
      <c r="A32" s="359" t="s">
        <v>48</v>
      </c>
      <c r="B32" s="152">
        <v>94037</v>
      </c>
      <c r="C32" s="102">
        <f t="shared" si="0"/>
        <v>2.8</v>
      </c>
      <c r="D32" s="102">
        <f>IF('[5]2'!$D$37=0,0,ROUND(B32/'[5]2'!$D$37*100,2))</f>
        <v>0.82</v>
      </c>
      <c r="E32" s="63"/>
      <c r="F32" s="434"/>
    </row>
    <row r="33" spans="1:6" ht="27" customHeight="1" x14ac:dyDescent="0.2">
      <c r="A33" s="289" t="s">
        <v>29</v>
      </c>
      <c r="B33" s="153">
        <f>+B7+B13</f>
        <v>3363181</v>
      </c>
      <c r="C33" s="108">
        <f>+C7+C13</f>
        <v>100</v>
      </c>
      <c r="D33" s="38">
        <f>+D7+D13</f>
        <v>29.160000000000004</v>
      </c>
      <c r="E33" s="54"/>
      <c r="F33" s="430"/>
    </row>
    <row r="34" spans="1:6" x14ac:dyDescent="0.2">
      <c r="A34" s="1216" t="s">
        <v>67</v>
      </c>
      <c r="B34" s="1216"/>
      <c r="C34" s="1216"/>
      <c r="D34" s="1216"/>
      <c r="E34" s="54"/>
    </row>
    <row r="35" spans="1:6" ht="23.25" customHeight="1" x14ac:dyDescent="0.2">
      <c r="A35" s="1239" t="s">
        <v>109</v>
      </c>
      <c r="B35" s="1241"/>
      <c r="C35" s="1241"/>
      <c r="D35" s="1241"/>
    </row>
    <row r="36" spans="1:6" x14ac:dyDescent="0.2">
      <c r="B36" s="4">
        <f>+B33-'[5]2'!D32</f>
        <v>0</v>
      </c>
      <c r="D36" s="441"/>
    </row>
    <row r="37" spans="1:6" x14ac:dyDescent="0.2">
      <c r="A37" s="94"/>
      <c r="B37" s="13"/>
    </row>
  </sheetData>
  <sheetProtection password="9C8D" sheet="1" objects="1" scenarios="1"/>
  <mergeCells count="6">
    <mergeCell ref="A35:D35"/>
    <mergeCell ref="A1:D1"/>
    <mergeCell ref="A2:D2"/>
    <mergeCell ref="A3:D3"/>
    <mergeCell ref="A5:D5"/>
    <mergeCell ref="A34:D34"/>
  </mergeCells>
  <pageMargins left="0.78740157499999996" right="0.78740157499999996" top="0.984251969" bottom="0.984251969" header="0.49212598499999999" footer="0.49212598499999999"/>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windowProtection="1" showGridLines="0" workbookViewId="0">
      <selection activeCell="F6" sqref="F6"/>
    </sheetView>
  </sheetViews>
  <sheetFormatPr defaultRowHeight="12.75" x14ac:dyDescent="0.2"/>
  <cols>
    <col min="1" max="1" width="34.7109375" customWidth="1"/>
    <col min="2" max="2" width="13.28515625" customWidth="1"/>
    <col min="3" max="3" width="14.140625" customWidth="1"/>
    <col min="4" max="4" width="14.28515625" customWidth="1"/>
    <col min="5" max="5" width="9.7109375" customWidth="1"/>
    <col min="7" max="7" width="26.140625" bestFit="1" customWidth="1"/>
    <col min="8" max="8" width="16.5703125" customWidth="1"/>
    <col min="11" max="11" width="11.28515625" bestFit="1" customWidth="1"/>
  </cols>
  <sheetData>
    <row r="1" spans="1:11" ht="12.75" customHeight="1" x14ac:dyDescent="0.2">
      <c r="A1" s="1209" t="s">
        <v>357</v>
      </c>
      <c r="B1" s="1209"/>
      <c r="C1" s="1209"/>
      <c r="D1" s="1209"/>
      <c r="E1" s="1209"/>
    </row>
    <row r="2" spans="1:11" ht="20.25" customHeight="1" x14ac:dyDescent="0.2">
      <c r="A2" s="1210" t="s">
        <v>407</v>
      </c>
      <c r="B2" s="1210"/>
      <c r="C2" s="1210"/>
      <c r="D2" s="1210"/>
      <c r="E2" s="1210"/>
    </row>
    <row r="3" spans="1:11" ht="12.75" customHeight="1" x14ac:dyDescent="0.2">
      <c r="A3" s="1210" t="str">
        <f>[6]Dados!A18</f>
        <v>Exercício de 2015</v>
      </c>
      <c r="B3" s="1210"/>
      <c r="C3" s="1210"/>
      <c r="D3" s="1210"/>
      <c r="E3" s="1210"/>
    </row>
    <row r="4" spans="1:11" x14ac:dyDescent="0.2">
      <c r="A4" s="362"/>
      <c r="B4" s="99"/>
      <c r="C4" s="99"/>
      <c r="D4" s="99"/>
      <c r="E4" s="99"/>
    </row>
    <row r="5" spans="1:11" ht="12.75" customHeight="1" x14ac:dyDescent="0.2">
      <c r="A5" s="99"/>
      <c r="B5" s="99"/>
      <c r="C5" s="99"/>
      <c r="D5" s="1242" t="s">
        <v>1</v>
      </c>
      <c r="E5" s="1242"/>
      <c r="F5" s="472"/>
      <c r="G5" s="472"/>
      <c r="H5" s="472"/>
    </row>
    <row r="6" spans="1:11" ht="27.75" customHeight="1" x14ac:dyDescent="0.2">
      <c r="A6" s="382" t="s">
        <v>87</v>
      </c>
      <c r="B6" s="382" t="s">
        <v>404</v>
      </c>
      <c r="C6" s="382" t="s">
        <v>8</v>
      </c>
      <c r="D6" s="382" t="s">
        <v>7</v>
      </c>
      <c r="E6" s="382" t="s">
        <v>8</v>
      </c>
      <c r="F6" s="385"/>
      <c r="G6" s="83"/>
    </row>
    <row r="7" spans="1:11" ht="15.95" customHeight="1" x14ac:dyDescent="0.2">
      <c r="A7" s="151" t="s">
        <v>88</v>
      </c>
      <c r="B7" s="424">
        <v>733</v>
      </c>
      <c r="C7" s="476">
        <f>IF($B$8=0,0,ROUND(B7/B$18*100,2))</f>
        <v>3</v>
      </c>
      <c r="D7" s="152">
        <v>125785</v>
      </c>
      <c r="E7" s="476">
        <f>IF($D$18=0,0,ROUND(D7/D$18*100,2))</f>
        <v>3.74</v>
      </c>
      <c r="G7" s="83"/>
      <c r="K7" s="144"/>
    </row>
    <row r="8" spans="1:11" ht="15.95" customHeight="1" x14ac:dyDescent="0.2">
      <c r="A8" s="90" t="s">
        <v>107</v>
      </c>
      <c r="B8" s="473">
        <v>4724</v>
      </c>
      <c r="C8" s="476">
        <f t="shared" ref="C8:C17" si="0">IF($B$8=0,0,ROUND(B8/B$18*100,2))</f>
        <v>19.36</v>
      </c>
      <c r="D8" s="152">
        <v>888622</v>
      </c>
      <c r="E8" s="476">
        <f t="shared" ref="E8:E17" si="1">IF($D$18=0,0,ROUND(D8/D$18*100,2))</f>
        <v>26.42</v>
      </c>
      <c r="G8" s="41"/>
      <c r="K8" s="144"/>
    </row>
    <row r="9" spans="1:11" ht="15.95" customHeight="1" x14ac:dyDescent="0.2">
      <c r="A9" s="151" t="s">
        <v>90</v>
      </c>
      <c r="B9" s="424">
        <v>4516</v>
      </c>
      <c r="C9" s="476">
        <f t="shared" si="0"/>
        <v>18.510000000000002</v>
      </c>
      <c r="D9" s="152">
        <v>549583</v>
      </c>
      <c r="E9" s="476">
        <f t="shared" si="1"/>
        <v>16.34</v>
      </c>
      <c r="G9" s="41"/>
      <c r="K9" s="144"/>
    </row>
    <row r="10" spans="1:11" ht="15.95" customHeight="1" x14ac:dyDescent="0.2">
      <c r="A10" s="90" t="s">
        <v>91</v>
      </c>
      <c r="B10" s="473">
        <v>346</v>
      </c>
      <c r="C10" s="476">
        <f t="shared" si="0"/>
        <v>1.42</v>
      </c>
      <c r="D10" s="152">
        <v>40518</v>
      </c>
      <c r="E10" s="476">
        <f t="shared" si="1"/>
        <v>1.2</v>
      </c>
      <c r="G10" s="41"/>
      <c r="K10" s="144"/>
    </row>
    <row r="11" spans="1:11" ht="15.95" customHeight="1" x14ac:dyDescent="0.2">
      <c r="A11" s="151" t="s">
        <v>92</v>
      </c>
      <c r="B11" s="424">
        <v>1946</v>
      </c>
      <c r="C11" s="476">
        <f t="shared" si="0"/>
        <v>7.98</v>
      </c>
      <c r="D11" s="152">
        <v>341223</v>
      </c>
      <c r="E11" s="476">
        <f t="shared" si="1"/>
        <v>10.15</v>
      </c>
      <c r="G11" s="41"/>
      <c r="K11" s="144"/>
    </row>
    <row r="12" spans="1:11" ht="15.95" customHeight="1" x14ac:dyDescent="0.2">
      <c r="A12" s="90" t="s">
        <v>93</v>
      </c>
      <c r="B12" s="473">
        <v>1401</v>
      </c>
      <c r="C12" s="476">
        <f t="shared" si="0"/>
        <v>5.74</v>
      </c>
      <c r="D12" s="152">
        <v>141115</v>
      </c>
      <c r="E12" s="476">
        <f t="shared" si="1"/>
        <v>4.2</v>
      </c>
      <c r="G12" s="41"/>
      <c r="K12" s="144"/>
    </row>
    <row r="13" spans="1:11" ht="15.95" customHeight="1" x14ac:dyDescent="0.2">
      <c r="A13" s="151" t="s">
        <v>94</v>
      </c>
      <c r="B13" s="424">
        <v>2013</v>
      </c>
      <c r="C13" s="476">
        <f t="shared" si="0"/>
        <v>8.25</v>
      </c>
      <c r="D13" s="152">
        <v>211213</v>
      </c>
      <c r="E13" s="476">
        <f t="shared" si="1"/>
        <v>6.28</v>
      </c>
      <c r="G13" s="41"/>
      <c r="K13" s="144"/>
    </row>
    <row r="14" spans="1:11" ht="15.95" customHeight="1" x14ac:dyDescent="0.2">
      <c r="A14" s="90" t="s">
        <v>95</v>
      </c>
      <c r="B14" s="473">
        <v>3405</v>
      </c>
      <c r="C14" s="476">
        <f t="shared" si="0"/>
        <v>13.96</v>
      </c>
      <c r="D14" s="152">
        <v>430325</v>
      </c>
      <c r="E14" s="476">
        <f t="shared" si="1"/>
        <v>12.8</v>
      </c>
      <c r="G14" s="41"/>
      <c r="K14" s="144"/>
    </row>
    <row r="15" spans="1:11" ht="15.95" customHeight="1" x14ac:dyDescent="0.2">
      <c r="A15" s="151" t="s">
        <v>96</v>
      </c>
      <c r="B15" s="424">
        <v>1465</v>
      </c>
      <c r="C15" s="476">
        <f t="shared" si="0"/>
        <v>6</v>
      </c>
      <c r="D15" s="152">
        <v>288516</v>
      </c>
      <c r="E15" s="476">
        <f t="shared" si="1"/>
        <v>8.58</v>
      </c>
      <c r="G15" s="41"/>
      <c r="K15" s="144"/>
    </row>
    <row r="16" spans="1:11" ht="15.95" customHeight="1" x14ac:dyDescent="0.2">
      <c r="A16" s="90" t="s">
        <v>97</v>
      </c>
      <c r="B16" s="473">
        <v>2506</v>
      </c>
      <c r="C16" s="476">
        <f t="shared" si="0"/>
        <v>10.27</v>
      </c>
      <c r="D16" s="152">
        <v>221643</v>
      </c>
      <c r="E16" s="476">
        <f t="shared" si="1"/>
        <v>6.59</v>
      </c>
      <c r="G16" s="41"/>
      <c r="H16" s="41"/>
    </row>
    <row r="17" spans="1:8" ht="15.95" customHeight="1" x14ac:dyDescent="0.2">
      <c r="A17" s="151" t="s">
        <v>98</v>
      </c>
      <c r="B17" s="424">
        <v>1344</v>
      </c>
      <c r="C17" s="476">
        <f t="shared" si="0"/>
        <v>5.51</v>
      </c>
      <c r="D17" s="152">
        <v>124638</v>
      </c>
      <c r="E17" s="476">
        <f t="shared" si="1"/>
        <v>3.71</v>
      </c>
      <c r="G17" s="41"/>
      <c r="H17" s="41"/>
    </row>
    <row r="18" spans="1:8" ht="25.5" customHeight="1" x14ac:dyDescent="0.2">
      <c r="A18" s="382" t="s">
        <v>29</v>
      </c>
      <c r="B18" s="153">
        <f>SUM(B7:B17)</f>
        <v>24399</v>
      </c>
      <c r="C18" s="477">
        <f>SUM(C7:C17)</f>
        <v>100.00000000000003</v>
      </c>
      <c r="D18" s="153">
        <f>SUM(D7:D17)</f>
        <v>3363181</v>
      </c>
      <c r="E18" s="477">
        <f>SUM(E7:E17)</f>
        <v>100.00999999999999</v>
      </c>
      <c r="G18" s="13"/>
    </row>
    <row r="19" spans="1:8" x14ac:dyDescent="0.2">
      <c r="A19" s="1216" t="s">
        <v>67</v>
      </c>
      <c r="B19" s="1216"/>
      <c r="C19" s="1216"/>
      <c r="D19" s="1216"/>
    </row>
    <row r="20" spans="1:8" ht="13.5" customHeight="1" x14ac:dyDescent="0.2">
      <c r="A20" s="1243" t="s">
        <v>109</v>
      </c>
      <c r="B20" s="1244"/>
      <c r="C20" s="1244"/>
      <c r="D20" s="1244"/>
      <c r="E20" s="1244"/>
    </row>
    <row r="22" spans="1:8" x14ac:dyDescent="0.2">
      <c r="A22" s="94"/>
    </row>
    <row r="23" spans="1:8" x14ac:dyDescent="0.2">
      <c r="B23" s="4">
        <f>+B18-'[6]2'!B32</f>
        <v>0</v>
      </c>
      <c r="D23" s="4"/>
    </row>
  </sheetData>
  <sheetProtection password="9C8D" sheet="1" objects="1" scenarios="1"/>
  <mergeCells count="6">
    <mergeCell ref="A20:E20"/>
    <mergeCell ref="A1:E1"/>
    <mergeCell ref="A2:E2"/>
    <mergeCell ref="A3:E3"/>
    <mergeCell ref="D5:E5"/>
    <mergeCell ref="A19:D19"/>
  </mergeCells>
  <pageMargins left="0.78740157499999996" right="0.78740157499999996" top="0.984251969" bottom="0.984251969" header="0.49212598499999999" footer="0.49212598499999999"/>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indowProtection="1" showGridLines="0" workbookViewId="0">
      <selection activeCell="E6" sqref="E6"/>
    </sheetView>
  </sheetViews>
  <sheetFormatPr defaultRowHeight="12.75" x14ac:dyDescent="0.2"/>
  <cols>
    <col min="1" max="1" width="46.5703125" customWidth="1"/>
    <col min="2" max="2" width="13.7109375" customWidth="1"/>
    <col min="3" max="3" width="15.5703125" customWidth="1"/>
    <col min="4" max="4" width="13" customWidth="1"/>
    <col min="6" max="6" width="15.42578125" customWidth="1"/>
  </cols>
  <sheetData>
    <row r="1" spans="1:6" ht="15.75" x14ac:dyDescent="0.25">
      <c r="A1" s="1225" t="s">
        <v>403</v>
      </c>
      <c r="B1" s="1225"/>
      <c r="C1" s="1225"/>
      <c r="D1" s="1225"/>
    </row>
    <row r="2" spans="1:6" ht="18" x14ac:dyDescent="0.2">
      <c r="A2" s="1226" t="s">
        <v>351</v>
      </c>
      <c r="B2" s="1226"/>
      <c r="C2" s="1226"/>
      <c r="D2" s="1226"/>
    </row>
    <row r="3" spans="1:6" ht="15" x14ac:dyDescent="0.2">
      <c r="A3" s="1226" t="str">
        <f>[5]Dados!$A18</f>
        <v>Exercício de 2015</v>
      </c>
      <c r="B3" s="1226"/>
      <c r="C3" s="1226"/>
      <c r="D3" s="1226"/>
    </row>
    <row r="4" spans="1:6" ht="15" x14ac:dyDescent="0.2">
      <c r="A4" s="148"/>
      <c r="B4" s="99"/>
      <c r="C4" s="99"/>
      <c r="D4" s="99"/>
    </row>
    <row r="5" spans="1:6" x14ac:dyDescent="0.2">
      <c r="A5" s="99"/>
      <c r="B5" s="99"/>
      <c r="C5" s="99"/>
      <c r="D5" s="363" t="s">
        <v>1</v>
      </c>
      <c r="E5" s="42"/>
    </row>
    <row r="6" spans="1:6" ht="28.5" customHeight="1" x14ac:dyDescent="0.2">
      <c r="A6" s="289" t="s">
        <v>195</v>
      </c>
      <c r="B6" s="289" t="s">
        <v>7</v>
      </c>
      <c r="C6" s="289" t="s">
        <v>35</v>
      </c>
      <c r="D6" s="289" t="s">
        <v>36</v>
      </c>
      <c r="E6" s="292"/>
      <c r="F6" s="150"/>
    </row>
    <row r="7" spans="1:6" ht="22.5" customHeight="1" x14ac:dyDescent="0.2">
      <c r="A7" s="423" t="s">
        <v>352</v>
      </c>
      <c r="B7" s="424">
        <v>370615</v>
      </c>
      <c r="C7" s="425">
        <v>75.8</v>
      </c>
      <c r="D7" s="425">
        <v>3.3</v>
      </c>
      <c r="E7" s="13"/>
    </row>
    <row r="8" spans="1:6" ht="22.5" customHeight="1" x14ac:dyDescent="0.2">
      <c r="A8" s="423" t="s">
        <v>353</v>
      </c>
      <c r="B8" s="424">
        <v>44810</v>
      </c>
      <c r="C8" s="425">
        <f>IF($B$10=0,0,ROUND(B8/$B$10*100,2))</f>
        <v>9.17</v>
      </c>
      <c r="D8" s="425">
        <f>IF('[5]2'!$D$37=0,0,ROUND(B8/'[5]2'!$D$37*100,2))</f>
        <v>0.39</v>
      </c>
      <c r="E8" s="13"/>
    </row>
    <row r="9" spans="1:6" ht="22.5" customHeight="1" x14ac:dyDescent="0.2">
      <c r="A9" s="423" t="s">
        <v>354</v>
      </c>
      <c r="B9" s="424">
        <v>73212</v>
      </c>
      <c r="C9" s="425">
        <f>IF($B$10=0,0,ROUND(B9/$B$10*100,2))</f>
        <v>14.98</v>
      </c>
      <c r="D9" s="425">
        <f>IF('[5]2'!$D$37=0,0,ROUND(B9/'[5]2'!$D$37*100,2))</f>
        <v>0.64</v>
      </c>
      <c r="E9" s="13"/>
    </row>
    <row r="10" spans="1:6" ht="20.100000000000001" customHeight="1" x14ac:dyDescent="0.2">
      <c r="A10" s="289" t="s">
        <v>29</v>
      </c>
      <c r="B10" s="153">
        <f>SUM(B7:B9)</f>
        <v>488637</v>
      </c>
      <c r="C10" s="422">
        <f>SUM(C7:C9)</f>
        <v>99.95</v>
      </c>
      <c r="D10" s="426">
        <f>SUM(D7:D9)</f>
        <v>4.33</v>
      </c>
    </row>
    <row r="11" spans="1:6" ht="14.25" customHeight="1" x14ac:dyDescent="0.2">
      <c r="A11" s="1230" t="s">
        <v>113</v>
      </c>
      <c r="B11" s="1230"/>
      <c r="C11" s="1230"/>
      <c r="D11" s="1230"/>
    </row>
    <row r="12" spans="1:6" ht="12.75" customHeight="1" x14ac:dyDescent="0.2">
      <c r="A12" s="1239" t="s">
        <v>109</v>
      </c>
      <c r="B12" s="1240"/>
      <c r="C12" s="1240"/>
      <c r="D12" s="1240"/>
    </row>
    <row r="14" spans="1:6" x14ac:dyDescent="0.2">
      <c r="A14" s="2"/>
      <c r="B14" s="427">
        <f>+B10-'[5]2'!D30</f>
        <v>0</v>
      </c>
      <c r="C14" s="99"/>
      <c r="D14" s="428">
        <f>+D10-'[5]2'!E30</f>
        <v>8.0000000000000071E-2</v>
      </c>
    </row>
    <row r="16" spans="1:6" x14ac:dyDescent="0.2">
      <c r="A16" s="42"/>
    </row>
  </sheetData>
  <sheetProtection password="9C8D" sheet="1" objects="1" scenarios="1"/>
  <mergeCells count="5">
    <mergeCell ref="A1:D1"/>
    <mergeCell ref="A2:D2"/>
    <mergeCell ref="A3:D3"/>
    <mergeCell ref="A11:D11"/>
    <mergeCell ref="A12:D12"/>
  </mergeCells>
  <pageMargins left="0.78740157499999996" right="0.78740157499999996" top="0.984251969" bottom="0.984251969" header="0.49212598499999999" footer="0.49212598499999999"/>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indowProtection="1" showGridLines="0" workbookViewId="0">
      <selection activeCell="D6" sqref="D6"/>
    </sheetView>
  </sheetViews>
  <sheetFormatPr defaultRowHeight="12.75" x14ac:dyDescent="0.2"/>
  <cols>
    <col min="1" max="1" width="50.42578125" customWidth="1"/>
    <col min="2" max="2" width="11.5703125" bestFit="1" customWidth="1"/>
    <col min="3" max="3" width="13" customWidth="1"/>
    <col min="4" max="4" width="11.7109375" customWidth="1"/>
    <col min="5" max="5" width="15.42578125" customWidth="1"/>
  </cols>
  <sheetData>
    <row r="1" spans="1:5" ht="15.75" x14ac:dyDescent="0.25">
      <c r="A1" s="1225" t="s">
        <v>405</v>
      </c>
      <c r="B1" s="1225"/>
      <c r="C1" s="1225"/>
    </row>
    <row r="2" spans="1:5" ht="18" x14ac:dyDescent="0.2">
      <c r="A2" s="1226" t="s">
        <v>356</v>
      </c>
      <c r="B2" s="1226"/>
      <c r="C2" s="1226"/>
    </row>
    <row r="3" spans="1:5" ht="15" x14ac:dyDescent="0.2">
      <c r="A3" s="1226" t="str">
        <f>[5]Dados!$A18</f>
        <v>Exercício de 2015</v>
      </c>
      <c r="B3" s="1226"/>
      <c r="C3" s="1226"/>
    </row>
    <row r="4" spans="1:5" ht="15" x14ac:dyDescent="0.2">
      <c r="A4" s="148"/>
      <c r="B4" s="99"/>
      <c r="C4" s="99"/>
    </row>
    <row r="5" spans="1:5" x14ac:dyDescent="0.2">
      <c r="A5" s="99"/>
      <c r="B5" s="99"/>
      <c r="C5" s="363" t="s">
        <v>1</v>
      </c>
    </row>
    <row r="6" spans="1:5" ht="28.5" customHeight="1" x14ac:dyDescent="0.2">
      <c r="A6" s="149" t="s">
        <v>87</v>
      </c>
      <c r="B6" s="289" t="s">
        <v>7</v>
      </c>
      <c r="C6" s="289" t="s">
        <v>8</v>
      </c>
      <c r="D6" s="292"/>
      <c r="E6" s="128"/>
    </row>
    <row r="7" spans="1:5" ht="20.100000000000001" customHeight="1" x14ac:dyDescent="0.2">
      <c r="A7" s="151" t="s">
        <v>88</v>
      </c>
      <c r="B7" s="424">
        <v>0</v>
      </c>
      <c r="C7" s="102">
        <f>ROUND(B7/$B$18*100,2)</f>
        <v>0</v>
      </c>
      <c r="D7" s="429"/>
      <c r="E7" s="128"/>
    </row>
    <row r="8" spans="1:5" ht="20.100000000000001" customHeight="1" x14ac:dyDescent="0.2">
      <c r="A8" s="151" t="s">
        <v>107</v>
      </c>
      <c r="B8" s="152">
        <v>44810</v>
      </c>
      <c r="C8" s="102">
        <f t="shared" ref="C8:C17" si="0">ROUND(B8/$B$18*100,2)</f>
        <v>9.17</v>
      </c>
      <c r="D8" s="429"/>
    </row>
    <row r="9" spans="1:5" ht="20.100000000000001" customHeight="1" x14ac:dyDescent="0.2">
      <c r="A9" s="359" t="s">
        <v>90</v>
      </c>
      <c r="B9" s="152">
        <v>370615</v>
      </c>
      <c r="C9" s="102">
        <v>75.8</v>
      </c>
      <c r="D9" s="429"/>
    </row>
    <row r="10" spans="1:5" ht="20.100000000000001" customHeight="1" x14ac:dyDescent="0.2">
      <c r="A10" s="151" t="s">
        <v>91</v>
      </c>
      <c r="B10" s="152">
        <v>0</v>
      </c>
      <c r="C10" s="102">
        <f t="shared" si="0"/>
        <v>0</v>
      </c>
      <c r="D10" s="429"/>
    </row>
    <row r="11" spans="1:5" ht="20.100000000000001" customHeight="1" x14ac:dyDescent="0.2">
      <c r="A11" s="145" t="s">
        <v>92</v>
      </c>
      <c r="B11" s="152">
        <v>0</v>
      </c>
      <c r="C11" s="102">
        <f t="shared" si="0"/>
        <v>0</v>
      </c>
      <c r="D11" s="429"/>
    </row>
    <row r="12" spans="1:5" ht="20.100000000000001" customHeight="1" x14ac:dyDescent="0.2">
      <c r="A12" s="145" t="s">
        <v>93</v>
      </c>
      <c r="B12" s="152">
        <v>0</v>
      </c>
      <c r="C12" s="102">
        <f t="shared" si="0"/>
        <v>0</v>
      </c>
      <c r="D12" s="429"/>
    </row>
    <row r="13" spans="1:5" ht="20.100000000000001" customHeight="1" x14ac:dyDescent="0.2">
      <c r="A13" s="145" t="s">
        <v>94</v>
      </c>
      <c r="B13" s="152">
        <v>0</v>
      </c>
      <c r="C13" s="102">
        <f t="shared" si="0"/>
        <v>0</v>
      </c>
      <c r="D13" s="429"/>
    </row>
    <row r="14" spans="1:5" ht="20.100000000000001" customHeight="1" x14ac:dyDescent="0.2">
      <c r="A14" s="359" t="s">
        <v>95</v>
      </c>
      <c r="B14" s="152">
        <v>73212</v>
      </c>
      <c r="C14" s="102">
        <f t="shared" si="0"/>
        <v>14.98</v>
      </c>
      <c r="D14" s="429"/>
    </row>
    <row r="15" spans="1:5" ht="20.100000000000001" customHeight="1" x14ac:dyDescent="0.2">
      <c r="A15" s="151" t="s">
        <v>96</v>
      </c>
      <c r="B15" s="152">
        <v>0</v>
      </c>
      <c r="C15" s="102">
        <f t="shared" si="0"/>
        <v>0</v>
      </c>
      <c r="D15" s="429"/>
    </row>
    <row r="16" spans="1:5" ht="20.100000000000001" customHeight="1" x14ac:dyDescent="0.2">
      <c r="A16" s="143" t="s">
        <v>97</v>
      </c>
      <c r="B16" s="152">
        <v>0</v>
      </c>
      <c r="C16" s="102">
        <f t="shared" si="0"/>
        <v>0</v>
      </c>
      <c r="D16" s="429"/>
    </row>
    <row r="17" spans="1:4" ht="20.100000000000001" customHeight="1" x14ac:dyDescent="0.2">
      <c r="A17" s="143" t="s">
        <v>98</v>
      </c>
      <c r="B17" s="424">
        <v>0</v>
      </c>
      <c r="C17" s="102">
        <f t="shared" si="0"/>
        <v>0</v>
      </c>
      <c r="D17" s="429"/>
    </row>
    <row r="18" spans="1:4" ht="21.75" customHeight="1" x14ac:dyDescent="0.2">
      <c r="A18" s="149" t="s">
        <v>29</v>
      </c>
      <c r="B18" s="153">
        <f>SUM(B7:B17)</f>
        <v>488637</v>
      </c>
      <c r="C18" s="426">
        <f>SUM(C7:C17)</f>
        <v>99.95</v>
      </c>
    </row>
    <row r="19" spans="1:4" ht="14.25" customHeight="1" x14ac:dyDescent="0.2">
      <c r="A19" s="1230" t="s">
        <v>113</v>
      </c>
      <c r="B19" s="1230"/>
      <c r="C19" s="1230"/>
    </row>
    <row r="20" spans="1:4" ht="25.5" customHeight="1" x14ac:dyDescent="0.2">
      <c r="A20" s="1239" t="s">
        <v>109</v>
      </c>
      <c r="B20" s="1240"/>
      <c r="C20" s="1240"/>
    </row>
    <row r="21" spans="1:4" x14ac:dyDescent="0.2">
      <c r="B21" s="144">
        <f>+B18-'[5]2'!D30</f>
        <v>0</v>
      </c>
    </row>
    <row r="22" spans="1:4" x14ac:dyDescent="0.2">
      <c r="A22" s="94"/>
    </row>
    <row r="23" spans="1:4" x14ac:dyDescent="0.2">
      <c r="B23" s="13"/>
    </row>
  </sheetData>
  <sheetProtection password="9C8D" sheet="1" objects="1" scenarios="1"/>
  <mergeCells count="5">
    <mergeCell ref="A1:C1"/>
    <mergeCell ref="A2:C2"/>
    <mergeCell ref="A3:C3"/>
    <mergeCell ref="A19:C19"/>
    <mergeCell ref="A20:C20"/>
  </mergeCells>
  <pageMargins left="0.78740157499999996" right="0.78740157499999996" top="0.984251969" bottom="0.984251969" header="0.49212598499999999" footer="0.49212598499999999"/>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indowProtection="1" showGridLines="0" workbookViewId="0">
      <selection sqref="A1:D3"/>
    </sheetView>
  </sheetViews>
  <sheetFormatPr defaultRowHeight="12.75" x14ac:dyDescent="0.2"/>
  <cols>
    <col min="1" max="1" width="20.5703125" customWidth="1"/>
    <col min="2" max="2" width="13.42578125" bestFit="1" customWidth="1"/>
    <col min="3" max="3" width="15.140625" bestFit="1" customWidth="1"/>
    <col min="4" max="4" width="5.5703125" bestFit="1" customWidth="1"/>
  </cols>
  <sheetData>
    <row r="1" spans="1:5" ht="15.75" x14ac:dyDescent="0.2">
      <c r="A1" s="1184" t="s">
        <v>406</v>
      </c>
      <c r="B1" s="1184"/>
      <c r="C1" s="1184"/>
      <c r="D1" s="1184"/>
    </row>
    <row r="2" spans="1:5" ht="15" x14ac:dyDescent="0.2">
      <c r="A2" s="1188" t="s">
        <v>1024</v>
      </c>
      <c r="B2" s="1188"/>
      <c r="C2" s="1188"/>
      <c r="D2" s="1188"/>
    </row>
    <row r="3" spans="1:5" ht="15" x14ac:dyDescent="0.2">
      <c r="A3" s="1188" t="s">
        <v>1023</v>
      </c>
      <c r="B3" s="1188"/>
      <c r="C3" s="1188"/>
      <c r="D3" s="1188"/>
    </row>
    <row r="4" spans="1:5" x14ac:dyDescent="0.2">
      <c r="A4" s="1245" t="s">
        <v>1</v>
      </c>
      <c r="B4" s="1245"/>
      <c r="C4" s="1245"/>
      <c r="D4" s="1245"/>
      <c r="E4" s="1057"/>
    </row>
    <row r="5" spans="1:5" ht="14.25" x14ac:dyDescent="0.2">
      <c r="A5" s="1246" t="s">
        <v>241</v>
      </c>
      <c r="B5" s="728" t="s">
        <v>1017</v>
      </c>
      <c r="C5" s="728" t="s">
        <v>1022</v>
      </c>
      <c r="D5" s="728" t="s">
        <v>8</v>
      </c>
      <c r="E5" s="1057"/>
    </row>
    <row r="6" spans="1:5" x14ac:dyDescent="0.2">
      <c r="A6" s="1246"/>
      <c r="B6" s="728" t="s">
        <v>1018</v>
      </c>
      <c r="C6" s="728" t="s">
        <v>1019</v>
      </c>
      <c r="D6" s="728" t="s">
        <v>1020</v>
      </c>
      <c r="E6" s="1057"/>
    </row>
    <row r="7" spans="1:5" x14ac:dyDescent="0.2">
      <c r="A7" s="454" t="s">
        <v>88</v>
      </c>
      <c r="B7" s="1058">
        <v>585000</v>
      </c>
      <c r="C7" s="1058">
        <v>430740</v>
      </c>
      <c r="D7" s="1059">
        <v>73.599999999999994</v>
      </c>
      <c r="E7" s="1057"/>
    </row>
    <row r="8" spans="1:5" x14ac:dyDescent="0.2">
      <c r="A8" s="1060" t="s">
        <v>107</v>
      </c>
      <c r="B8" s="725">
        <v>2830000</v>
      </c>
      <c r="C8" s="1058">
        <v>3211568</v>
      </c>
      <c r="D8" s="1059">
        <v>113.5</v>
      </c>
      <c r="E8" s="1057"/>
    </row>
    <row r="9" spans="1:5" x14ac:dyDescent="0.2">
      <c r="A9" s="1060" t="s">
        <v>90</v>
      </c>
      <c r="B9" s="725">
        <v>1960000</v>
      </c>
      <c r="C9" s="1058">
        <v>1795346</v>
      </c>
      <c r="D9" s="1059">
        <v>91.6</v>
      </c>
      <c r="E9" s="1057"/>
    </row>
    <row r="10" spans="1:5" x14ac:dyDescent="0.2">
      <c r="A10" s="1060" t="s">
        <v>91</v>
      </c>
      <c r="B10" s="725">
        <v>320000</v>
      </c>
      <c r="C10" s="1058">
        <v>151772</v>
      </c>
      <c r="D10" s="1059">
        <v>47.4</v>
      </c>
      <c r="E10" s="1057"/>
    </row>
    <row r="11" spans="1:5" x14ac:dyDescent="0.2">
      <c r="A11" s="1060" t="s">
        <v>92</v>
      </c>
      <c r="B11" s="725">
        <v>1260000</v>
      </c>
      <c r="C11" s="1058">
        <v>1218330</v>
      </c>
      <c r="D11" s="1059">
        <v>96.7</v>
      </c>
      <c r="E11" s="1057"/>
    </row>
    <row r="12" spans="1:5" x14ac:dyDescent="0.2">
      <c r="A12" s="1060" t="s">
        <v>93</v>
      </c>
      <c r="B12" s="725">
        <v>705000</v>
      </c>
      <c r="C12" s="1058">
        <v>796851</v>
      </c>
      <c r="D12" s="1059">
        <v>113</v>
      </c>
      <c r="E12" s="1057"/>
    </row>
    <row r="13" spans="1:5" x14ac:dyDescent="0.2">
      <c r="A13" s="1060" t="s">
        <v>94</v>
      </c>
      <c r="B13" s="725">
        <v>790000</v>
      </c>
      <c r="C13" s="1058">
        <v>631454</v>
      </c>
      <c r="D13" s="1059">
        <v>79.900000000000006</v>
      </c>
      <c r="E13" s="1057"/>
    </row>
    <row r="14" spans="1:5" x14ac:dyDescent="0.2">
      <c r="A14" s="454" t="s">
        <v>95</v>
      </c>
      <c r="B14" s="1058">
        <v>1860000</v>
      </c>
      <c r="C14" s="1058">
        <v>1229930</v>
      </c>
      <c r="D14" s="1059">
        <v>66.099999999999994</v>
      </c>
      <c r="E14" s="1057"/>
    </row>
    <row r="15" spans="1:5" x14ac:dyDescent="0.2">
      <c r="A15" s="1060" t="s">
        <v>96</v>
      </c>
      <c r="B15" s="725">
        <v>1145000</v>
      </c>
      <c r="C15" s="1058">
        <v>1061452</v>
      </c>
      <c r="D15" s="1059">
        <v>92.7</v>
      </c>
      <c r="E15" s="1057"/>
    </row>
    <row r="16" spans="1:5" x14ac:dyDescent="0.2">
      <c r="A16" s="454" t="s">
        <v>97</v>
      </c>
      <c r="B16" s="1058">
        <v>860000</v>
      </c>
      <c r="C16" s="1058">
        <v>595658</v>
      </c>
      <c r="D16" s="1059">
        <v>69.3</v>
      </c>
      <c r="E16" s="1057"/>
    </row>
    <row r="17" spans="1:5" x14ac:dyDescent="0.2">
      <c r="A17" s="1060" t="s">
        <v>98</v>
      </c>
      <c r="B17" s="725">
        <v>585000</v>
      </c>
      <c r="C17" s="1058">
        <v>372126</v>
      </c>
      <c r="D17" s="1059">
        <v>63.6</v>
      </c>
      <c r="E17" s="1057"/>
    </row>
    <row r="18" spans="1:5" x14ac:dyDescent="0.2">
      <c r="A18" s="729" t="s">
        <v>29</v>
      </c>
      <c r="B18" s="1061">
        <v>12900000</v>
      </c>
      <c r="C18" s="1061">
        <v>11495227</v>
      </c>
      <c r="D18" s="1062">
        <v>89.1</v>
      </c>
      <c r="E18" s="1057"/>
    </row>
    <row r="19" spans="1:5" x14ac:dyDescent="0.2">
      <c r="A19" s="1247" t="s">
        <v>1021</v>
      </c>
      <c r="B19" s="1247"/>
      <c r="C19" s="1247"/>
      <c r="D19" s="1247"/>
      <c r="E19" s="1057"/>
    </row>
    <row r="20" spans="1:5" ht="25.5" customHeight="1" x14ac:dyDescent="0.2">
      <c r="A20" s="1247" t="s">
        <v>1016</v>
      </c>
      <c r="B20" s="1247"/>
      <c r="C20" s="1247"/>
      <c r="D20" s="1247"/>
      <c r="E20" s="1057"/>
    </row>
  </sheetData>
  <sheetProtection password="9C8D" sheet="1" objects="1" scenarios="1"/>
  <mergeCells count="7">
    <mergeCell ref="A4:D4"/>
    <mergeCell ref="A5:A6"/>
    <mergeCell ref="A19:D19"/>
    <mergeCell ref="A20:D20"/>
    <mergeCell ref="A1:D1"/>
    <mergeCell ref="A2:D2"/>
    <mergeCell ref="A3:D3"/>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indowProtection="1" showGridLines="0" workbookViewId="0">
      <selection sqref="A1:B3"/>
    </sheetView>
  </sheetViews>
  <sheetFormatPr defaultRowHeight="15" x14ac:dyDescent="0.3"/>
  <cols>
    <col min="1" max="1" width="55.7109375" style="1005" bestFit="1" customWidth="1"/>
    <col min="2" max="2" width="17" style="1005" customWidth="1"/>
    <col min="3" max="16384" width="9.140625" style="1005"/>
  </cols>
  <sheetData>
    <row r="1" spans="1:2" ht="20.100000000000001" customHeight="1" x14ac:dyDescent="0.3">
      <c r="A1" s="1193" t="s">
        <v>959</v>
      </c>
      <c r="B1" s="1194"/>
    </row>
    <row r="2" spans="1:2" ht="20.100000000000001" customHeight="1" x14ac:dyDescent="0.3">
      <c r="A2" s="1195" t="s">
        <v>947</v>
      </c>
      <c r="B2" s="1196"/>
    </row>
    <row r="3" spans="1:2" ht="20.100000000000001" customHeight="1" x14ac:dyDescent="0.3">
      <c r="A3" s="1195" t="str">
        <f>+[2]Dados!A13</f>
        <v>Exercício de 2015</v>
      </c>
      <c r="B3" s="1195"/>
    </row>
    <row r="4" spans="1:2" x14ac:dyDescent="0.3">
      <c r="A4" s="1006" t="s">
        <v>948</v>
      </c>
      <c r="B4" s="1007"/>
    </row>
    <row r="5" spans="1:2" x14ac:dyDescent="0.3">
      <c r="A5" s="1197" t="s">
        <v>1</v>
      </c>
      <c r="B5" s="1197"/>
    </row>
    <row r="6" spans="1:2" ht="24" customHeight="1" x14ac:dyDescent="0.3">
      <c r="A6" s="1008" t="s">
        <v>949</v>
      </c>
      <c r="B6" s="1009">
        <f>SUM(B7:B9)</f>
        <v>53478865</v>
      </c>
    </row>
    <row r="7" spans="1:2" ht="18" customHeight="1" x14ac:dyDescent="0.3">
      <c r="A7" s="1010" t="s">
        <v>950</v>
      </c>
      <c r="B7" s="1011">
        <v>54813282</v>
      </c>
    </row>
    <row r="8" spans="1:2" ht="18" customHeight="1" x14ac:dyDescent="0.3">
      <c r="A8" s="1010" t="s">
        <v>951</v>
      </c>
      <c r="B8" s="1011">
        <v>-1334468</v>
      </c>
    </row>
    <row r="9" spans="1:2" ht="18" customHeight="1" x14ac:dyDescent="0.3">
      <c r="A9" s="1010" t="s">
        <v>952</v>
      </c>
      <c r="B9" s="1011">
        <v>51</v>
      </c>
    </row>
    <row r="10" spans="1:2" ht="24" customHeight="1" x14ac:dyDescent="0.3">
      <c r="A10" s="1008" t="s">
        <v>953</v>
      </c>
      <c r="B10" s="1012">
        <f>SUM(B11:B14)</f>
        <v>6414305</v>
      </c>
    </row>
    <row r="11" spans="1:2" ht="18" customHeight="1" x14ac:dyDescent="0.3">
      <c r="A11" s="1010" t="s">
        <v>954</v>
      </c>
      <c r="B11" s="1011">
        <f>+'[2]1'!C18</f>
        <v>6394782</v>
      </c>
    </row>
    <row r="12" spans="1:2" ht="18" customHeight="1" x14ac:dyDescent="0.3">
      <c r="A12" s="1015" t="s">
        <v>955</v>
      </c>
      <c r="B12" s="1011">
        <v>45144</v>
      </c>
    </row>
    <row r="13" spans="1:2" ht="18" customHeight="1" x14ac:dyDescent="0.3">
      <c r="A13" s="1010" t="s">
        <v>956</v>
      </c>
      <c r="B13" s="1017">
        <v>-25630</v>
      </c>
    </row>
    <row r="14" spans="1:2" ht="18" customHeight="1" x14ac:dyDescent="0.3">
      <c r="A14" s="1010" t="s">
        <v>952</v>
      </c>
      <c r="B14" s="1011">
        <v>9</v>
      </c>
    </row>
    <row r="15" spans="1:2" ht="22.5" customHeight="1" x14ac:dyDescent="0.3">
      <c r="A15" s="1008" t="s">
        <v>957</v>
      </c>
      <c r="B15" s="1012">
        <f>+B6+B10</f>
        <v>59893170</v>
      </c>
    </row>
    <row r="16" spans="1:2" ht="15.75" x14ac:dyDescent="0.35">
      <c r="A16" s="1018" t="s">
        <v>958</v>
      </c>
    </row>
    <row r="17" spans="1:2" x14ac:dyDescent="0.3">
      <c r="B17" s="1013"/>
    </row>
    <row r="18" spans="1:2" x14ac:dyDescent="0.3">
      <c r="A18" s="1019"/>
      <c r="B18" s="1014"/>
    </row>
    <row r="20" spans="1:2" x14ac:dyDescent="0.3">
      <c r="B20" s="1020"/>
    </row>
  </sheetData>
  <sheetProtection password="9C8D" sheet="1" objects="1" scenarios="1"/>
  <mergeCells count="4">
    <mergeCell ref="A1:B1"/>
    <mergeCell ref="A2:B2"/>
    <mergeCell ref="A3:B3"/>
    <mergeCell ref="A5:B5"/>
  </mergeCells>
  <pageMargins left="0.78740157499999996" right="0.78740157499999996" top="0.984251969" bottom="0.984251969" header="0.49212598499999999" footer="0.49212598499999999"/>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indowProtection="1" workbookViewId="0">
      <selection activeCell="A15" sqref="A15:D15"/>
    </sheetView>
  </sheetViews>
  <sheetFormatPr defaultRowHeight="12.75" x14ac:dyDescent="0.2"/>
  <cols>
    <col min="1" max="1" width="26.85546875" customWidth="1"/>
    <col min="2" max="2" width="13.42578125" bestFit="1" customWidth="1"/>
    <col min="3" max="3" width="14.5703125" bestFit="1" customWidth="1"/>
  </cols>
  <sheetData>
    <row r="1" spans="1:4" ht="15.75" x14ac:dyDescent="0.2">
      <c r="A1" s="1209" t="s">
        <v>1026</v>
      </c>
      <c r="B1" s="1209"/>
      <c r="C1" s="1209"/>
      <c r="D1" s="1209"/>
    </row>
    <row r="2" spans="1:4" ht="15" x14ac:dyDescent="0.2">
      <c r="A2" s="1188" t="s">
        <v>1027</v>
      </c>
      <c r="B2" s="1188"/>
      <c r="C2" s="1188"/>
      <c r="D2" s="1188"/>
    </row>
    <row r="3" spans="1:4" ht="15" x14ac:dyDescent="0.2">
      <c r="A3" s="1188" t="s">
        <v>1023</v>
      </c>
      <c r="B3" s="1188"/>
      <c r="C3" s="1188"/>
      <c r="D3" s="1188"/>
    </row>
    <row r="4" spans="1:4" x14ac:dyDescent="0.2">
      <c r="A4" s="1250" t="s">
        <v>1</v>
      </c>
      <c r="B4" s="1250"/>
      <c r="C4" s="1250"/>
      <c r="D4" s="1250"/>
    </row>
    <row r="5" spans="1:4" ht="14.25" x14ac:dyDescent="0.2">
      <c r="A5" s="1248" t="s">
        <v>241</v>
      </c>
      <c r="B5" s="728" t="s">
        <v>1017</v>
      </c>
      <c r="C5" s="728" t="s">
        <v>1028</v>
      </c>
      <c r="D5" s="728" t="s">
        <v>8</v>
      </c>
    </row>
    <row r="6" spans="1:4" x14ac:dyDescent="0.2">
      <c r="A6" s="1248"/>
      <c r="B6" s="728" t="s">
        <v>1018</v>
      </c>
      <c r="C6" s="728" t="s">
        <v>1019</v>
      </c>
      <c r="D6" s="728" t="s">
        <v>1020</v>
      </c>
    </row>
    <row r="7" spans="1:4" x14ac:dyDescent="0.2">
      <c r="A7" s="1060" t="s">
        <v>138</v>
      </c>
      <c r="B7" s="725">
        <v>5035000</v>
      </c>
      <c r="C7" s="1058">
        <v>5510079</v>
      </c>
      <c r="D7" s="1064">
        <v>109.4</v>
      </c>
    </row>
    <row r="8" spans="1:4" x14ac:dyDescent="0.2">
      <c r="A8" s="454" t="s">
        <v>139</v>
      </c>
      <c r="B8" s="1058">
        <v>200000</v>
      </c>
      <c r="C8" s="1058">
        <v>125400</v>
      </c>
      <c r="D8" s="1064">
        <v>62.7</v>
      </c>
    </row>
    <row r="9" spans="1:4" x14ac:dyDescent="0.2">
      <c r="A9" s="454" t="s">
        <v>140</v>
      </c>
      <c r="B9" s="1058">
        <v>2765000</v>
      </c>
      <c r="C9" s="1058">
        <v>1482069</v>
      </c>
      <c r="D9" s="1064">
        <v>53.6</v>
      </c>
    </row>
    <row r="10" spans="1:4" x14ac:dyDescent="0.2">
      <c r="A10" s="454" t="s">
        <v>143</v>
      </c>
      <c r="B10" s="1058">
        <v>615000</v>
      </c>
      <c r="C10" s="1058">
        <v>525861</v>
      </c>
      <c r="D10" s="1064">
        <v>85.5</v>
      </c>
    </row>
    <row r="11" spans="1:4" x14ac:dyDescent="0.2">
      <c r="A11" s="454" t="s">
        <v>141</v>
      </c>
      <c r="B11" s="1058">
        <v>415000</v>
      </c>
      <c r="C11" s="1058">
        <v>488637</v>
      </c>
      <c r="D11" s="1064">
        <v>117.7</v>
      </c>
    </row>
    <row r="12" spans="1:4" x14ac:dyDescent="0.2">
      <c r="A12" s="454" t="s">
        <v>1025</v>
      </c>
      <c r="B12" s="1058">
        <v>3870000</v>
      </c>
      <c r="C12" s="1058">
        <v>3363181</v>
      </c>
      <c r="D12" s="1064">
        <v>86.9</v>
      </c>
    </row>
    <row r="13" spans="1:4" x14ac:dyDescent="0.2">
      <c r="A13" s="729" t="s">
        <v>29</v>
      </c>
      <c r="B13" s="1061">
        <v>12900000</v>
      </c>
      <c r="C13" s="1061">
        <v>11495227</v>
      </c>
      <c r="D13" s="733">
        <v>89.1</v>
      </c>
    </row>
    <row r="14" spans="1:4" x14ac:dyDescent="0.2">
      <c r="A14" s="1249" t="s">
        <v>1021</v>
      </c>
      <c r="B14" s="1249"/>
      <c r="C14" s="1249"/>
      <c r="D14" s="1249"/>
    </row>
    <row r="15" spans="1:4" ht="25.5" customHeight="1" x14ac:dyDescent="0.2">
      <c r="A15" s="1249" t="s">
        <v>1016</v>
      </c>
      <c r="B15" s="1249"/>
      <c r="C15" s="1249"/>
      <c r="D15" s="1249"/>
    </row>
  </sheetData>
  <sheetProtection password="9C8D" sheet="1" objects="1" scenarios="1"/>
  <mergeCells count="7">
    <mergeCell ref="A5:A6"/>
    <mergeCell ref="A14:D14"/>
    <mergeCell ref="A15:D15"/>
    <mergeCell ref="A1:D1"/>
    <mergeCell ref="A2:D2"/>
    <mergeCell ref="A3:D3"/>
    <mergeCell ref="A4:D4"/>
  </mergeCells>
  <pageMargins left="0.511811024" right="0.511811024" top="0.78740157499999996" bottom="0.78740157499999996" header="0.31496062000000002" footer="0.3149606200000000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indowProtection="1" showGridLines="0" workbookViewId="0">
      <selection activeCell="A7" sqref="A7:D7"/>
    </sheetView>
  </sheetViews>
  <sheetFormatPr defaultRowHeight="12.75" x14ac:dyDescent="0.2"/>
  <cols>
    <col min="1" max="1" width="49.42578125" customWidth="1"/>
    <col min="2" max="2" width="13.5703125" customWidth="1"/>
    <col min="3" max="3" width="17.85546875" customWidth="1"/>
    <col min="4" max="4" width="23.5703125" customWidth="1"/>
  </cols>
  <sheetData>
    <row r="1" spans="1:4" ht="15.75" x14ac:dyDescent="0.2">
      <c r="A1" s="1252" t="s">
        <v>531</v>
      </c>
      <c r="B1" s="1252"/>
      <c r="C1" s="1252"/>
      <c r="D1" s="1252"/>
    </row>
    <row r="2" spans="1:4" ht="18.75" x14ac:dyDescent="0.2">
      <c r="A2" s="1253" t="s">
        <v>1032</v>
      </c>
      <c r="B2" s="1253"/>
      <c r="C2" s="1253"/>
      <c r="D2" s="1253"/>
    </row>
    <row r="3" spans="1:4" ht="15.75" x14ac:dyDescent="0.2">
      <c r="A3" s="1253" t="s">
        <v>1023</v>
      </c>
      <c r="B3" s="1253"/>
      <c r="C3" s="1253"/>
      <c r="D3" s="1253"/>
    </row>
    <row r="4" spans="1:4" x14ac:dyDescent="0.2">
      <c r="A4" s="1254" t="s">
        <v>1</v>
      </c>
      <c r="B4" s="1254"/>
      <c r="C4" s="1254"/>
      <c r="D4" s="1254"/>
    </row>
    <row r="5" spans="1:4" s="730" customFormat="1" ht="39.75" x14ac:dyDescent="0.2">
      <c r="A5" s="729" t="s">
        <v>111</v>
      </c>
      <c r="B5" s="729" t="s">
        <v>1029</v>
      </c>
      <c r="C5" s="729" t="s">
        <v>1033</v>
      </c>
      <c r="D5" s="729" t="s">
        <v>1030</v>
      </c>
    </row>
    <row r="6" spans="1:4" ht="15.75" thickBot="1" x14ac:dyDescent="0.25">
      <c r="A6" s="1065" t="s">
        <v>203</v>
      </c>
      <c r="B6" s="1066">
        <v>4072675</v>
      </c>
      <c r="C6" s="1067">
        <v>3197391</v>
      </c>
      <c r="D6" s="1068">
        <v>1.274</v>
      </c>
    </row>
    <row r="7" spans="1:4" x14ac:dyDescent="0.2">
      <c r="A7" s="1251" t="s">
        <v>185</v>
      </c>
      <c r="B7" s="1251"/>
      <c r="C7" s="1251"/>
      <c r="D7" s="1251"/>
    </row>
    <row r="8" spans="1:4" ht="26.25" customHeight="1" x14ac:dyDescent="0.2">
      <c r="A8" s="1247" t="s">
        <v>1031</v>
      </c>
      <c r="B8" s="1247"/>
      <c r="C8" s="1247"/>
      <c r="D8" s="1247"/>
    </row>
  </sheetData>
  <sheetProtection password="9C8D" sheet="1" objects="1" scenarios="1"/>
  <mergeCells count="6">
    <mergeCell ref="A7:D7"/>
    <mergeCell ref="A8:D8"/>
    <mergeCell ref="A1:D1"/>
    <mergeCell ref="A2:D2"/>
    <mergeCell ref="A3:D3"/>
    <mergeCell ref="A4:D4"/>
  </mergeCells>
  <pageMargins left="0.511811024" right="0.511811024" top="0.78740157499999996" bottom="0.78740157499999996" header="0.31496062000000002" footer="0.3149606200000000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indowProtection="1" showGridLines="0" workbookViewId="0">
      <selection activeCell="A3" sqref="A3:D3"/>
    </sheetView>
  </sheetViews>
  <sheetFormatPr defaultRowHeight="12.75" x14ac:dyDescent="0.2"/>
  <cols>
    <col min="1" max="1" width="26.140625" customWidth="1"/>
    <col min="2" max="2" width="13.28515625" customWidth="1"/>
    <col min="3" max="3" width="12.28515625" customWidth="1"/>
  </cols>
  <sheetData>
    <row r="1" spans="1:5" x14ac:dyDescent="0.2">
      <c r="A1" s="1257" t="s">
        <v>1043</v>
      </c>
      <c r="B1" s="1257"/>
      <c r="C1" s="1257"/>
      <c r="D1" s="1257"/>
    </row>
    <row r="2" spans="1:5" ht="14.25" x14ac:dyDescent="0.2">
      <c r="A2" s="1257" t="s">
        <v>1044</v>
      </c>
      <c r="B2" s="1257"/>
      <c r="C2" s="1257"/>
      <c r="D2" s="1257"/>
    </row>
    <row r="3" spans="1:5" x14ac:dyDescent="0.2">
      <c r="A3" s="1257" t="s">
        <v>1023</v>
      </c>
      <c r="B3" s="1257"/>
      <c r="C3" s="1257"/>
      <c r="D3" s="1257"/>
    </row>
    <row r="4" spans="1:5" x14ac:dyDescent="0.2">
      <c r="A4" s="1254" t="s">
        <v>1</v>
      </c>
      <c r="B4" s="1254"/>
      <c r="C4" s="1254"/>
      <c r="D4" s="1254"/>
    </row>
    <row r="5" spans="1:5" x14ac:dyDescent="0.2">
      <c r="A5" s="1246" t="s">
        <v>204</v>
      </c>
      <c r="B5" s="729" t="s">
        <v>1034</v>
      </c>
      <c r="C5" s="729" t="s">
        <v>394</v>
      </c>
      <c r="D5" s="729" t="s">
        <v>1037</v>
      </c>
      <c r="E5" s="1255"/>
    </row>
    <row r="6" spans="1:5" x14ac:dyDescent="0.2">
      <c r="A6" s="1246"/>
      <c r="B6" s="729" t="s">
        <v>1035</v>
      </c>
      <c r="C6" s="729" t="s">
        <v>1036</v>
      </c>
      <c r="D6" s="729" t="s">
        <v>1038</v>
      </c>
      <c r="E6" s="1255"/>
    </row>
    <row r="7" spans="1:5" x14ac:dyDescent="0.2">
      <c r="A7" s="1069" t="s">
        <v>1039</v>
      </c>
      <c r="B7" s="1070">
        <v>35000</v>
      </c>
      <c r="C7" s="727">
        <v>45176</v>
      </c>
      <c r="D7" s="1071">
        <v>129.1</v>
      </c>
      <c r="E7" s="1057"/>
    </row>
    <row r="8" spans="1:5" x14ac:dyDescent="0.2">
      <c r="A8" s="1069" t="s">
        <v>223</v>
      </c>
      <c r="B8" s="1070">
        <v>120000</v>
      </c>
      <c r="C8" s="727">
        <v>157804</v>
      </c>
      <c r="D8" s="1071">
        <v>131.5</v>
      </c>
      <c r="E8" s="1057"/>
    </row>
    <row r="9" spans="1:5" x14ac:dyDescent="0.2">
      <c r="A9" s="1069" t="s">
        <v>224</v>
      </c>
      <c r="B9" s="1070">
        <v>600000</v>
      </c>
      <c r="C9" s="727">
        <v>677694</v>
      </c>
      <c r="D9" s="1071">
        <v>112.9</v>
      </c>
      <c r="E9" s="1057"/>
    </row>
    <row r="10" spans="1:5" x14ac:dyDescent="0.2">
      <c r="A10" s="1069" t="s">
        <v>1040</v>
      </c>
      <c r="B10" s="1070">
        <v>290000</v>
      </c>
      <c r="C10" s="727">
        <v>380300</v>
      </c>
      <c r="D10" s="1071">
        <v>131.1</v>
      </c>
      <c r="E10" s="1057"/>
    </row>
    <row r="11" spans="1:5" x14ac:dyDescent="0.2">
      <c r="A11" s="1069" t="s">
        <v>225</v>
      </c>
      <c r="B11" s="1070">
        <v>110000</v>
      </c>
      <c r="C11" s="727">
        <v>114071</v>
      </c>
      <c r="D11" s="1071">
        <v>103.7</v>
      </c>
      <c r="E11" s="1057"/>
    </row>
    <row r="12" spans="1:5" x14ac:dyDescent="0.2">
      <c r="A12" s="1069" t="s">
        <v>1041</v>
      </c>
      <c r="B12" s="1070">
        <v>310000</v>
      </c>
      <c r="C12" s="727">
        <v>356737</v>
      </c>
      <c r="D12" s="1071">
        <v>115.1</v>
      </c>
      <c r="E12" s="1057"/>
    </row>
    <row r="13" spans="1:5" x14ac:dyDescent="0.2">
      <c r="A13" s="1069" t="s">
        <v>227</v>
      </c>
      <c r="B13" s="1070">
        <v>260000</v>
      </c>
      <c r="C13" s="727">
        <v>312057</v>
      </c>
      <c r="D13" s="1071">
        <v>120</v>
      </c>
      <c r="E13" s="1057"/>
    </row>
    <row r="14" spans="1:5" x14ac:dyDescent="0.2">
      <c r="A14" s="729" t="s">
        <v>29</v>
      </c>
      <c r="B14" s="1061">
        <v>1725000</v>
      </c>
      <c r="C14" s="1061">
        <v>2043839</v>
      </c>
      <c r="D14" s="1062">
        <v>118.5</v>
      </c>
      <c r="E14" s="1057"/>
    </row>
    <row r="15" spans="1:5" x14ac:dyDescent="0.2">
      <c r="A15" s="1256" t="s">
        <v>185</v>
      </c>
      <c r="B15" s="1256"/>
      <c r="C15" s="1256"/>
      <c r="D15" s="1256"/>
      <c r="E15" s="1057"/>
    </row>
    <row r="16" spans="1:5" x14ac:dyDescent="0.2">
      <c r="A16" s="1247" t="s">
        <v>1042</v>
      </c>
      <c r="B16" s="1247"/>
      <c r="C16" s="1247"/>
      <c r="D16" s="1247"/>
      <c r="E16" s="1057"/>
    </row>
  </sheetData>
  <sheetProtection password="9C8D" sheet="1" objects="1" scenarios="1"/>
  <mergeCells count="8">
    <mergeCell ref="A5:A6"/>
    <mergeCell ref="E5:E6"/>
    <mergeCell ref="A15:D15"/>
    <mergeCell ref="A16:D16"/>
    <mergeCell ref="A1:D1"/>
    <mergeCell ref="A2:D2"/>
    <mergeCell ref="A3:D3"/>
    <mergeCell ref="A4:D4"/>
  </mergeCells>
  <pageMargins left="0.511811024" right="0.511811024" top="0.78740157499999996" bottom="0.78740157499999996" header="0.31496062000000002" footer="0.3149606200000000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indowProtection="1" showGridLines="0" workbookViewId="0">
      <selection activeCell="A11" sqref="A11:D11"/>
    </sheetView>
  </sheetViews>
  <sheetFormatPr defaultRowHeight="12.75" x14ac:dyDescent="0.2"/>
  <cols>
    <col min="1" max="1" width="50.140625" customWidth="1"/>
    <col min="2" max="2" width="14.85546875" customWidth="1"/>
    <col min="3" max="3" width="15.85546875" customWidth="1"/>
    <col min="4" max="4" width="9.28515625" bestFit="1" customWidth="1"/>
  </cols>
  <sheetData>
    <row r="1" spans="1:4" x14ac:dyDescent="0.2">
      <c r="A1" s="1257" t="s">
        <v>1049</v>
      </c>
      <c r="B1" s="1257"/>
      <c r="C1" s="1257"/>
      <c r="D1" s="1257"/>
    </row>
    <row r="2" spans="1:4" x14ac:dyDescent="0.2">
      <c r="A2" s="1257" t="s">
        <v>1050</v>
      </c>
      <c r="B2" s="1257"/>
      <c r="C2" s="1257"/>
      <c r="D2" s="1257"/>
    </row>
    <row r="3" spans="1:4" x14ac:dyDescent="0.2">
      <c r="A3" s="1257" t="s">
        <v>1051</v>
      </c>
      <c r="B3" s="1257"/>
      <c r="C3" s="1257"/>
      <c r="D3" s="1257"/>
    </row>
    <row r="4" spans="1:4" x14ac:dyDescent="0.2">
      <c r="A4" s="1254" t="s">
        <v>1</v>
      </c>
      <c r="B4" s="1254"/>
      <c r="C4" s="1254"/>
      <c r="D4" s="1254"/>
    </row>
    <row r="5" spans="1:4" ht="14.25" x14ac:dyDescent="0.2">
      <c r="A5" s="1258" t="s">
        <v>148</v>
      </c>
      <c r="B5" s="1073" t="s">
        <v>1017</v>
      </c>
      <c r="C5" s="1073" t="s">
        <v>1028</v>
      </c>
      <c r="D5" s="1073" t="s">
        <v>8</v>
      </c>
    </row>
    <row r="6" spans="1:4" x14ac:dyDescent="0.2">
      <c r="A6" s="1258"/>
      <c r="B6" s="1073" t="s">
        <v>1018</v>
      </c>
      <c r="C6" s="1073" t="s">
        <v>1019</v>
      </c>
      <c r="D6" s="1073" t="s">
        <v>1038</v>
      </c>
    </row>
    <row r="7" spans="1:4" x14ac:dyDescent="0.2">
      <c r="A7" s="454" t="s">
        <v>1045</v>
      </c>
      <c r="B7" s="1058">
        <v>3870000</v>
      </c>
      <c r="C7" s="725">
        <v>2341400</v>
      </c>
      <c r="D7" s="1072">
        <v>60.5</v>
      </c>
    </row>
    <row r="8" spans="1:4" x14ac:dyDescent="0.2">
      <c r="A8" s="454" t="s">
        <v>1046</v>
      </c>
      <c r="B8" s="1058">
        <v>9030000</v>
      </c>
      <c r="C8" s="725">
        <v>9153827</v>
      </c>
      <c r="D8" s="1072">
        <v>101.4</v>
      </c>
    </row>
    <row r="9" spans="1:4" x14ac:dyDescent="0.2">
      <c r="A9" s="1073" t="s">
        <v>29</v>
      </c>
      <c r="B9" s="1074">
        <v>12900000</v>
      </c>
      <c r="C9" s="1075">
        <v>11495227</v>
      </c>
      <c r="D9" s="1076">
        <v>89.1</v>
      </c>
    </row>
    <row r="10" spans="1:4" x14ac:dyDescent="0.2">
      <c r="A10" s="1249" t="s">
        <v>1047</v>
      </c>
      <c r="B10" s="1249"/>
      <c r="C10" s="1249"/>
      <c r="D10" s="1249"/>
    </row>
    <row r="11" spans="1:4" ht="25.5" customHeight="1" x14ac:dyDescent="0.2">
      <c r="A11" s="1249" t="s">
        <v>1048</v>
      </c>
      <c r="B11" s="1249"/>
      <c r="C11" s="1249"/>
      <c r="D11" s="1249"/>
    </row>
  </sheetData>
  <sheetProtection password="9C8D" sheet="1" objects="1" scenarios="1"/>
  <mergeCells count="7">
    <mergeCell ref="A1:D1"/>
    <mergeCell ref="A5:A6"/>
    <mergeCell ref="A10:D10"/>
    <mergeCell ref="A11:D11"/>
    <mergeCell ref="A2:D2"/>
    <mergeCell ref="A3:D3"/>
    <mergeCell ref="A4:D4"/>
  </mergeCells>
  <pageMargins left="0.511811024" right="0.511811024" top="0.78740157499999996" bottom="0.78740157499999996" header="0.31496062000000002" footer="0.3149606200000000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5"/>
  <sheetViews>
    <sheetView windowProtection="1" showGridLines="0" workbookViewId="0">
      <selection activeCell="G6" sqref="G6"/>
    </sheetView>
  </sheetViews>
  <sheetFormatPr defaultRowHeight="12.75" x14ac:dyDescent="0.2"/>
  <cols>
    <col min="1" max="1" width="19.5703125" style="271" customWidth="1"/>
    <col min="2" max="2" width="18.7109375" style="271" customWidth="1"/>
    <col min="3" max="3" width="12.85546875" style="271" customWidth="1"/>
    <col min="4" max="4" width="18.5703125" style="271" customWidth="1"/>
    <col min="5" max="5" width="14.5703125" style="271" customWidth="1"/>
    <col min="6" max="6" width="14.85546875" style="271" customWidth="1"/>
    <col min="7" max="7" width="13.28515625" style="277" customWidth="1"/>
    <col min="8" max="10" width="12.85546875" style="277" bestFit="1" customWidth="1"/>
    <col min="11" max="11" width="9.140625" style="277"/>
    <col min="12" max="12" width="11.28515625" style="277" bestFit="1" customWidth="1"/>
    <col min="13" max="13" width="9.28515625" style="277" bestFit="1" customWidth="1"/>
    <col min="14" max="34" width="9.140625" style="277"/>
    <col min="35" max="16384" width="9.140625" style="271"/>
  </cols>
  <sheetData>
    <row r="1" spans="1:13" ht="15.75" x14ac:dyDescent="0.2">
      <c r="A1" s="1261" t="s">
        <v>114</v>
      </c>
      <c r="B1" s="1262"/>
      <c r="C1" s="1262"/>
      <c r="D1" s="1262"/>
      <c r="E1" s="1262"/>
      <c r="F1" s="1262"/>
    </row>
    <row r="2" spans="1:13" ht="15" x14ac:dyDescent="0.2">
      <c r="A2" s="1263" t="s">
        <v>532</v>
      </c>
      <c r="B2" s="1263"/>
      <c r="C2" s="1263"/>
      <c r="D2" s="1263"/>
      <c r="E2" s="1263"/>
      <c r="F2" s="1263"/>
    </row>
    <row r="3" spans="1:13" x14ac:dyDescent="0.2">
      <c r="A3" s="1264" t="str">
        <f>[7]Dados!A18</f>
        <v>Exercício de 2015</v>
      </c>
      <c r="B3" s="1265"/>
      <c r="C3" s="1265"/>
      <c r="D3" s="1265"/>
      <c r="E3" s="1265"/>
      <c r="F3" s="1265"/>
    </row>
    <row r="4" spans="1:13" ht="15" x14ac:dyDescent="0.2">
      <c r="A4" s="550"/>
      <c r="B4" s="551"/>
      <c r="C4" s="551"/>
      <c r="D4" s="551"/>
      <c r="E4" s="551"/>
      <c r="F4" s="551"/>
    </row>
    <row r="5" spans="1:13" ht="12.75" customHeight="1" x14ac:dyDescent="0.2">
      <c r="A5" s="1266" t="s">
        <v>1</v>
      </c>
      <c r="B5" s="1266"/>
      <c r="C5" s="1266"/>
      <c r="D5" s="1266"/>
      <c r="E5" s="1266"/>
      <c r="F5" s="1266"/>
    </row>
    <row r="6" spans="1:13" ht="36.75" customHeight="1" x14ac:dyDescent="0.2">
      <c r="A6" s="552" t="s">
        <v>87</v>
      </c>
      <c r="B6" s="552" t="s">
        <v>533</v>
      </c>
      <c r="C6" s="552" t="s">
        <v>8</v>
      </c>
      <c r="D6" s="552" t="s">
        <v>534</v>
      </c>
      <c r="E6" s="552" t="s">
        <v>535</v>
      </c>
      <c r="F6" s="552" t="s">
        <v>8</v>
      </c>
      <c r="G6" s="274"/>
      <c r="H6" s="553"/>
    </row>
    <row r="7" spans="1:13" ht="15.95" customHeight="1" x14ac:dyDescent="0.25">
      <c r="A7" s="554" t="s">
        <v>88</v>
      </c>
      <c r="B7" s="555">
        <v>430740</v>
      </c>
      <c r="C7" s="556">
        <f>IF($B$18=0,0,ROUND(B7/$B$18*100,2))</f>
        <v>3.75</v>
      </c>
      <c r="D7" s="555">
        <v>59817</v>
      </c>
      <c r="E7" s="557">
        <f>D7+B7</f>
        <v>490557</v>
      </c>
      <c r="F7" s="556">
        <f>IF($E$18=0,0,ROUND(E7/$E$18*100,2))</f>
        <v>3.81</v>
      </c>
      <c r="G7" s="558"/>
      <c r="H7" s="559"/>
      <c r="I7" s="560"/>
      <c r="J7" s="561"/>
      <c r="K7" s="562"/>
      <c r="L7" s="563"/>
      <c r="M7" s="288"/>
    </row>
    <row r="8" spans="1:13" ht="15.95" customHeight="1" x14ac:dyDescent="0.25">
      <c r="A8" s="554" t="s">
        <v>107</v>
      </c>
      <c r="B8" s="555">
        <v>3211568</v>
      </c>
      <c r="C8" s="556">
        <f>27.9+0.1</f>
        <v>28</v>
      </c>
      <c r="D8" s="555">
        <v>322466</v>
      </c>
      <c r="E8" s="557">
        <f t="shared" ref="E8:E17" si="0">D8+B8</f>
        <v>3534034</v>
      </c>
      <c r="F8" s="556">
        <f t="shared" ref="F8:F17" si="1">IF($E$18=0,0,ROUND(E8/$E$18*100,2))</f>
        <v>27.42</v>
      </c>
      <c r="G8" s="564"/>
      <c r="H8" s="559"/>
      <c r="I8" s="560"/>
      <c r="J8" s="561"/>
      <c r="K8" s="562"/>
      <c r="L8" s="563"/>
      <c r="M8" s="288"/>
    </row>
    <row r="9" spans="1:13" ht="15.95" customHeight="1" x14ac:dyDescent="0.25">
      <c r="A9" s="565" t="s">
        <v>90</v>
      </c>
      <c r="B9" s="555">
        <v>1795346</v>
      </c>
      <c r="C9" s="556">
        <f t="shared" ref="C9:C17" si="2">IF($B$18=0,0,ROUND(B9/$B$18*100,2))</f>
        <v>15.62</v>
      </c>
      <c r="D9" s="555">
        <f>356652-1</f>
        <v>356651</v>
      </c>
      <c r="E9" s="557">
        <f t="shared" si="0"/>
        <v>2151997</v>
      </c>
      <c r="F9" s="556">
        <f t="shared" si="1"/>
        <v>16.7</v>
      </c>
      <c r="G9" s="564"/>
      <c r="H9" s="559"/>
      <c r="I9" s="560"/>
      <c r="J9" s="561"/>
      <c r="K9" s="562"/>
      <c r="L9" s="563"/>
      <c r="M9" s="288"/>
    </row>
    <row r="10" spans="1:13" ht="15.95" customHeight="1" x14ac:dyDescent="0.25">
      <c r="A10" s="565" t="s">
        <v>91</v>
      </c>
      <c r="B10" s="555">
        <v>151772</v>
      </c>
      <c r="C10" s="556">
        <f t="shared" si="2"/>
        <v>1.32</v>
      </c>
      <c r="D10" s="555">
        <f>102796</f>
        <v>102796</v>
      </c>
      <c r="E10" s="557">
        <f t="shared" si="0"/>
        <v>254568</v>
      </c>
      <c r="F10" s="556">
        <f t="shared" si="1"/>
        <v>1.98</v>
      </c>
      <c r="G10" s="564"/>
      <c r="H10" s="559"/>
      <c r="I10" s="560"/>
      <c r="J10" s="561"/>
      <c r="K10" s="562"/>
      <c r="L10" s="563"/>
      <c r="M10" s="288"/>
    </row>
    <row r="11" spans="1:13" ht="15.95" customHeight="1" x14ac:dyDescent="0.25">
      <c r="A11" s="565" t="s">
        <v>92</v>
      </c>
      <c r="B11" s="555">
        <v>1218330</v>
      </c>
      <c r="C11" s="556">
        <f t="shared" si="2"/>
        <v>10.6</v>
      </c>
      <c r="D11" s="555">
        <v>54718</v>
      </c>
      <c r="E11" s="557">
        <f t="shared" si="0"/>
        <v>1273048</v>
      </c>
      <c r="F11" s="556">
        <f t="shared" si="1"/>
        <v>9.8800000000000008</v>
      </c>
      <c r="G11" s="564"/>
      <c r="H11" s="559"/>
      <c r="I11" s="560"/>
      <c r="J11" s="561"/>
      <c r="K11" s="562"/>
      <c r="L11" s="563"/>
      <c r="M11" s="288"/>
    </row>
    <row r="12" spans="1:13" ht="15.95" customHeight="1" x14ac:dyDescent="0.25">
      <c r="A12" s="565" t="s">
        <v>93</v>
      </c>
      <c r="B12" s="555">
        <v>796851</v>
      </c>
      <c r="C12" s="556">
        <f t="shared" si="2"/>
        <v>6.93</v>
      </c>
      <c r="D12" s="555">
        <v>57142</v>
      </c>
      <c r="E12" s="557">
        <f t="shared" si="0"/>
        <v>853993</v>
      </c>
      <c r="F12" s="556">
        <f t="shared" si="1"/>
        <v>6.63</v>
      </c>
      <c r="G12" s="564"/>
      <c r="H12" s="559"/>
      <c r="I12" s="560"/>
      <c r="J12" s="561"/>
      <c r="K12" s="562"/>
      <c r="L12" s="563"/>
      <c r="M12" s="288"/>
    </row>
    <row r="13" spans="1:13" ht="15.95" customHeight="1" x14ac:dyDescent="0.25">
      <c r="A13" s="565" t="s">
        <v>94</v>
      </c>
      <c r="B13" s="555">
        <v>631454</v>
      </c>
      <c r="C13" s="556">
        <f t="shared" si="2"/>
        <v>5.49</v>
      </c>
      <c r="D13" s="555">
        <v>68558</v>
      </c>
      <c r="E13" s="557">
        <f t="shared" si="0"/>
        <v>700012</v>
      </c>
      <c r="F13" s="556">
        <f t="shared" si="1"/>
        <v>5.43</v>
      </c>
      <c r="G13" s="564"/>
      <c r="H13" s="559"/>
      <c r="I13" s="560"/>
      <c r="J13" s="561"/>
      <c r="K13" s="562"/>
      <c r="L13" s="563"/>
      <c r="M13" s="288"/>
    </row>
    <row r="14" spans="1:13" ht="15.95" customHeight="1" x14ac:dyDescent="0.25">
      <c r="A14" s="565" t="s">
        <v>95</v>
      </c>
      <c r="B14" s="555">
        <v>1229930</v>
      </c>
      <c r="C14" s="556">
        <f t="shared" si="2"/>
        <v>10.7</v>
      </c>
      <c r="D14" s="555">
        <v>276868</v>
      </c>
      <c r="E14" s="557">
        <f t="shared" si="0"/>
        <v>1506798</v>
      </c>
      <c r="F14" s="556">
        <f t="shared" si="1"/>
        <v>11.69</v>
      </c>
      <c r="G14" s="564"/>
      <c r="H14" s="559"/>
      <c r="I14" s="560"/>
      <c r="J14" s="561"/>
      <c r="K14" s="562"/>
      <c r="L14" s="563"/>
      <c r="M14" s="288"/>
    </row>
    <row r="15" spans="1:13" ht="15.95" customHeight="1" x14ac:dyDescent="0.25">
      <c r="A15" s="565" t="s">
        <v>96</v>
      </c>
      <c r="B15" s="555">
        <v>1061452</v>
      </c>
      <c r="C15" s="556">
        <f t="shared" si="2"/>
        <v>9.23</v>
      </c>
      <c r="D15" s="555">
        <v>38840</v>
      </c>
      <c r="E15" s="557">
        <f t="shared" si="0"/>
        <v>1100292</v>
      </c>
      <c r="F15" s="556">
        <f t="shared" si="1"/>
        <v>8.5399999999999991</v>
      </c>
      <c r="G15" s="564"/>
      <c r="H15" s="559"/>
      <c r="I15" s="560"/>
      <c r="J15" s="561"/>
      <c r="K15" s="562"/>
      <c r="L15" s="563"/>
      <c r="M15" s="288"/>
    </row>
    <row r="16" spans="1:13" ht="15.95" customHeight="1" x14ac:dyDescent="0.25">
      <c r="A16" s="554" t="s">
        <v>97</v>
      </c>
      <c r="B16" s="555">
        <v>595658</v>
      </c>
      <c r="C16" s="556">
        <f t="shared" si="2"/>
        <v>5.18</v>
      </c>
      <c r="D16" s="555">
        <v>16998</v>
      </c>
      <c r="E16" s="557">
        <f t="shared" si="0"/>
        <v>612656</v>
      </c>
      <c r="F16" s="556">
        <f t="shared" si="1"/>
        <v>4.75</v>
      </c>
      <c r="G16" s="564"/>
      <c r="H16" s="559"/>
      <c r="I16" s="560"/>
      <c r="J16" s="566"/>
      <c r="K16" s="562"/>
      <c r="L16" s="563"/>
      <c r="M16" s="288"/>
    </row>
    <row r="17" spans="1:13" ht="15.95" customHeight="1" x14ac:dyDescent="0.25">
      <c r="A17" s="554" t="s">
        <v>98</v>
      </c>
      <c r="B17" s="555">
        <v>372126</v>
      </c>
      <c r="C17" s="556">
        <f t="shared" si="2"/>
        <v>3.24</v>
      </c>
      <c r="D17" s="555">
        <v>36989</v>
      </c>
      <c r="E17" s="557">
        <f t="shared" si="0"/>
        <v>409115</v>
      </c>
      <c r="F17" s="556">
        <f t="shared" si="1"/>
        <v>3.17</v>
      </c>
      <c r="G17" s="564"/>
      <c r="H17" s="559"/>
      <c r="I17" s="560"/>
      <c r="J17" s="561"/>
      <c r="K17" s="562"/>
      <c r="L17" s="563"/>
      <c r="M17" s="288"/>
    </row>
    <row r="18" spans="1:13" ht="27" customHeight="1" x14ac:dyDescent="0.2">
      <c r="A18" s="552" t="s">
        <v>29</v>
      </c>
      <c r="B18" s="567">
        <f>SUM(B7:B17)</f>
        <v>11495227</v>
      </c>
      <c r="C18" s="568">
        <v>100</v>
      </c>
      <c r="D18" s="567">
        <f>SUM(D7:D17)</f>
        <v>1391843</v>
      </c>
      <c r="E18" s="567">
        <f>SUM(E7:E17)</f>
        <v>12887070</v>
      </c>
      <c r="F18" s="568">
        <f>SUM(F7:F17)</f>
        <v>99.999999999999986</v>
      </c>
      <c r="G18" s="354"/>
      <c r="H18" s="288"/>
      <c r="J18" s="569"/>
      <c r="K18" s="562"/>
      <c r="L18" s="563"/>
      <c r="M18" s="215"/>
    </row>
    <row r="19" spans="1:13" ht="16.5" customHeight="1" x14ac:dyDescent="0.2">
      <c r="A19" s="1267" t="s">
        <v>536</v>
      </c>
      <c r="B19" s="1268"/>
      <c r="C19" s="1268"/>
      <c r="D19" s="1268"/>
      <c r="E19" s="1268"/>
      <c r="F19" s="1268"/>
      <c r="I19" s="569"/>
    </row>
    <row r="20" spans="1:13" ht="24.75" customHeight="1" x14ac:dyDescent="0.2">
      <c r="A20" s="1269" t="s">
        <v>537</v>
      </c>
      <c r="B20" s="1270"/>
      <c r="C20" s="1270"/>
      <c r="D20" s="1270"/>
      <c r="E20" s="1270"/>
      <c r="F20" s="1270"/>
      <c r="G20" s="570"/>
    </row>
    <row r="21" spans="1:13" x14ac:dyDescent="0.2">
      <c r="A21" s="1259"/>
      <c r="B21" s="1260"/>
      <c r="C21" s="1260"/>
      <c r="D21" s="1260"/>
      <c r="E21" s="1260"/>
      <c r="F21" s="1260"/>
      <c r="G21" s="570"/>
    </row>
    <row r="22" spans="1:13" x14ac:dyDescent="0.2">
      <c r="A22" s="276"/>
      <c r="B22" s="285">
        <f>+B18-'[7]2'!D37</f>
        <v>0</v>
      </c>
      <c r="D22" s="285"/>
    </row>
    <row r="24" spans="1:13" x14ac:dyDescent="0.2">
      <c r="A24" s="41"/>
      <c r="F24" s="41"/>
    </row>
    <row r="25" spans="1:13" x14ac:dyDescent="0.2">
      <c r="A25" s="41"/>
      <c r="F25" s="41"/>
    </row>
    <row r="26" spans="1:13" x14ac:dyDescent="0.2">
      <c r="A26" s="41"/>
      <c r="F26" s="41"/>
    </row>
    <row r="27" spans="1:13" x14ac:dyDescent="0.2">
      <c r="A27" s="41"/>
      <c r="F27" s="571"/>
    </row>
    <row r="28" spans="1:13" x14ac:dyDescent="0.2">
      <c r="A28" s="41"/>
      <c r="F28" s="41"/>
    </row>
    <row r="29" spans="1:13" x14ac:dyDescent="0.2">
      <c r="A29" s="41"/>
      <c r="F29" s="41"/>
    </row>
    <row r="30" spans="1:13" x14ac:dyDescent="0.2">
      <c r="A30" s="41"/>
      <c r="F30" s="41"/>
    </row>
    <row r="31" spans="1:13" x14ac:dyDescent="0.2">
      <c r="A31" s="41"/>
      <c r="F31" s="41"/>
    </row>
    <row r="32" spans="1:13" x14ac:dyDescent="0.2">
      <c r="A32" s="41"/>
      <c r="F32" s="41"/>
    </row>
    <row r="33" spans="1:6" x14ac:dyDescent="0.2">
      <c r="A33" s="41"/>
      <c r="F33" s="41"/>
    </row>
    <row r="34" spans="1:6" x14ac:dyDescent="0.2">
      <c r="A34" s="41"/>
      <c r="F34" s="41"/>
    </row>
    <row r="35" spans="1:6" x14ac:dyDescent="0.2">
      <c r="A35" s="41"/>
      <c r="B35" s="41"/>
      <c r="C35" s="41"/>
      <c r="D35" s="41"/>
      <c r="E35" s="41"/>
      <c r="F35" s="41"/>
    </row>
  </sheetData>
  <sheetProtection password="9C8D" sheet="1" objects="1" scenarios="1"/>
  <mergeCells count="7">
    <mergeCell ref="A21:F21"/>
    <mergeCell ref="A1:F1"/>
    <mergeCell ref="A2:F2"/>
    <mergeCell ref="A3:F3"/>
    <mergeCell ref="A5:F5"/>
    <mergeCell ref="A19:F19"/>
    <mergeCell ref="A20:F20"/>
  </mergeCells>
  <pageMargins left="0.78740157499999996" right="0.78740157499999996" top="0.984251969" bottom="0.984251969" header="0.49212598499999999" footer="0.49212598499999999"/>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indowProtection="1" showGridLines="0" zoomScale="85" zoomScaleNormal="85" workbookViewId="0">
      <selection activeCell="A20" sqref="A20:C20"/>
    </sheetView>
  </sheetViews>
  <sheetFormatPr defaultRowHeight="12.75" x14ac:dyDescent="0.2"/>
  <cols>
    <col min="1" max="1" width="35.140625" customWidth="1"/>
    <col min="2" max="2" width="23.5703125" customWidth="1"/>
    <col min="3" max="3" width="17.5703125" customWidth="1"/>
    <col min="4" max="4" width="19.5703125" bestFit="1" customWidth="1"/>
    <col min="5" max="5" width="16" bestFit="1" customWidth="1"/>
    <col min="6" max="6" width="16.5703125" bestFit="1" customWidth="1"/>
    <col min="7" max="7" width="14.28515625" bestFit="1" customWidth="1"/>
    <col min="8" max="9" width="11.7109375" bestFit="1" customWidth="1"/>
  </cols>
  <sheetData>
    <row r="1" spans="1:9" ht="21" customHeight="1" x14ac:dyDescent="0.2">
      <c r="A1" s="1209" t="s">
        <v>571</v>
      </c>
      <c r="B1" s="1273"/>
      <c r="C1" s="1273"/>
    </row>
    <row r="2" spans="1:9" ht="20.25" customHeight="1" x14ac:dyDescent="0.2">
      <c r="A2" s="1210" t="s">
        <v>395</v>
      </c>
      <c r="B2" s="1235"/>
      <c r="C2" s="1235"/>
      <c r="D2" s="127"/>
    </row>
    <row r="3" spans="1:9" ht="21" customHeight="1" x14ac:dyDescent="0.2">
      <c r="A3" s="1188" t="str">
        <f>[6]Dados!A21</f>
        <v>Período: 1989 a 31.12.2015</v>
      </c>
      <c r="B3" s="1236"/>
      <c r="C3" s="1236"/>
    </row>
    <row r="4" spans="1:9" ht="15" x14ac:dyDescent="0.2">
      <c r="A4" s="1210"/>
      <c r="B4" s="1235"/>
      <c r="C4" s="1235"/>
    </row>
    <row r="5" spans="1:9" ht="15.75" x14ac:dyDescent="0.2">
      <c r="A5" s="1274" t="s">
        <v>396</v>
      </c>
      <c r="B5" s="1250"/>
      <c r="C5" s="1250"/>
    </row>
    <row r="6" spans="1:9" ht="26.25" customHeight="1" x14ac:dyDescent="0.2">
      <c r="A6" s="382" t="s">
        <v>87</v>
      </c>
      <c r="B6" s="382" t="s">
        <v>397</v>
      </c>
      <c r="C6" s="382" t="s">
        <v>8</v>
      </c>
      <c r="D6" s="461"/>
      <c r="E6" s="150"/>
      <c r="F6" s="54"/>
      <c r="G6" s="144"/>
    </row>
    <row r="7" spans="1:9" ht="18" customHeight="1" x14ac:dyDescent="0.2">
      <c r="A7" s="113" t="s">
        <v>88</v>
      </c>
      <c r="B7" s="462">
        <v>8555875</v>
      </c>
      <c r="C7" s="463">
        <f>IF($B$18=0,0,ROUND(B7*100/$B$18,2))</f>
        <v>4.74</v>
      </c>
      <c r="D7" s="83"/>
      <c r="E7" s="464"/>
      <c r="F7" s="54"/>
      <c r="G7" s="144"/>
      <c r="I7" s="465"/>
    </row>
    <row r="8" spans="1:9" ht="18" customHeight="1" x14ac:dyDescent="0.2">
      <c r="A8" s="113" t="s">
        <v>89</v>
      </c>
      <c r="B8" s="462">
        <v>45384171</v>
      </c>
      <c r="C8" s="463">
        <v>25.1</v>
      </c>
      <c r="D8" s="83"/>
      <c r="E8" s="464"/>
      <c r="F8" s="54"/>
      <c r="G8" s="144"/>
      <c r="I8" s="465"/>
    </row>
    <row r="9" spans="1:9" ht="18" customHeight="1" x14ac:dyDescent="0.2">
      <c r="A9" s="156" t="s">
        <v>90</v>
      </c>
      <c r="B9" s="462">
        <v>27797874</v>
      </c>
      <c r="C9" s="463">
        <f t="shared" ref="C9:C17" si="0">IF($B$18=0,0,ROUND(B9*100/$B$18,2))</f>
        <v>15.41</v>
      </c>
      <c r="D9" s="83"/>
      <c r="E9" s="464"/>
      <c r="F9" s="54"/>
      <c r="G9" s="144"/>
      <c r="I9" s="465"/>
    </row>
    <row r="10" spans="1:9" ht="18" customHeight="1" x14ac:dyDescent="0.2">
      <c r="A10" s="156" t="s">
        <v>91</v>
      </c>
      <c r="B10" s="462">
        <v>2102314</v>
      </c>
      <c r="C10" s="463">
        <f t="shared" si="0"/>
        <v>1.17</v>
      </c>
      <c r="D10" s="83"/>
      <c r="E10" s="464"/>
      <c r="F10" s="54"/>
      <c r="G10" s="144"/>
      <c r="I10" s="465"/>
    </row>
    <row r="11" spans="1:9" ht="18" customHeight="1" x14ac:dyDescent="0.2">
      <c r="A11" s="156" t="s">
        <v>92</v>
      </c>
      <c r="B11" s="462">
        <v>19153660</v>
      </c>
      <c r="C11" s="463">
        <f t="shared" si="0"/>
        <v>10.62</v>
      </c>
      <c r="D11" s="83"/>
      <c r="E11" s="464"/>
      <c r="F11" s="54"/>
      <c r="G11" s="144"/>
      <c r="I11" s="465"/>
    </row>
    <row r="12" spans="1:9" ht="18" customHeight="1" x14ac:dyDescent="0.2">
      <c r="A12" s="156" t="s">
        <v>93</v>
      </c>
      <c r="B12" s="462">
        <v>9037399</v>
      </c>
      <c r="C12" s="463">
        <f t="shared" si="0"/>
        <v>5.01</v>
      </c>
      <c r="D12" s="83"/>
      <c r="E12" s="464"/>
      <c r="F12" s="54"/>
      <c r="G12" s="144"/>
      <c r="I12" s="465"/>
    </row>
    <row r="13" spans="1:9" ht="18" customHeight="1" x14ac:dyDescent="0.2">
      <c r="A13" s="156" t="s">
        <v>94</v>
      </c>
      <c r="B13" s="462">
        <v>9912798</v>
      </c>
      <c r="C13" s="463">
        <f t="shared" si="0"/>
        <v>5.49</v>
      </c>
      <c r="D13" s="83"/>
      <c r="E13" s="464"/>
      <c r="F13" s="54"/>
      <c r="G13" s="144"/>
      <c r="I13" s="465"/>
    </row>
    <row r="14" spans="1:9" ht="18" customHeight="1" x14ac:dyDescent="0.2">
      <c r="A14" s="156" t="s">
        <v>95</v>
      </c>
      <c r="B14" s="462">
        <v>24828827</v>
      </c>
      <c r="C14" s="463">
        <f t="shared" si="0"/>
        <v>13.76</v>
      </c>
      <c r="D14" s="83"/>
      <c r="E14" s="464"/>
      <c r="F14" s="54"/>
      <c r="G14" s="144"/>
      <c r="I14" s="465"/>
    </row>
    <row r="15" spans="1:9" ht="18" customHeight="1" x14ac:dyDescent="0.2">
      <c r="A15" s="156" t="s">
        <v>96</v>
      </c>
      <c r="B15" s="462">
        <v>13198084</v>
      </c>
      <c r="C15" s="463">
        <f t="shared" si="0"/>
        <v>7.32</v>
      </c>
      <c r="D15" s="83"/>
      <c r="E15" s="464"/>
      <c r="F15" s="54"/>
      <c r="G15" s="144"/>
      <c r="I15" s="465"/>
    </row>
    <row r="16" spans="1:9" ht="18" customHeight="1" x14ac:dyDescent="0.2">
      <c r="A16" s="113" t="s">
        <v>97</v>
      </c>
      <c r="B16" s="462">
        <v>11676718</v>
      </c>
      <c r="C16" s="463">
        <f t="shared" si="0"/>
        <v>6.47</v>
      </c>
      <c r="D16" s="83"/>
      <c r="E16" s="464"/>
      <c r="F16" s="54"/>
      <c r="G16" s="144"/>
      <c r="I16" s="465"/>
    </row>
    <row r="17" spans="1:9" ht="18" customHeight="1" x14ac:dyDescent="0.2">
      <c r="A17" s="113" t="s">
        <v>98</v>
      </c>
      <c r="B17" s="462">
        <v>8756700</v>
      </c>
      <c r="C17" s="463">
        <f t="shared" si="0"/>
        <v>4.8499999999999996</v>
      </c>
      <c r="D17" s="83"/>
      <c r="E17" s="464"/>
      <c r="F17" s="144"/>
      <c r="H17" s="465"/>
      <c r="I17" s="465"/>
    </row>
    <row r="18" spans="1:9" ht="25.5" customHeight="1" x14ac:dyDescent="0.2">
      <c r="A18" s="382" t="s">
        <v>29</v>
      </c>
      <c r="B18" s="37">
        <f>SUM(B7:B17)</f>
        <v>180404420</v>
      </c>
      <c r="C18" s="38">
        <v>100</v>
      </c>
      <c r="D18" s="144"/>
      <c r="E18" s="466"/>
      <c r="F18" s="144"/>
      <c r="G18" s="144"/>
      <c r="H18" s="465"/>
      <c r="I18" s="465"/>
    </row>
    <row r="19" spans="1:9" ht="14.25" x14ac:dyDescent="0.2">
      <c r="A19" s="1275" t="s">
        <v>398</v>
      </c>
      <c r="B19" s="1178"/>
      <c r="C19" s="1178"/>
      <c r="D19" s="144"/>
      <c r="E19" s="467"/>
    </row>
    <row r="20" spans="1:9" ht="72" customHeight="1" x14ac:dyDescent="0.2">
      <c r="A20" s="1271" t="s">
        <v>399</v>
      </c>
      <c r="B20" s="1272"/>
      <c r="C20" s="1272"/>
      <c r="D20" s="468"/>
    </row>
    <row r="22" spans="1:9" x14ac:dyDescent="0.2">
      <c r="A22" s="386"/>
      <c r="B22" s="13"/>
    </row>
    <row r="23" spans="1:9" x14ac:dyDescent="0.2">
      <c r="A23" s="469"/>
    </row>
    <row r="24" spans="1:9" x14ac:dyDescent="0.2">
      <c r="A24" s="470"/>
    </row>
  </sheetData>
  <sheetProtection password="9C8D" sheet="1" objects="1" scenarios="1"/>
  <mergeCells count="7">
    <mergeCell ref="A20:C20"/>
    <mergeCell ref="A1:C1"/>
    <mergeCell ref="A2:C2"/>
    <mergeCell ref="A3:C3"/>
    <mergeCell ref="A4:C4"/>
    <mergeCell ref="A5:C5"/>
    <mergeCell ref="A19:C19"/>
  </mergeCells>
  <pageMargins left="0.78740157499999996" right="0.78740157499999996" top="0.984251969" bottom="0.984251969" header="0.49212598499999999" footer="0.49212598499999999"/>
  <pageSetup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indowProtection="1" showGridLines="0" workbookViewId="0">
      <selection activeCell="F5" sqref="F5:F6"/>
    </sheetView>
  </sheetViews>
  <sheetFormatPr defaultRowHeight="12.75" x14ac:dyDescent="0.2"/>
  <cols>
    <col min="1" max="1" width="22.5703125" customWidth="1"/>
    <col min="2" max="3" width="17.5703125" customWidth="1"/>
    <col min="4" max="4" width="14.85546875" customWidth="1"/>
    <col min="5" max="5" width="15.140625" customWidth="1"/>
    <col min="6" max="6" width="14.85546875" customWidth="1"/>
    <col min="7" max="7" width="12.85546875" bestFit="1" customWidth="1"/>
    <col min="9" max="9" width="10.140625" bestFit="1" customWidth="1"/>
    <col min="10" max="10" width="9.28515625" bestFit="1" customWidth="1"/>
  </cols>
  <sheetData>
    <row r="1" spans="1:11" ht="15.75" x14ac:dyDescent="0.25">
      <c r="A1" s="1225" t="s">
        <v>1052</v>
      </c>
      <c r="B1" s="1225"/>
      <c r="C1" s="1225"/>
      <c r="D1" s="1225"/>
      <c r="E1" s="1225"/>
    </row>
    <row r="2" spans="1:11" ht="18" x14ac:dyDescent="0.2">
      <c r="A2" s="1214" t="s">
        <v>115</v>
      </c>
      <c r="B2" s="1214"/>
      <c r="C2" s="1214"/>
      <c r="D2" s="1214"/>
      <c r="E2" s="1214"/>
    </row>
    <row r="3" spans="1:11" ht="15" x14ac:dyDescent="0.2">
      <c r="A3" s="1214" t="str">
        <f>[5]Dados!A18</f>
        <v>Exercício de 2015</v>
      </c>
      <c r="B3" s="1214"/>
      <c r="C3" s="1214"/>
      <c r="D3" s="1214"/>
      <c r="E3" s="1214"/>
    </row>
    <row r="4" spans="1:11" x14ac:dyDescent="0.2">
      <c r="A4" s="98"/>
      <c r="B4" s="157"/>
      <c r="C4" s="56"/>
      <c r="D4" s="98"/>
      <c r="E4" s="98"/>
    </row>
    <row r="5" spans="1:11" ht="18" customHeight="1" x14ac:dyDescent="0.25">
      <c r="A5" s="1190" t="s">
        <v>87</v>
      </c>
      <c r="B5" s="1191" t="s">
        <v>116</v>
      </c>
      <c r="C5" s="1191" t="s">
        <v>117</v>
      </c>
      <c r="D5" s="1281" t="s">
        <v>118</v>
      </c>
      <c r="E5" s="1281"/>
      <c r="F5" s="1276"/>
    </row>
    <row r="6" spans="1:11" ht="21.75" customHeight="1" x14ac:dyDescent="0.25">
      <c r="A6" s="1190"/>
      <c r="B6" s="1191"/>
      <c r="C6" s="1191"/>
      <c r="D6" s="159" t="s">
        <v>119</v>
      </c>
      <c r="E6" s="160" t="s">
        <v>120</v>
      </c>
      <c r="F6" s="1276"/>
    </row>
    <row r="7" spans="1:11" ht="15.95" customHeight="1" x14ac:dyDescent="0.2">
      <c r="A7" s="161" t="s">
        <v>88</v>
      </c>
      <c r="B7" s="162">
        <f>'[5]23'!B7</f>
        <v>430740</v>
      </c>
      <c r="C7" s="163">
        <v>78906</v>
      </c>
      <c r="D7" s="164">
        <f>ROUND(B7/C7*1000,2)</f>
        <v>5458.9</v>
      </c>
      <c r="E7" s="165">
        <v>10</v>
      </c>
      <c r="F7" s="166"/>
      <c r="G7" s="46"/>
      <c r="H7" s="44"/>
      <c r="I7" s="167"/>
      <c r="J7" s="41"/>
      <c r="K7" s="168"/>
    </row>
    <row r="8" spans="1:11" ht="15.95" customHeight="1" x14ac:dyDescent="0.2">
      <c r="A8" s="161" t="s">
        <v>107</v>
      </c>
      <c r="B8" s="162">
        <f>'[5]23'!B8</f>
        <v>3211568</v>
      </c>
      <c r="C8" s="163">
        <v>318849</v>
      </c>
      <c r="D8" s="164">
        <f t="shared" ref="D8:D17" si="0">ROUND(B8/C8*1000,2)</f>
        <v>10072.379999999999</v>
      </c>
      <c r="E8" s="165">
        <v>2</v>
      </c>
      <c r="F8" s="166"/>
      <c r="G8" s="46"/>
      <c r="H8" s="44"/>
      <c r="I8" s="169"/>
      <c r="J8" s="41"/>
      <c r="K8" s="168"/>
    </row>
    <row r="9" spans="1:11" ht="15.95" customHeight="1" x14ac:dyDescent="0.2">
      <c r="A9" s="170" t="s">
        <v>90</v>
      </c>
      <c r="B9" s="162">
        <f>'[5]23'!B9</f>
        <v>1795346</v>
      </c>
      <c r="C9" s="163">
        <v>199800</v>
      </c>
      <c r="D9" s="164">
        <f t="shared" si="0"/>
        <v>8985.7199999999993</v>
      </c>
      <c r="E9" s="165">
        <v>3</v>
      </c>
      <c r="F9" s="166"/>
      <c r="G9" s="46"/>
      <c r="H9" s="44"/>
      <c r="I9" s="167"/>
      <c r="J9" s="41"/>
      <c r="K9" s="168"/>
    </row>
    <row r="10" spans="1:11" ht="15.95" customHeight="1" x14ac:dyDescent="0.2">
      <c r="A10" s="170" t="s">
        <v>91</v>
      </c>
      <c r="B10" s="162">
        <f>'[5]23'!B10</f>
        <v>151772</v>
      </c>
      <c r="C10" s="163">
        <v>2065</v>
      </c>
      <c r="D10" s="164">
        <f t="shared" si="0"/>
        <v>73497.34</v>
      </c>
      <c r="E10" s="165">
        <v>1</v>
      </c>
      <c r="F10" s="166"/>
      <c r="G10" s="46"/>
      <c r="H10" s="44"/>
      <c r="I10" s="169"/>
      <c r="J10" s="41"/>
      <c r="K10" s="168"/>
    </row>
    <row r="11" spans="1:11" ht="15.95" customHeight="1" x14ac:dyDescent="0.2">
      <c r="A11" s="170" t="s">
        <v>92</v>
      </c>
      <c r="B11" s="162">
        <f>'[5]23'!B11</f>
        <v>1218330</v>
      </c>
      <c r="C11" s="163">
        <v>144704</v>
      </c>
      <c r="D11" s="164">
        <f t="shared" si="0"/>
        <v>8419.4599999999991</v>
      </c>
      <c r="E11" s="165">
        <v>4</v>
      </c>
      <c r="F11" s="166"/>
      <c r="G11" s="46"/>
      <c r="H11" s="44"/>
      <c r="I11" s="167"/>
      <c r="J11" s="41"/>
      <c r="K11" s="168"/>
    </row>
    <row r="12" spans="1:11" ht="15.95" customHeight="1" x14ac:dyDescent="0.2">
      <c r="A12" s="170" t="s">
        <v>93</v>
      </c>
      <c r="B12" s="162">
        <f>'[5]23'!B12</f>
        <v>796851</v>
      </c>
      <c r="C12" s="163">
        <v>144290</v>
      </c>
      <c r="D12" s="164">
        <f t="shared" si="0"/>
        <v>5522.57</v>
      </c>
      <c r="E12" s="165">
        <v>9</v>
      </c>
      <c r="F12" s="166"/>
      <c r="G12" s="46"/>
      <c r="H12" s="44"/>
      <c r="I12" s="169"/>
      <c r="J12" s="41"/>
      <c r="K12" s="168"/>
    </row>
    <row r="13" spans="1:11" ht="15.95" customHeight="1" x14ac:dyDescent="0.2">
      <c r="A13" s="170" t="s">
        <v>94</v>
      </c>
      <c r="B13" s="162">
        <f>'[5]23'!B13</f>
        <v>631454</v>
      </c>
      <c r="C13" s="163">
        <v>131595</v>
      </c>
      <c r="D13" s="164">
        <f t="shared" si="0"/>
        <v>4798.46</v>
      </c>
      <c r="E13" s="165">
        <v>11</v>
      </c>
      <c r="F13" s="166"/>
      <c r="G13" s="46"/>
      <c r="H13" s="44"/>
      <c r="I13" s="167"/>
      <c r="J13" s="41"/>
      <c r="K13" s="168"/>
    </row>
    <row r="14" spans="1:11" ht="15.95" customHeight="1" x14ac:dyDescent="0.2">
      <c r="A14" s="170" t="s">
        <v>95</v>
      </c>
      <c r="B14" s="162">
        <f>'[5]23'!B14</f>
        <v>1229930</v>
      </c>
      <c r="C14" s="163">
        <v>157957</v>
      </c>
      <c r="D14" s="164">
        <f t="shared" si="0"/>
        <v>7786.49</v>
      </c>
      <c r="E14" s="165">
        <v>5</v>
      </c>
      <c r="F14" s="166"/>
      <c r="G14" s="46"/>
      <c r="H14" s="44"/>
      <c r="I14" s="169"/>
      <c r="J14" s="41"/>
      <c r="K14" s="168"/>
    </row>
    <row r="15" spans="1:11" ht="15.95" customHeight="1" x14ac:dyDescent="0.2">
      <c r="A15" s="170" t="s">
        <v>96</v>
      </c>
      <c r="B15" s="162">
        <f>'[5]23'!B15</f>
        <v>1061452</v>
      </c>
      <c r="C15" s="163">
        <v>146991</v>
      </c>
      <c r="D15" s="164">
        <f t="shared" si="0"/>
        <v>7221.2</v>
      </c>
      <c r="E15" s="165">
        <v>6</v>
      </c>
      <c r="F15" s="166"/>
      <c r="G15" s="46"/>
      <c r="H15" s="44"/>
      <c r="I15" s="167"/>
      <c r="J15" s="41"/>
      <c r="K15" s="168"/>
    </row>
    <row r="16" spans="1:11" ht="15.95" customHeight="1" x14ac:dyDescent="0.2">
      <c r="A16" s="170" t="s">
        <v>97</v>
      </c>
      <c r="B16" s="162">
        <f>'[5]23'!B16</f>
        <v>595658</v>
      </c>
      <c r="C16" s="163">
        <v>81544</v>
      </c>
      <c r="D16" s="164">
        <f t="shared" si="0"/>
        <v>7304.74</v>
      </c>
      <c r="E16" s="165">
        <v>7</v>
      </c>
      <c r="F16" s="166"/>
      <c r="G16" s="46"/>
      <c r="H16" s="44"/>
      <c r="I16" s="169"/>
      <c r="J16" s="41"/>
      <c r="K16" s="168"/>
    </row>
    <row r="17" spans="1:11" ht="15.95" customHeight="1" x14ac:dyDescent="0.2">
      <c r="A17" s="170" t="s">
        <v>98</v>
      </c>
      <c r="B17" s="162">
        <f>'[5]23'!B17</f>
        <v>372126</v>
      </c>
      <c r="C17" s="163">
        <v>55701</v>
      </c>
      <c r="D17" s="164">
        <f t="shared" si="0"/>
        <v>6680.78</v>
      </c>
      <c r="E17" s="165">
        <v>8</v>
      </c>
      <c r="F17" s="166"/>
      <c r="G17" s="46"/>
      <c r="H17" s="44"/>
      <c r="I17" s="167"/>
      <c r="J17" s="41"/>
      <c r="K17" s="168"/>
    </row>
    <row r="18" spans="1:11" ht="21.75" customHeight="1" x14ac:dyDescent="0.2">
      <c r="A18" s="97" t="s">
        <v>29</v>
      </c>
      <c r="B18" s="107">
        <f>SUM(B7:B17)</f>
        <v>11495227</v>
      </c>
      <c r="C18" s="171">
        <f>SUM(C7:C17)</f>
        <v>1462402</v>
      </c>
      <c r="D18" s="172">
        <f>B18/C18*1000</f>
        <v>7860.5109949247881</v>
      </c>
      <c r="E18" s="173" t="s">
        <v>121</v>
      </c>
      <c r="F18" s="174"/>
      <c r="G18" s="175"/>
    </row>
    <row r="19" spans="1:11" ht="15" x14ac:dyDescent="0.25">
      <c r="A19" s="1277" t="s">
        <v>67</v>
      </c>
      <c r="B19" s="1278"/>
      <c r="C19" s="1278"/>
      <c r="D19" s="1278"/>
      <c r="E19" s="1278"/>
      <c r="F19" s="176"/>
    </row>
    <row r="20" spans="1:11" ht="13.5" customHeight="1" x14ac:dyDescent="0.2">
      <c r="A20" s="1279" t="s">
        <v>122</v>
      </c>
      <c r="B20" s="1280"/>
      <c r="C20" s="1280"/>
      <c r="D20" s="1280"/>
      <c r="E20" s="1280"/>
      <c r="F20" s="177"/>
      <c r="G20" s="177"/>
    </row>
    <row r="21" spans="1:11" x14ac:dyDescent="0.2">
      <c r="B21" s="41"/>
      <c r="D21" s="178"/>
      <c r="F21" s="168"/>
    </row>
    <row r="22" spans="1:11" x14ac:dyDescent="0.2">
      <c r="A22" s="94"/>
      <c r="B22" s="13"/>
      <c r="C22" s="179"/>
      <c r="D22" s="178"/>
    </row>
    <row r="23" spans="1:11" x14ac:dyDescent="0.2">
      <c r="B23" s="13"/>
      <c r="C23" s="179"/>
    </row>
    <row r="24" spans="1:11" x14ac:dyDescent="0.2">
      <c r="B24" s="13"/>
      <c r="C24" s="179"/>
    </row>
    <row r="25" spans="1:11" x14ac:dyDescent="0.2">
      <c r="B25" s="13"/>
      <c r="C25" s="179"/>
    </row>
    <row r="26" spans="1:11" x14ac:dyDescent="0.2">
      <c r="B26" s="13"/>
      <c r="C26" s="179"/>
    </row>
    <row r="27" spans="1:11" x14ac:dyDescent="0.2">
      <c r="B27" s="13"/>
      <c r="C27" s="179"/>
    </row>
    <row r="28" spans="1:11" x14ac:dyDescent="0.2">
      <c r="B28" s="13"/>
      <c r="C28" s="179"/>
    </row>
    <row r="29" spans="1:11" x14ac:dyDescent="0.2">
      <c r="B29" s="13"/>
      <c r="C29" s="179"/>
    </row>
    <row r="30" spans="1:11" x14ac:dyDescent="0.2">
      <c r="B30" s="13"/>
      <c r="C30" s="179"/>
    </row>
    <row r="31" spans="1:11" x14ac:dyDescent="0.2">
      <c r="B31" s="13"/>
      <c r="C31" s="179"/>
    </row>
    <row r="32" spans="1:11" x14ac:dyDescent="0.2">
      <c r="B32" s="13"/>
      <c r="C32" s="179"/>
    </row>
    <row r="33" spans="2:3" x14ac:dyDescent="0.2">
      <c r="B33" s="13"/>
      <c r="C33" s="179"/>
    </row>
    <row r="34" spans="2:3" x14ac:dyDescent="0.2">
      <c r="B34" s="13"/>
      <c r="C34" s="179"/>
    </row>
  </sheetData>
  <sheetProtection password="9C8D" sheet="1" objects="1" scenarios="1"/>
  <mergeCells count="10">
    <mergeCell ref="F5:F6"/>
    <mergeCell ref="A19:E19"/>
    <mergeCell ref="A20:E20"/>
    <mergeCell ref="A1:E1"/>
    <mergeCell ref="A2:E2"/>
    <mergeCell ref="A3:E3"/>
    <mergeCell ref="A5:A6"/>
    <mergeCell ref="B5:B6"/>
    <mergeCell ref="C5:C6"/>
    <mergeCell ref="D5:E5"/>
  </mergeCells>
  <pageMargins left="0.78740157499999996" right="0.78740157499999996" top="0.984251969" bottom="0.984251969" header="0.49212598499999999" footer="0.49212598499999999"/>
  <pageSetup paperSize="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indowProtection="1" showGridLines="0" zoomScale="80" zoomScaleNormal="80" workbookViewId="0">
      <selection activeCell="A20" sqref="A20"/>
    </sheetView>
  </sheetViews>
  <sheetFormatPr defaultRowHeight="15" x14ac:dyDescent="0.25"/>
  <cols>
    <col min="1" max="1" width="22.140625" style="591" customWidth="1"/>
    <col min="2" max="2" width="16.28515625" style="591" customWidth="1"/>
    <col min="3" max="3" width="15.7109375" style="591" customWidth="1"/>
    <col min="4" max="4" width="12.5703125" style="591" customWidth="1"/>
    <col min="5" max="5" width="10.140625" style="591" customWidth="1"/>
    <col min="6" max="256" width="9.140625" style="591"/>
    <col min="257" max="257" width="22.140625" style="591" customWidth="1"/>
    <col min="258" max="258" width="16.28515625" style="591" customWidth="1"/>
    <col min="259" max="259" width="15.7109375" style="591" customWidth="1"/>
    <col min="260" max="260" width="11.140625" style="591" customWidth="1"/>
    <col min="261" max="261" width="10.140625" style="591" customWidth="1"/>
    <col min="262" max="512" width="9.140625" style="591"/>
    <col min="513" max="513" width="22.140625" style="591" customWidth="1"/>
    <col min="514" max="514" width="16.28515625" style="591" customWidth="1"/>
    <col min="515" max="515" width="15.7109375" style="591" customWidth="1"/>
    <col min="516" max="516" width="11.140625" style="591" customWidth="1"/>
    <col min="517" max="517" width="10.140625" style="591" customWidth="1"/>
    <col min="518" max="768" width="9.140625" style="591"/>
    <col min="769" max="769" width="22.140625" style="591" customWidth="1"/>
    <col min="770" max="770" width="16.28515625" style="591" customWidth="1"/>
    <col min="771" max="771" width="15.7109375" style="591" customWidth="1"/>
    <col min="772" max="772" width="11.140625" style="591" customWidth="1"/>
    <col min="773" max="773" width="10.140625" style="591" customWidth="1"/>
    <col min="774" max="1024" width="9.140625" style="591"/>
    <col min="1025" max="1025" width="22.140625" style="591" customWidth="1"/>
    <col min="1026" max="1026" width="16.28515625" style="591" customWidth="1"/>
    <col min="1027" max="1027" width="15.7109375" style="591" customWidth="1"/>
    <col min="1028" max="1028" width="11.140625" style="591" customWidth="1"/>
    <col min="1029" max="1029" width="10.140625" style="591" customWidth="1"/>
    <col min="1030" max="1280" width="9.140625" style="591"/>
    <col min="1281" max="1281" width="22.140625" style="591" customWidth="1"/>
    <col min="1282" max="1282" width="16.28515625" style="591" customWidth="1"/>
    <col min="1283" max="1283" width="15.7109375" style="591" customWidth="1"/>
    <col min="1284" max="1284" width="11.140625" style="591" customWidth="1"/>
    <col min="1285" max="1285" width="10.140625" style="591" customWidth="1"/>
    <col min="1286" max="1536" width="9.140625" style="591"/>
    <col min="1537" max="1537" width="22.140625" style="591" customWidth="1"/>
    <col min="1538" max="1538" width="16.28515625" style="591" customWidth="1"/>
    <col min="1539" max="1539" width="15.7109375" style="591" customWidth="1"/>
    <col min="1540" max="1540" width="11.140625" style="591" customWidth="1"/>
    <col min="1541" max="1541" width="10.140625" style="591" customWidth="1"/>
    <col min="1542" max="1792" width="9.140625" style="591"/>
    <col min="1793" max="1793" width="22.140625" style="591" customWidth="1"/>
    <col min="1794" max="1794" width="16.28515625" style="591" customWidth="1"/>
    <col min="1795" max="1795" width="15.7109375" style="591" customWidth="1"/>
    <col min="1796" max="1796" width="11.140625" style="591" customWidth="1"/>
    <col min="1797" max="1797" width="10.140625" style="591" customWidth="1"/>
    <col min="1798" max="2048" width="9.140625" style="591"/>
    <col min="2049" max="2049" width="22.140625" style="591" customWidth="1"/>
    <col min="2050" max="2050" width="16.28515625" style="591" customWidth="1"/>
    <col min="2051" max="2051" width="15.7109375" style="591" customWidth="1"/>
    <col min="2052" max="2052" width="11.140625" style="591" customWidth="1"/>
    <col min="2053" max="2053" width="10.140625" style="591" customWidth="1"/>
    <col min="2054" max="2304" width="9.140625" style="591"/>
    <col min="2305" max="2305" width="22.140625" style="591" customWidth="1"/>
    <col min="2306" max="2306" width="16.28515625" style="591" customWidth="1"/>
    <col min="2307" max="2307" width="15.7109375" style="591" customWidth="1"/>
    <col min="2308" max="2308" width="11.140625" style="591" customWidth="1"/>
    <col min="2309" max="2309" width="10.140625" style="591" customWidth="1"/>
    <col min="2310" max="2560" width="9.140625" style="591"/>
    <col min="2561" max="2561" width="22.140625" style="591" customWidth="1"/>
    <col min="2562" max="2562" width="16.28515625" style="591" customWidth="1"/>
    <col min="2563" max="2563" width="15.7109375" style="591" customWidth="1"/>
    <col min="2564" max="2564" width="11.140625" style="591" customWidth="1"/>
    <col min="2565" max="2565" width="10.140625" style="591" customWidth="1"/>
    <col min="2566" max="2816" width="9.140625" style="591"/>
    <col min="2817" max="2817" width="22.140625" style="591" customWidth="1"/>
    <col min="2818" max="2818" width="16.28515625" style="591" customWidth="1"/>
    <col min="2819" max="2819" width="15.7109375" style="591" customWidth="1"/>
    <col min="2820" max="2820" width="11.140625" style="591" customWidth="1"/>
    <col min="2821" max="2821" width="10.140625" style="591" customWidth="1"/>
    <col min="2822" max="3072" width="9.140625" style="591"/>
    <col min="3073" max="3073" width="22.140625" style="591" customWidth="1"/>
    <col min="3074" max="3074" width="16.28515625" style="591" customWidth="1"/>
    <col min="3075" max="3075" width="15.7109375" style="591" customWidth="1"/>
    <col min="3076" max="3076" width="11.140625" style="591" customWidth="1"/>
    <col min="3077" max="3077" width="10.140625" style="591" customWidth="1"/>
    <col min="3078" max="3328" width="9.140625" style="591"/>
    <col min="3329" max="3329" width="22.140625" style="591" customWidth="1"/>
    <col min="3330" max="3330" width="16.28515625" style="591" customWidth="1"/>
    <col min="3331" max="3331" width="15.7109375" style="591" customWidth="1"/>
    <col min="3332" max="3332" width="11.140625" style="591" customWidth="1"/>
    <col min="3333" max="3333" width="10.140625" style="591" customWidth="1"/>
    <col min="3334" max="3584" width="9.140625" style="591"/>
    <col min="3585" max="3585" width="22.140625" style="591" customWidth="1"/>
    <col min="3586" max="3586" width="16.28515625" style="591" customWidth="1"/>
    <col min="3587" max="3587" width="15.7109375" style="591" customWidth="1"/>
    <col min="3588" max="3588" width="11.140625" style="591" customWidth="1"/>
    <col min="3589" max="3589" width="10.140625" style="591" customWidth="1"/>
    <col min="3590" max="3840" width="9.140625" style="591"/>
    <col min="3841" max="3841" width="22.140625" style="591" customWidth="1"/>
    <col min="3842" max="3842" width="16.28515625" style="591" customWidth="1"/>
    <col min="3843" max="3843" width="15.7109375" style="591" customWidth="1"/>
    <col min="3844" max="3844" width="11.140625" style="591" customWidth="1"/>
    <col min="3845" max="3845" width="10.140625" style="591" customWidth="1"/>
    <col min="3846" max="4096" width="9.140625" style="591"/>
    <col min="4097" max="4097" width="22.140625" style="591" customWidth="1"/>
    <col min="4098" max="4098" width="16.28515625" style="591" customWidth="1"/>
    <col min="4099" max="4099" width="15.7109375" style="591" customWidth="1"/>
    <col min="4100" max="4100" width="11.140625" style="591" customWidth="1"/>
    <col min="4101" max="4101" width="10.140625" style="591" customWidth="1"/>
    <col min="4102" max="4352" width="9.140625" style="591"/>
    <col min="4353" max="4353" width="22.140625" style="591" customWidth="1"/>
    <col min="4354" max="4354" width="16.28515625" style="591" customWidth="1"/>
    <col min="4355" max="4355" width="15.7109375" style="591" customWidth="1"/>
    <col min="4356" max="4356" width="11.140625" style="591" customWidth="1"/>
    <col min="4357" max="4357" width="10.140625" style="591" customWidth="1"/>
    <col min="4358" max="4608" width="9.140625" style="591"/>
    <col min="4609" max="4609" width="22.140625" style="591" customWidth="1"/>
    <col min="4610" max="4610" width="16.28515625" style="591" customWidth="1"/>
    <col min="4611" max="4611" width="15.7109375" style="591" customWidth="1"/>
    <col min="4612" max="4612" width="11.140625" style="591" customWidth="1"/>
    <col min="4613" max="4613" width="10.140625" style="591" customWidth="1"/>
    <col min="4614" max="4864" width="9.140625" style="591"/>
    <col min="4865" max="4865" width="22.140625" style="591" customWidth="1"/>
    <col min="4866" max="4866" width="16.28515625" style="591" customWidth="1"/>
    <col min="4867" max="4867" width="15.7109375" style="591" customWidth="1"/>
    <col min="4868" max="4868" width="11.140625" style="591" customWidth="1"/>
    <col min="4869" max="4869" width="10.140625" style="591" customWidth="1"/>
    <col min="4870" max="5120" width="9.140625" style="591"/>
    <col min="5121" max="5121" width="22.140625" style="591" customWidth="1"/>
    <col min="5122" max="5122" width="16.28515625" style="591" customWidth="1"/>
    <col min="5123" max="5123" width="15.7109375" style="591" customWidth="1"/>
    <col min="5124" max="5124" width="11.140625" style="591" customWidth="1"/>
    <col min="5125" max="5125" width="10.140625" style="591" customWidth="1"/>
    <col min="5126" max="5376" width="9.140625" style="591"/>
    <col min="5377" max="5377" width="22.140625" style="591" customWidth="1"/>
    <col min="5378" max="5378" width="16.28515625" style="591" customWidth="1"/>
    <col min="5379" max="5379" width="15.7109375" style="591" customWidth="1"/>
    <col min="5380" max="5380" width="11.140625" style="591" customWidth="1"/>
    <col min="5381" max="5381" width="10.140625" style="591" customWidth="1"/>
    <col min="5382" max="5632" width="9.140625" style="591"/>
    <col min="5633" max="5633" width="22.140625" style="591" customWidth="1"/>
    <col min="5634" max="5634" width="16.28515625" style="591" customWidth="1"/>
    <col min="5635" max="5635" width="15.7109375" style="591" customWidth="1"/>
    <col min="5636" max="5636" width="11.140625" style="591" customWidth="1"/>
    <col min="5637" max="5637" width="10.140625" style="591" customWidth="1"/>
    <col min="5638" max="5888" width="9.140625" style="591"/>
    <col min="5889" max="5889" width="22.140625" style="591" customWidth="1"/>
    <col min="5890" max="5890" width="16.28515625" style="591" customWidth="1"/>
    <col min="5891" max="5891" width="15.7109375" style="591" customWidth="1"/>
    <col min="5892" max="5892" width="11.140625" style="591" customWidth="1"/>
    <col min="5893" max="5893" width="10.140625" style="591" customWidth="1"/>
    <col min="5894" max="6144" width="9.140625" style="591"/>
    <col min="6145" max="6145" width="22.140625" style="591" customWidth="1"/>
    <col min="6146" max="6146" width="16.28515625" style="591" customWidth="1"/>
    <col min="6147" max="6147" width="15.7109375" style="591" customWidth="1"/>
    <col min="6148" max="6148" width="11.140625" style="591" customWidth="1"/>
    <col min="6149" max="6149" width="10.140625" style="591" customWidth="1"/>
    <col min="6150" max="6400" width="9.140625" style="591"/>
    <col min="6401" max="6401" width="22.140625" style="591" customWidth="1"/>
    <col min="6402" max="6402" width="16.28515625" style="591" customWidth="1"/>
    <col min="6403" max="6403" width="15.7109375" style="591" customWidth="1"/>
    <col min="6404" max="6404" width="11.140625" style="591" customWidth="1"/>
    <col min="6405" max="6405" width="10.140625" style="591" customWidth="1"/>
    <col min="6406" max="6656" width="9.140625" style="591"/>
    <col min="6657" max="6657" width="22.140625" style="591" customWidth="1"/>
    <col min="6658" max="6658" width="16.28515625" style="591" customWidth="1"/>
    <col min="6659" max="6659" width="15.7109375" style="591" customWidth="1"/>
    <col min="6660" max="6660" width="11.140625" style="591" customWidth="1"/>
    <col min="6661" max="6661" width="10.140625" style="591" customWidth="1"/>
    <col min="6662" max="6912" width="9.140625" style="591"/>
    <col min="6913" max="6913" width="22.140625" style="591" customWidth="1"/>
    <col min="6914" max="6914" width="16.28515625" style="591" customWidth="1"/>
    <col min="6915" max="6915" width="15.7109375" style="591" customWidth="1"/>
    <col min="6916" max="6916" width="11.140625" style="591" customWidth="1"/>
    <col min="6917" max="6917" width="10.140625" style="591" customWidth="1"/>
    <col min="6918" max="7168" width="9.140625" style="591"/>
    <col min="7169" max="7169" width="22.140625" style="591" customWidth="1"/>
    <col min="7170" max="7170" width="16.28515625" style="591" customWidth="1"/>
    <col min="7171" max="7171" width="15.7109375" style="591" customWidth="1"/>
    <col min="7172" max="7172" width="11.140625" style="591" customWidth="1"/>
    <col min="7173" max="7173" width="10.140625" style="591" customWidth="1"/>
    <col min="7174" max="7424" width="9.140625" style="591"/>
    <col min="7425" max="7425" width="22.140625" style="591" customWidth="1"/>
    <col min="7426" max="7426" width="16.28515625" style="591" customWidth="1"/>
    <col min="7427" max="7427" width="15.7109375" style="591" customWidth="1"/>
    <col min="7428" max="7428" width="11.140625" style="591" customWidth="1"/>
    <col min="7429" max="7429" width="10.140625" style="591" customWidth="1"/>
    <col min="7430" max="7680" width="9.140625" style="591"/>
    <col min="7681" max="7681" width="22.140625" style="591" customWidth="1"/>
    <col min="7682" max="7682" width="16.28515625" style="591" customWidth="1"/>
    <col min="7683" max="7683" width="15.7109375" style="591" customWidth="1"/>
    <col min="7684" max="7684" width="11.140625" style="591" customWidth="1"/>
    <col min="7685" max="7685" width="10.140625" style="591" customWidth="1"/>
    <col min="7686" max="7936" width="9.140625" style="591"/>
    <col min="7937" max="7937" width="22.140625" style="591" customWidth="1"/>
    <col min="7938" max="7938" width="16.28515625" style="591" customWidth="1"/>
    <col min="7939" max="7939" width="15.7109375" style="591" customWidth="1"/>
    <col min="7940" max="7940" width="11.140625" style="591" customWidth="1"/>
    <col min="7941" max="7941" width="10.140625" style="591" customWidth="1"/>
    <col min="7942" max="8192" width="9.140625" style="591"/>
    <col min="8193" max="8193" width="22.140625" style="591" customWidth="1"/>
    <col min="8194" max="8194" width="16.28515625" style="591" customWidth="1"/>
    <col min="8195" max="8195" width="15.7109375" style="591" customWidth="1"/>
    <col min="8196" max="8196" width="11.140625" style="591" customWidth="1"/>
    <col min="8197" max="8197" width="10.140625" style="591" customWidth="1"/>
    <col min="8198" max="8448" width="9.140625" style="591"/>
    <col min="8449" max="8449" width="22.140625" style="591" customWidth="1"/>
    <col min="8450" max="8450" width="16.28515625" style="591" customWidth="1"/>
    <col min="8451" max="8451" width="15.7109375" style="591" customWidth="1"/>
    <col min="8452" max="8452" width="11.140625" style="591" customWidth="1"/>
    <col min="8453" max="8453" width="10.140625" style="591" customWidth="1"/>
    <col min="8454" max="8704" width="9.140625" style="591"/>
    <col min="8705" max="8705" width="22.140625" style="591" customWidth="1"/>
    <col min="8706" max="8706" width="16.28515625" style="591" customWidth="1"/>
    <col min="8707" max="8707" width="15.7109375" style="591" customWidth="1"/>
    <col min="8708" max="8708" width="11.140625" style="591" customWidth="1"/>
    <col min="8709" max="8709" width="10.140625" style="591" customWidth="1"/>
    <col min="8710" max="8960" width="9.140625" style="591"/>
    <col min="8961" max="8961" width="22.140625" style="591" customWidth="1"/>
    <col min="8962" max="8962" width="16.28515625" style="591" customWidth="1"/>
    <col min="8963" max="8963" width="15.7109375" style="591" customWidth="1"/>
    <col min="8964" max="8964" width="11.140625" style="591" customWidth="1"/>
    <col min="8965" max="8965" width="10.140625" style="591" customWidth="1"/>
    <col min="8966" max="9216" width="9.140625" style="591"/>
    <col min="9217" max="9217" width="22.140625" style="591" customWidth="1"/>
    <col min="9218" max="9218" width="16.28515625" style="591" customWidth="1"/>
    <col min="9219" max="9219" width="15.7109375" style="591" customWidth="1"/>
    <col min="9220" max="9220" width="11.140625" style="591" customWidth="1"/>
    <col min="9221" max="9221" width="10.140625" style="591" customWidth="1"/>
    <col min="9222" max="9472" width="9.140625" style="591"/>
    <col min="9473" max="9473" width="22.140625" style="591" customWidth="1"/>
    <col min="9474" max="9474" width="16.28515625" style="591" customWidth="1"/>
    <col min="9475" max="9475" width="15.7109375" style="591" customWidth="1"/>
    <col min="9476" max="9476" width="11.140625" style="591" customWidth="1"/>
    <col min="9477" max="9477" width="10.140625" style="591" customWidth="1"/>
    <col min="9478" max="9728" width="9.140625" style="591"/>
    <col min="9729" max="9729" width="22.140625" style="591" customWidth="1"/>
    <col min="9730" max="9730" width="16.28515625" style="591" customWidth="1"/>
    <col min="9731" max="9731" width="15.7109375" style="591" customWidth="1"/>
    <col min="9732" max="9732" width="11.140625" style="591" customWidth="1"/>
    <col min="9733" max="9733" width="10.140625" style="591" customWidth="1"/>
    <col min="9734" max="9984" width="9.140625" style="591"/>
    <col min="9985" max="9985" width="22.140625" style="591" customWidth="1"/>
    <col min="9986" max="9986" width="16.28515625" style="591" customWidth="1"/>
    <col min="9987" max="9987" width="15.7109375" style="591" customWidth="1"/>
    <col min="9988" max="9988" width="11.140625" style="591" customWidth="1"/>
    <col min="9989" max="9989" width="10.140625" style="591" customWidth="1"/>
    <col min="9990" max="10240" width="9.140625" style="591"/>
    <col min="10241" max="10241" width="22.140625" style="591" customWidth="1"/>
    <col min="10242" max="10242" width="16.28515625" style="591" customWidth="1"/>
    <col min="10243" max="10243" width="15.7109375" style="591" customWidth="1"/>
    <col min="10244" max="10244" width="11.140625" style="591" customWidth="1"/>
    <col min="10245" max="10245" width="10.140625" style="591" customWidth="1"/>
    <col min="10246" max="10496" width="9.140625" style="591"/>
    <col min="10497" max="10497" width="22.140625" style="591" customWidth="1"/>
    <col min="10498" max="10498" width="16.28515625" style="591" customWidth="1"/>
    <col min="10499" max="10499" width="15.7109375" style="591" customWidth="1"/>
    <col min="10500" max="10500" width="11.140625" style="591" customWidth="1"/>
    <col min="10501" max="10501" width="10.140625" style="591" customWidth="1"/>
    <col min="10502" max="10752" width="9.140625" style="591"/>
    <col min="10753" max="10753" width="22.140625" style="591" customWidth="1"/>
    <col min="10754" max="10754" width="16.28515625" style="591" customWidth="1"/>
    <col min="10755" max="10755" width="15.7109375" style="591" customWidth="1"/>
    <col min="10756" max="10756" width="11.140625" style="591" customWidth="1"/>
    <col min="10757" max="10757" width="10.140625" style="591" customWidth="1"/>
    <col min="10758" max="11008" width="9.140625" style="591"/>
    <col min="11009" max="11009" width="22.140625" style="591" customWidth="1"/>
    <col min="11010" max="11010" width="16.28515625" style="591" customWidth="1"/>
    <col min="11011" max="11011" width="15.7109375" style="591" customWidth="1"/>
    <col min="11012" max="11012" width="11.140625" style="591" customWidth="1"/>
    <col min="11013" max="11013" width="10.140625" style="591" customWidth="1"/>
    <col min="11014" max="11264" width="9.140625" style="591"/>
    <col min="11265" max="11265" width="22.140625" style="591" customWidth="1"/>
    <col min="11266" max="11266" width="16.28515625" style="591" customWidth="1"/>
    <col min="11267" max="11267" width="15.7109375" style="591" customWidth="1"/>
    <col min="11268" max="11268" width="11.140625" style="591" customWidth="1"/>
    <col min="11269" max="11269" width="10.140625" style="591" customWidth="1"/>
    <col min="11270" max="11520" width="9.140625" style="591"/>
    <col min="11521" max="11521" width="22.140625" style="591" customWidth="1"/>
    <col min="11522" max="11522" width="16.28515625" style="591" customWidth="1"/>
    <col min="11523" max="11523" width="15.7109375" style="591" customWidth="1"/>
    <col min="11524" max="11524" width="11.140625" style="591" customWidth="1"/>
    <col min="11525" max="11525" width="10.140625" style="591" customWidth="1"/>
    <col min="11526" max="11776" width="9.140625" style="591"/>
    <col min="11777" max="11777" width="22.140625" style="591" customWidth="1"/>
    <col min="11778" max="11778" width="16.28515625" style="591" customWidth="1"/>
    <col min="11779" max="11779" width="15.7109375" style="591" customWidth="1"/>
    <col min="11780" max="11780" width="11.140625" style="591" customWidth="1"/>
    <col min="11781" max="11781" width="10.140625" style="591" customWidth="1"/>
    <col min="11782" max="12032" width="9.140625" style="591"/>
    <col min="12033" max="12033" width="22.140625" style="591" customWidth="1"/>
    <col min="12034" max="12034" width="16.28515625" style="591" customWidth="1"/>
    <col min="12035" max="12035" width="15.7109375" style="591" customWidth="1"/>
    <col min="12036" max="12036" width="11.140625" style="591" customWidth="1"/>
    <col min="12037" max="12037" width="10.140625" style="591" customWidth="1"/>
    <col min="12038" max="12288" width="9.140625" style="591"/>
    <col min="12289" max="12289" width="22.140625" style="591" customWidth="1"/>
    <col min="12290" max="12290" width="16.28515625" style="591" customWidth="1"/>
    <col min="12291" max="12291" width="15.7109375" style="591" customWidth="1"/>
    <col min="12292" max="12292" width="11.140625" style="591" customWidth="1"/>
    <col min="12293" max="12293" width="10.140625" style="591" customWidth="1"/>
    <col min="12294" max="12544" width="9.140625" style="591"/>
    <col min="12545" max="12545" width="22.140625" style="591" customWidth="1"/>
    <col min="12546" max="12546" width="16.28515625" style="591" customWidth="1"/>
    <col min="12547" max="12547" width="15.7109375" style="591" customWidth="1"/>
    <col min="12548" max="12548" width="11.140625" style="591" customWidth="1"/>
    <col min="12549" max="12549" width="10.140625" style="591" customWidth="1"/>
    <col min="12550" max="12800" width="9.140625" style="591"/>
    <col min="12801" max="12801" width="22.140625" style="591" customWidth="1"/>
    <col min="12802" max="12802" width="16.28515625" style="591" customWidth="1"/>
    <col min="12803" max="12803" width="15.7109375" style="591" customWidth="1"/>
    <col min="12804" max="12804" width="11.140625" style="591" customWidth="1"/>
    <col min="12805" max="12805" width="10.140625" style="591" customWidth="1"/>
    <col min="12806" max="13056" width="9.140625" style="591"/>
    <col min="13057" max="13057" width="22.140625" style="591" customWidth="1"/>
    <col min="13058" max="13058" width="16.28515625" style="591" customWidth="1"/>
    <col min="13059" max="13059" width="15.7109375" style="591" customWidth="1"/>
    <col min="13060" max="13060" width="11.140625" style="591" customWidth="1"/>
    <col min="13061" max="13061" width="10.140625" style="591" customWidth="1"/>
    <col min="13062" max="13312" width="9.140625" style="591"/>
    <col min="13313" max="13313" width="22.140625" style="591" customWidth="1"/>
    <col min="13314" max="13314" width="16.28515625" style="591" customWidth="1"/>
    <col min="13315" max="13315" width="15.7109375" style="591" customWidth="1"/>
    <col min="13316" max="13316" width="11.140625" style="591" customWidth="1"/>
    <col min="13317" max="13317" width="10.140625" style="591" customWidth="1"/>
    <col min="13318" max="13568" width="9.140625" style="591"/>
    <col min="13569" max="13569" width="22.140625" style="591" customWidth="1"/>
    <col min="13570" max="13570" width="16.28515625" style="591" customWidth="1"/>
    <col min="13571" max="13571" width="15.7109375" style="591" customWidth="1"/>
    <col min="13572" max="13572" width="11.140625" style="591" customWidth="1"/>
    <col min="13573" max="13573" width="10.140625" style="591" customWidth="1"/>
    <col min="13574" max="13824" width="9.140625" style="591"/>
    <col min="13825" max="13825" width="22.140625" style="591" customWidth="1"/>
    <col min="13826" max="13826" width="16.28515625" style="591" customWidth="1"/>
    <col min="13827" max="13827" width="15.7109375" style="591" customWidth="1"/>
    <col min="13828" max="13828" width="11.140625" style="591" customWidth="1"/>
    <col min="13829" max="13829" width="10.140625" style="591" customWidth="1"/>
    <col min="13830" max="14080" width="9.140625" style="591"/>
    <col min="14081" max="14081" width="22.140625" style="591" customWidth="1"/>
    <col min="14082" max="14082" width="16.28515625" style="591" customWidth="1"/>
    <col min="14083" max="14083" width="15.7109375" style="591" customWidth="1"/>
    <col min="14084" max="14084" width="11.140625" style="591" customWidth="1"/>
    <col min="14085" max="14085" width="10.140625" style="591" customWidth="1"/>
    <col min="14086" max="14336" width="9.140625" style="591"/>
    <col min="14337" max="14337" width="22.140625" style="591" customWidth="1"/>
    <col min="14338" max="14338" width="16.28515625" style="591" customWidth="1"/>
    <col min="14339" max="14339" width="15.7109375" style="591" customWidth="1"/>
    <col min="14340" max="14340" width="11.140625" style="591" customWidth="1"/>
    <col min="14341" max="14341" width="10.140625" style="591" customWidth="1"/>
    <col min="14342" max="14592" width="9.140625" style="591"/>
    <col min="14593" max="14593" width="22.140625" style="591" customWidth="1"/>
    <col min="14594" max="14594" width="16.28515625" style="591" customWidth="1"/>
    <col min="14595" max="14595" width="15.7109375" style="591" customWidth="1"/>
    <col min="14596" max="14596" width="11.140625" style="591" customWidth="1"/>
    <col min="14597" max="14597" width="10.140625" style="591" customWidth="1"/>
    <col min="14598" max="14848" width="9.140625" style="591"/>
    <col min="14849" max="14849" width="22.140625" style="591" customWidth="1"/>
    <col min="14850" max="14850" width="16.28515625" style="591" customWidth="1"/>
    <col min="14851" max="14851" width="15.7109375" style="591" customWidth="1"/>
    <col min="14852" max="14852" width="11.140625" style="591" customWidth="1"/>
    <col min="14853" max="14853" width="10.140625" style="591" customWidth="1"/>
    <col min="14854" max="15104" width="9.140625" style="591"/>
    <col min="15105" max="15105" width="22.140625" style="591" customWidth="1"/>
    <col min="15106" max="15106" width="16.28515625" style="591" customWidth="1"/>
    <col min="15107" max="15107" width="15.7109375" style="591" customWidth="1"/>
    <col min="15108" max="15108" width="11.140625" style="591" customWidth="1"/>
    <col min="15109" max="15109" width="10.140625" style="591" customWidth="1"/>
    <col min="15110" max="15360" width="9.140625" style="591"/>
    <col min="15361" max="15361" width="22.140625" style="591" customWidth="1"/>
    <col min="15362" max="15362" width="16.28515625" style="591" customWidth="1"/>
    <col min="15363" max="15363" width="15.7109375" style="591" customWidth="1"/>
    <col min="15364" max="15364" width="11.140625" style="591" customWidth="1"/>
    <col min="15365" max="15365" width="10.140625" style="591" customWidth="1"/>
    <col min="15366" max="15616" width="9.140625" style="591"/>
    <col min="15617" max="15617" width="22.140625" style="591" customWidth="1"/>
    <col min="15618" max="15618" width="16.28515625" style="591" customWidth="1"/>
    <col min="15619" max="15619" width="15.7109375" style="591" customWidth="1"/>
    <col min="15620" max="15620" width="11.140625" style="591" customWidth="1"/>
    <col min="15621" max="15621" width="10.140625" style="591" customWidth="1"/>
    <col min="15622" max="15872" width="9.140625" style="591"/>
    <col min="15873" max="15873" width="22.140625" style="591" customWidth="1"/>
    <col min="15874" max="15874" width="16.28515625" style="591" customWidth="1"/>
    <col min="15875" max="15875" width="15.7109375" style="591" customWidth="1"/>
    <col min="15876" max="15876" width="11.140625" style="591" customWidth="1"/>
    <col min="15877" max="15877" width="10.140625" style="591" customWidth="1"/>
    <col min="15878" max="16128" width="9.140625" style="591"/>
    <col min="16129" max="16129" width="22.140625" style="591" customWidth="1"/>
    <col min="16130" max="16130" width="16.28515625" style="591" customWidth="1"/>
    <col min="16131" max="16131" width="15.7109375" style="591" customWidth="1"/>
    <col min="16132" max="16132" width="11.140625" style="591" customWidth="1"/>
    <col min="16133" max="16133" width="10.140625" style="591" customWidth="1"/>
    <col min="16134" max="16384" width="9.140625" style="591"/>
  </cols>
  <sheetData>
    <row r="1" spans="1:5" ht="15.75" x14ac:dyDescent="0.25">
      <c r="A1" s="1261" t="s">
        <v>400</v>
      </c>
      <c r="B1" s="1261"/>
      <c r="C1" s="1261"/>
      <c r="D1" s="1261"/>
      <c r="E1" s="1261"/>
    </row>
    <row r="2" spans="1:5" x14ac:dyDescent="0.25">
      <c r="A2" s="1263" t="s">
        <v>558</v>
      </c>
      <c r="B2" s="1263"/>
      <c r="C2" s="1263"/>
      <c r="D2" s="1263"/>
      <c r="E2" s="1263"/>
    </row>
    <row r="3" spans="1:5" ht="15" customHeight="1" x14ac:dyDescent="0.25">
      <c r="A3" s="1264" t="str">
        <f>[7]Dados!A18</f>
        <v>Exercício de 2015</v>
      </c>
      <c r="B3" s="1264"/>
      <c r="C3" s="1264"/>
      <c r="D3" s="1264"/>
      <c r="E3" s="1264"/>
    </row>
    <row r="5" spans="1:5" ht="33.75" customHeight="1" x14ac:dyDescent="0.25">
      <c r="A5" s="552"/>
      <c r="B5" s="552"/>
      <c r="C5" s="552"/>
      <c r="D5" s="1282" t="s">
        <v>559</v>
      </c>
      <c r="E5" s="1282"/>
    </row>
    <row r="6" spans="1:5" ht="27" x14ac:dyDescent="0.25">
      <c r="A6" s="552" t="s">
        <v>87</v>
      </c>
      <c r="B6" s="552" t="s">
        <v>560</v>
      </c>
      <c r="C6" s="552" t="s">
        <v>561</v>
      </c>
      <c r="D6" s="552" t="s">
        <v>562</v>
      </c>
      <c r="E6" s="552" t="s">
        <v>120</v>
      </c>
    </row>
    <row r="7" spans="1:5" x14ac:dyDescent="0.25">
      <c r="A7" s="554" t="s">
        <v>88</v>
      </c>
      <c r="B7" s="555">
        <v>430740</v>
      </c>
      <c r="C7" s="592">
        <v>3340.9319999999998</v>
      </c>
      <c r="D7" s="777">
        <f>B7/C7</f>
        <v>128.9280955134675</v>
      </c>
      <c r="E7" s="591">
        <v>11</v>
      </c>
    </row>
    <row r="8" spans="1:5" x14ac:dyDescent="0.25">
      <c r="A8" s="554" t="s">
        <v>107</v>
      </c>
      <c r="B8" s="555">
        <v>3211568</v>
      </c>
      <c r="C8" s="592">
        <v>15203.933999999999</v>
      </c>
      <c r="D8" s="777">
        <f t="shared" ref="D8:D17" si="0">B8/C8</f>
        <v>211.23269806354068</v>
      </c>
      <c r="E8" s="591">
        <v>3</v>
      </c>
    </row>
    <row r="9" spans="1:5" x14ac:dyDescent="0.25">
      <c r="A9" s="565" t="s">
        <v>90</v>
      </c>
      <c r="B9" s="555">
        <v>1795346</v>
      </c>
      <c r="C9" s="592">
        <v>8904.4590000000007</v>
      </c>
      <c r="D9" s="777">
        <f t="shared" si="0"/>
        <v>201.62325414716378</v>
      </c>
      <c r="E9" s="591">
        <v>4</v>
      </c>
    </row>
    <row r="10" spans="1:5" x14ac:dyDescent="0.25">
      <c r="A10" s="565" t="s">
        <v>91</v>
      </c>
      <c r="B10" s="555">
        <v>151772</v>
      </c>
      <c r="C10" s="592">
        <v>931.58699999999999</v>
      </c>
      <c r="D10" s="777">
        <f t="shared" si="0"/>
        <v>162.91768777365937</v>
      </c>
      <c r="E10" s="591">
        <v>8</v>
      </c>
    </row>
    <row r="11" spans="1:5" x14ac:dyDescent="0.25">
      <c r="A11" s="565" t="s">
        <v>92</v>
      </c>
      <c r="B11" s="555">
        <v>1218330</v>
      </c>
      <c r="C11" s="592">
        <v>6904.241</v>
      </c>
      <c r="D11" s="777">
        <f t="shared" si="0"/>
        <v>176.46110557264731</v>
      </c>
      <c r="E11" s="591">
        <v>5</v>
      </c>
    </row>
    <row r="12" spans="1:5" x14ac:dyDescent="0.25">
      <c r="A12" s="565" t="s">
        <v>93</v>
      </c>
      <c r="B12" s="555">
        <v>796851</v>
      </c>
      <c r="C12" s="592">
        <v>2914.0129999999999</v>
      </c>
      <c r="D12" s="777">
        <f t="shared" si="0"/>
        <v>273.45485418218794</v>
      </c>
      <c r="E12" s="591">
        <v>2</v>
      </c>
    </row>
    <row r="13" spans="1:5" x14ac:dyDescent="0.25">
      <c r="A13" s="565" t="s">
        <v>94</v>
      </c>
      <c r="B13" s="555">
        <v>631454</v>
      </c>
      <c r="C13" s="592">
        <v>3972.2020000000002</v>
      </c>
      <c r="D13" s="777">
        <f t="shared" si="0"/>
        <v>158.96824985234889</v>
      </c>
      <c r="E13" s="591">
        <v>9</v>
      </c>
    </row>
    <row r="14" spans="1:5" x14ac:dyDescent="0.25">
      <c r="A14" s="565" t="s">
        <v>95</v>
      </c>
      <c r="B14" s="555">
        <v>1229930</v>
      </c>
      <c r="C14" s="592">
        <v>9345.1730000000007</v>
      </c>
      <c r="D14" s="777">
        <f t="shared" si="0"/>
        <v>131.61126070111274</v>
      </c>
      <c r="E14" s="591">
        <v>10</v>
      </c>
    </row>
    <row r="15" spans="1:5" x14ac:dyDescent="0.25">
      <c r="A15" s="565" t="s">
        <v>96</v>
      </c>
      <c r="B15" s="555">
        <v>1061452</v>
      </c>
      <c r="C15" s="592">
        <v>3204.0279999999998</v>
      </c>
      <c r="D15" s="777">
        <f t="shared" si="0"/>
        <v>331.28674281248482</v>
      </c>
      <c r="E15" s="591">
        <v>11</v>
      </c>
    </row>
    <row r="16" spans="1:5" x14ac:dyDescent="0.25">
      <c r="A16" s="554" t="s">
        <v>97</v>
      </c>
      <c r="B16" s="555">
        <v>595658</v>
      </c>
      <c r="C16" s="592">
        <v>3442.1750000000002</v>
      </c>
      <c r="D16" s="777">
        <f t="shared" si="0"/>
        <v>173.04698337533679</v>
      </c>
      <c r="E16" s="591">
        <v>6</v>
      </c>
    </row>
    <row r="17" spans="1:12" x14ac:dyDescent="0.25">
      <c r="A17" s="554" t="s">
        <v>98</v>
      </c>
      <c r="B17" s="555">
        <v>372126</v>
      </c>
      <c r="C17" s="592">
        <v>2242.9369999999999</v>
      </c>
      <c r="D17" s="777">
        <f t="shared" si="0"/>
        <v>165.91014370889599</v>
      </c>
      <c r="E17" s="591">
        <v>7</v>
      </c>
    </row>
    <row r="18" spans="1:12" x14ac:dyDescent="0.25">
      <c r="A18" s="552" t="s">
        <v>29</v>
      </c>
      <c r="B18" s="567">
        <f>SUM(B7:B17)</f>
        <v>11495227</v>
      </c>
      <c r="C18" s="593">
        <f>60405.681 - 0.681</f>
        <v>60405</v>
      </c>
      <c r="D18" s="778">
        <f>B18/C18</f>
        <v>190.30257429020776</v>
      </c>
      <c r="E18" s="552"/>
    </row>
    <row r="19" spans="1:12" x14ac:dyDescent="0.25">
      <c r="A19" s="1077" t="s">
        <v>563</v>
      </c>
      <c r="B19" s="594"/>
      <c r="C19" s="594"/>
      <c r="D19" s="594"/>
    </row>
    <row r="20" spans="1:12" x14ac:dyDescent="0.25">
      <c r="A20" s="595" t="s">
        <v>564</v>
      </c>
      <c r="B20" s="595"/>
      <c r="C20" s="595"/>
      <c r="D20" s="595"/>
      <c r="E20" s="595"/>
      <c r="F20" s="595"/>
      <c r="G20" s="595"/>
      <c r="H20" s="595"/>
      <c r="I20" s="595"/>
      <c r="J20" s="595"/>
      <c r="K20" s="595"/>
      <c r="L20" s="595"/>
    </row>
  </sheetData>
  <sheetProtection password="9C8D" sheet="1" objects="1" scenarios="1"/>
  <mergeCells count="4">
    <mergeCell ref="A1:E1"/>
    <mergeCell ref="A2:E2"/>
    <mergeCell ref="A3:E3"/>
    <mergeCell ref="D5:E5"/>
  </mergeCells>
  <pageMargins left="0.511811024" right="0.511811024" top="0.78740157499999996" bottom="0.78740157499999996" header="0.31496062000000002" footer="0.31496062000000002"/>
  <pageSetup paperSize="9" orientation="landscape"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indowProtection="1" workbookViewId="0">
      <selection activeCell="A21" sqref="A21"/>
    </sheetView>
  </sheetViews>
  <sheetFormatPr defaultRowHeight="15" x14ac:dyDescent="0.25"/>
  <cols>
    <col min="1" max="1" width="24.42578125" style="602" customWidth="1"/>
    <col min="2" max="2" width="15.140625" style="602" customWidth="1"/>
    <col min="3" max="3" width="24.140625" style="602" customWidth="1"/>
    <col min="4" max="4" width="16.5703125" style="602" customWidth="1"/>
    <col min="5" max="5" width="29.85546875" style="602" customWidth="1"/>
    <col min="6" max="6" width="11.5703125" style="602" bestFit="1" customWidth="1"/>
    <col min="7" max="256" width="9.140625" style="602"/>
    <col min="257" max="257" width="24.42578125" style="602" customWidth="1"/>
    <col min="258" max="258" width="15.140625" style="602" customWidth="1"/>
    <col min="259" max="259" width="24.140625" style="602" customWidth="1"/>
    <col min="260" max="260" width="16.5703125" style="602" customWidth="1"/>
    <col min="261" max="261" width="29.85546875" style="602" customWidth="1"/>
    <col min="262" max="262" width="11.5703125" style="602" bestFit="1" customWidth="1"/>
    <col min="263" max="512" width="9.140625" style="602"/>
    <col min="513" max="513" width="24.42578125" style="602" customWidth="1"/>
    <col min="514" max="514" width="15.140625" style="602" customWidth="1"/>
    <col min="515" max="515" width="24.140625" style="602" customWidth="1"/>
    <col min="516" max="516" width="16.5703125" style="602" customWidth="1"/>
    <col min="517" max="517" width="29.85546875" style="602" customWidth="1"/>
    <col min="518" max="518" width="11.5703125" style="602" bestFit="1" customWidth="1"/>
    <col min="519" max="768" width="9.140625" style="602"/>
    <col min="769" max="769" width="24.42578125" style="602" customWidth="1"/>
    <col min="770" max="770" width="15.140625" style="602" customWidth="1"/>
    <col min="771" max="771" width="24.140625" style="602" customWidth="1"/>
    <col min="772" max="772" width="16.5703125" style="602" customWidth="1"/>
    <col min="773" max="773" width="29.85546875" style="602" customWidth="1"/>
    <col min="774" max="774" width="11.5703125" style="602" bestFit="1" customWidth="1"/>
    <col min="775" max="1024" width="9.140625" style="602"/>
    <col min="1025" max="1025" width="24.42578125" style="602" customWidth="1"/>
    <col min="1026" max="1026" width="15.140625" style="602" customWidth="1"/>
    <col min="1027" max="1027" width="24.140625" style="602" customWidth="1"/>
    <col min="1028" max="1028" width="16.5703125" style="602" customWidth="1"/>
    <col min="1029" max="1029" width="29.85546875" style="602" customWidth="1"/>
    <col min="1030" max="1030" width="11.5703125" style="602" bestFit="1" customWidth="1"/>
    <col min="1031" max="1280" width="9.140625" style="602"/>
    <col min="1281" max="1281" width="24.42578125" style="602" customWidth="1"/>
    <col min="1282" max="1282" width="15.140625" style="602" customWidth="1"/>
    <col min="1283" max="1283" width="24.140625" style="602" customWidth="1"/>
    <col min="1284" max="1284" width="16.5703125" style="602" customWidth="1"/>
    <col min="1285" max="1285" width="29.85546875" style="602" customWidth="1"/>
    <col min="1286" max="1286" width="11.5703125" style="602" bestFit="1" customWidth="1"/>
    <col min="1287" max="1536" width="9.140625" style="602"/>
    <col min="1537" max="1537" width="24.42578125" style="602" customWidth="1"/>
    <col min="1538" max="1538" width="15.140625" style="602" customWidth="1"/>
    <col min="1539" max="1539" width="24.140625" style="602" customWidth="1"/>
    <col min="1540" max="1540" width="16.5703125" style="602" customWidth="1"/>
    <col min="1541" max="1541" width="29.85546875" style="602" customWidth="1"/>
    <col min="1542" max="1542" width="11.5703125" style="602" bestFit="1" customWidth="1"/>
    <col min="1543" max="1792" width="9.140625" style="602"/>
    <col min="1793" max="1793" width="24.42578125" style="602" customWidth="1"/>
    <col min="1794" max="1794" width="15.140625" style="602" customWidth="1"/>
    <col min="1795" max="1795" width="24.140625" style="602" customWidth="1"/>
    <col min="1796" max="1796" width="16.5703125" style="602" customWidth="1"/>
    <col min="1797" max="1797" width="29.85546875" style="602" customWidth="1"/>
    <col min="1798" max="1798" width="11.5703125" style="602" bestFit="1" customWidth="1"/>
    <col min="1799" max="2048" width="9.140625" style="602"/>
    <col min="2049" max="2049" width="24.42578125" style="602" customWidth="1"/>
    <col min="2050" max="2050" width="15.140625" style="602" customWidth="1"/>
    <col min="2051" max="2051" width="24.140625" style="602" customWidth="1"/>
    <col min="2052" max="2052" width="16.5703125" style="602" customWidth="1"/>
    <col min="2053" max="2053" width="29.85546875" style="602" customWidth="1"/>
    <col min="2054" max="2054" width="11.5703125" style="602" bestFit="1" customWidth="1"/>
    <col min="2055" max="2304" width="9.140625" style="602"/>
    <col min="2305" max="2305" width="24.42578125" style="602" customWidth="1"/>
    <col min="2306" max="2306" width="15.140625" style="602" customWidth="1"/>
    <col min="2307" max="2307" width="24.140625" style="602" customWidth="1"/>
    <col min="2308" max="2308" width="16.5703125" style="602" customWidth="1"/>
    <col min="2309" max="2309" width="29.85546875" style="602" customWidth="1"/>
    <col min="2310" max="2310" width="11.5703125" style="602" bestFit="1" customWidth="1"/>
    <col min="2311" max="2560" width="9.140625" style="602"/>
    <col min="2561" max="2561" width="24.42578125" style="602" customWidth="1"/>
    <col min="2562" max="2562" width="15.140625" style="602" customWidth="1"/>
    <col min="2563" max="2563" width="24.140625" style="602" customWidth="1"/>
    <col min="2564" max="2564" width="16.5703125" style="602" customWidth="1"/>
    <col min="2565" max="2565" width="29.85546875" style="602" customWidth="1"/>
    <col min="2566" max="2566" width="11.5703125" style="602" bestFit="1" customWidth="1"/>
    <col min="2567" max="2816" width="9.140625" style="602"/>
    <col min="2817" max="2817" width="24.42578125" style="602" customWidth="1"/>
    <col min="2818" max="2818" width="15.140625" style="602" customWidth="1"/>
    <col min="2819" max="2819" width="24.140625" style="602" customWidth="1"/>
    <col min="2820" max="2820" width="16.5703125" style="602" customWidth="1"/>
    <col min="2821" max="2821" width="29.85546875" style="602" customWidth="1"/>
    <col min="2822" max="2822" width="11.5703125" style="602" bestFit="1" customWidth="1"/>
    <col min="2823" max="3072" width="9.140625" style="602"/>
    <col min="3073" max="3073" width="24.42578125" style="602" customWidth="1"/>
    <col min="3074" max="3074" width="15.140625" style="602" customWidth="1"/>
    <col min="3075" max="3075" width="24.140625" style="602" customWidth="1"/>
    <col min="3076" max="3076" width="16.5703125" style="602" customWidth="1"/>
    <col min="3077" max="3077" width="29.85546875" style="602" customWidth="1"/>
    <col min="3078" max="3078" width="11.5703125" style="602" bestFit="1" customWidth="1"/>
    <col min="3079" max="3328" width="9.140625" style="602"/>
    <col min="3329" max="3329" width="24.42578125" style="602" customWidth="1"/>
    <col min="3330" max="3330" width="15.140625" style="602" customWidth="1"/>
    <col min="3331" max="3331" width="24.140625" style="602" customWidth="1"/>
    <col min="3332" max="3332" width="16.5703125" style="602" customWidth="1"/>
    <col min="3333" max="3333" width="29.85546875" style="602" customWidth="1"/>
    <col min="3334" max="3334" width="11.5703125" style="602" bestFit="1" customWidth="1"/>
    <col min="3335" max="3584" width="9.140625" style="602"/>
    <col min="3585" max="3585" width="24.42578125" style="602" customWidth="1"/>
    <col min="3586" max="3586" width="15.140625" style="602" customWidth="1"/>
    <col min="3587" max="3587" width="24.140625" style="602" customWidth="1"/>
    <col min="3588" max="3588" width="16.5703125" style="602" customWidth="1"/>
    <col min="3589" max="3589" width="29.85546875" style="602" customWidth="1"/>
    <col min="3590" max="3590" width="11.5703125" style="602" bestFit="1" customWidth="1"/>
    <col min="3591" max="3840" width="9.140625" style="602"/>
    <col min="3841" max="3841" width="24.42578125" style="602" customWidth="1"/>
    <col min="3842" max="3842" width="15.140625" style="602" customWidth="1"/>
    <col min="3843" max="3843" width="24.140625" style="602" customWidth="1"/>
    <col min="3844" max="3844" width="16.5703125" style="602" customWidth="1"/>
    <col min="3845" max="3845" width="29.85546875" style="602" customWidth="1"/>
    <col min="3846" max="3846" width="11.5703125" style="602" bestFit="1" customWidth="1"/>
    <col min="3847" max="4096" width="9.140625" style="602"/>
    <col min="4097" max="4097" width="24.42578125" style="602" customWidth="1"/>
    <col min="4098" max="4098" width="15.140625" style="602" customWidth="1"/>
    <col min="4099" max="4099" width="24.140625" style="602" customWidth="1"/>
    <col min="4100" max="4100" width="16.5703125" style="602" customWidth="1"/>
    <col min="4101" max="4101" width="29.85546875" style="602" customWidth="1"/>
    <col min="4102" max="4102" width="11.5703125" style="602" bestFit="1" customWidth="1"/>
    <col min="4103" max="4352" width="9.140625" style="602"/>
    <col min="4353" max="4353" width="24.42578125" style="602" customWidth="1"/>
    <col min="4354" max="4354" width="15.140625" style="602" customWidth="1"/>
    <col min="4355" max="4355" width="24.140625" style="602" customWidth="1"/>
    <col min="4356" max="4356" width="16.5703125" style="602" customWidth="1"/>
    <col min="4357" max="4357" width="29.85546875" style="602" customWidth="1"/>
    <col min="4358" max="4358" width="11.5703125" style="602" bestFit="1" customWidth="1"/>
    <col min="4359" max="4608" width="9.140625" style="602"/>
    <col min="4609" max="4609" width="24.42578125" style="602" customWidth="1"/>
    <col min="4610" max="4610" width="15.140625" style="602" customWidth="1"/>
    <col min="4611" max="4611" width="24.140625" style="602" customWidth="1"/>
    <col min="4612" max="4612" width="16.5703125" style="602" customWidth="1"/>
    <col min="4613" max="4613" width="29.85546875" style="602" customWidth="1"/>
    <col min="4614" max="4614" width="11.5703125" style="602" bestFit="1" customWidth="1"/>
    <col min="4615" max="4864" width="9.140625" style="602"/>
    <col min="4865" max="4865" width="24.42578125" style="602" customWidth="1"/>
    <col min="4866" max="4866" width="15.140625" style="602" customWidth="1"/>
    <col min="4867" max="4867" width="24.140625" style="602" customWidth="1"/>
    <col min="4868" max="4868" width="16.5703125" style="602" customWidth="1"/>
    <col min="4869" max="4869" width="29.85546875" style="602" customWidth="1"/>
    <col min="4870" max="4870" width="11.5703125" style="602" bestFit="1" customWidth="1"/>
    <col min="4871" max="5120" width="9.140625" style="602"/>
    <col min="5121" max="5121" width="24.42578125" style="602" customWidth="1"/>
    <col min="5122" max="5122" width="15.140625" style="602" customWidth="1"/>
    <col min="5123" max="5123" width="24.140625" style="602" customWidth="1"/>
    <col min="5124" max="5124" width="16.5703125" style="602" customWidth="1"/>
    <col min="5125" max="5125" width="29.85546875" style="602" customWidth="1"/>
    <col min="5126" max="5126" width="11.5703125" style="602" bestFit="1" customWidth="1"/>
    <col min="5127" max="5376" width="9.140625" style="602"/>
    <col min="5377" max="5377" width="24.42578125" style="602" customWidth="1"/>
    <col min="5378" max="5378" width="15.140625" style="602" customWidth="1"/>
    <col min="5379" max="5379" width="24.140625" style="602" customWidth="1"/>
    <col min="5380" max="5380" width="16.5703125" style="602" customWidth="1"/>
    <col min="5381" max="5381" width="29.85546875" style="602" customWidth="1"/>
    <col min="5382" max="5382" width="11.5703125" style="602" bestFit="1" customWidth="1"/>
    <col min="5383" max="5632" width="9.140625" style="602"/>
    <col min="5633" max="5633" width="24.42578125" style="602" customWidth="1"/>
    <col min="5634" max="5634" width="15.140625" style="602" customWidth="1"/>
    <col min="5635" max="5635" width="24.140625" style="602" customWidth="1"/>
    <col min="5636" max="5636" width="16.5703125" style="602" customWidth="1"/>
    <col min="5637" max="5637" width="29.85546875" style="602" customWidth="1"/>
    <col min="5638" max="5638" width="11.5703125" style="602" bestFit="1" customWidth="1"/>
    <col min="5639" max="5888" width="9.140625" style="602"/>
    <col min="5889" max="5889" width="24.42578125" style="602" customWidth="1"/>
    <col min="5890" max="5890" width="15.140625" style="602" customWidth="1"/>
    <col min="5891" max="5891" width="24.140625" style="602" customWidth="1"/>
    <col min="5892" max="5892" width="16.5703125" style="602" customWidth="1"/>
    <col min="5893" max="5893" width="29.85546875" style="602" customWidth="1"/>
    <col min="5894" max="5894" width="11.5703125" style="602" bestFit="1" customWidth="1"/>
    <col min="5895" max="6144" width="9.140625" style="602"/>
    <col min="6145" max="6145" width="24.42578125" style="602" customWidth="1"/>
    <col min="6146" max="6146" width="15.140625" style="602" customWidth="1"/>
    <col min="6147" max="6147" width="24.140625" style="602" customWidth="1"/>
    <col min="6148" max="6148" width="16.5703125" style="602" customWidth="1"/>
    <col min="6149" max="6149" width="29.85546875" style="602" customWidth="1"/>
    <col min="6150" max="6150" width="11.5703125" style="602" bestFit="1" customWidth="1"/>
    <col min="6151" max="6400" width="9.140625" style="602"/>
    <col min="6401" max="6401" width="24.42578125" style="602" customWidth="1"/>
    <col min="6402" max="6402" width="15.140625" style="602" customWidth="1"/>
    <col min="6403" max="6403" width="24.140625" style="602" customWidth="1"/>
    <col min="6404" max="6404" width="16.5703125" style="602" customWidth="1"/>
    <col min="6405" max="6405" width="29.85546875" style="602" customWidth="1"/>
    <col min="6406" max="6406" width="11.5703125" style="602" bestFit="1" customWidth="1"/>
    <col min="6407" max="6656" width="9.140625" style="602"/>
    <col min="6657" max="6657" width="24.42578125" style="602" customWidth="1"/>
    <col min="6658" max="6658" width="15.140625" style="602" customWidth="1"/>
    <col min="6659" max="6659" width="24.140625" style="602" customWidth="1"/>
    <col min="6660" max="6660" width="16.5703125" style="602" customWidth="1"/>
    <col min="6661" max="6661" width="29.85546875" style="602" customWidth="1"/>
    <col min="6662" max="6662" width="11.5703125" style="602" bestFit="1" customWidth="1"/>
    <col min="6663" max="6912" width="9.140625" style="602"/>
    <col min="6913" max="6913" width="24.42578125" style="602" customWidth="1"/>
    <col min="6914" max="6914" width="15.140625" style="602" customWidth="1"/>
    <col min="6915" max="6915" width="24.140625" style="602" customWidth="1"/>
    <col min="6916" max="6916" width="16.5703125" style="602" customWidth="1"/>
    <col min="6917" max="6917" width="29.85546875" style="602" customWidth="1"/>
    <col min="6918" max="6918" width="11.5703125" style="602" bestFit="1" customWidth="1"/>
    <col min="6919" max="7168" width="9.140625" style="602"/>
    <col min="7169" max="7169" width="24.42578125" style="602" customWidth="1"/>
    <col min="7170" max="7170" width="15.140625" style="602" customWidth="1"/>
    <col min="7171" max="7171" width="24.140625" style="602" customWidth="1"/>
    <col min="7172" max="7172" width="16.5703125" style="602" customWidth="1"/>
    <col min="7173" max="7173" width="29.85546875" style="602" customWidth="1"/>
    <col min="7174" max="7174" width="11.5703125" style="602" bestFit="1" customWidth="1"/>
    <col min="7175" max="7424" width="9.140625" style="602"/>
    <col min="7425" max="7425" width="24.42578125" style="602" customWidth="1"/>
    <col min="7426" max="7426" width="15.140625" style="602" customWidth="1"/>
    <col min="7427" max="7427" width="24.140625" style="602" customWidth="1"/>
    <col min="7428" max="7428" width="16.5703125" style="602" customWidth="1"/>
    <col min="7429" max="7429" width="29.85546875" style="602" customWidth="1"/>
    <col min="7430" max="7430" width="11.5703125" style="602" bestFit="1" customWidth="1"/>
    <col min="7431" max="7680" width="9.140625" style="602"/>
    <col min="7681" max="7681" width="24.42578125" style="602" customWidth="1"/>
    <col min="7682" max="7682" width="15.140625" style="602" customWidth="1"/>
    <col min="7683" max="7683" width="24.140625" style="602" customWidth="1"/>
    <col min="7684" max="7684" width="16.5703125" style="602" customWidth="1"/>
    <col min="7685" max="7685" width="29.85546875" style="602" customWidth="1"/>
    <col min="7686" max="7686" width="11.5703125" style="602" bestFit="1" customWidth="1"/>
    <col min="7687" max="7936" width="9.140625" style="602"/>
    <col min="7937" max="7937" width="24.42578125" style="602" customWidth="1"/>
    <col min="7938" max="7938" width="15.140625" style="602" customWidth="1"/>
    <col min="7939" max="7939" width="24.140625" style="602" customWidth="1"/>
    <col min="7940" max="7940" width="16.5703125" style="602" customWidth="1"/>
    <col min="7941" max="7941" width="29.85546875" style="602" customWidth="1"/>
    <col min="7942" max="7942" width="11.5703125" style="602" bestFit="1" customWidth="1"/>
    <col min="7943" max="8192" width="9.140625" style="602"/>
    <col min="8193" max="8193" width="24.42578125" style="602" customWidth="1"/>
    <col min="8194" max="8194" width="15.140625" style="602" customWidth="1"/>
    <col min="8195" max="8195" width="24.140625" style="602" customWidth="1"/>
    <col min="8196" max="8196" width="16.5703125" style="602" customWidth="1"/>
    <col min="8197" max="8197" width="29.85546875" style="602" customWidth="1"/>
    <col min="8198" max="8198" width="11.5703125" style="602" bestFit="1" customWidth="1"/>
    <col min="8199" max="8448" width="9.140625" style="602"/>
    <col min="8449" max="8449" width="24.42578125" style="602" customWidth="1"/>
    <col min="8450" max="8450" width="15.140625" style="602" customWidth="1"/>
    <col min="8451" max="8451" width="24.140625" style="602" customWidth="1"/>
    <col min="8452" max="8452" width="16.5703125" style="602" customWidth="1"/>
    <col min="8453" max="8453" width="29.85546875" style="602" customWidth="1"/>
    <col min="8454" max="8454" width="11.5703125" style="602" bestFit="1" customWidth="1"/>
    <col min="8455" max="8704" width="9.140625" style="602"/>
    <col min="8705" max="8705" width="24.42578125" style="602" customWidth="1"/>
    <col min="8706" max="8706" width="15.140625" style="602" customWidth="1"/>
    <col min="8707" max="8707" width="24.140625" style="602" customWidth="1"/>
    <col min="8708" max="8708" width="16.5703125" style="602" customWidth="1"/>
    <col min="8709" max="8709" width="29.85546875" style="602" customWidth="1"/>
    <col min="8710" max="8710" width="11.5703125" style="602" bestFit="1" customWidth="1"/>
    <col min="8711" max="8960" width="9.140625" style="602"/>
    <col min="8961" max="8961" width="24.42578125" style="602" customWidth="1"/>
    <col min="8962" max="8962" width="15.140625" style="602" customWidth="1"/>
    <col min="8963" max="8963" width="24.140625" style="602" customWidth="1"/>
    <col min="8964" max="8964" width="16.5703125" style="602" customWidth="1"/>
    <col min="8965" max="8965" width="29.85546875" style="602" customWidth="1"/>
    <col min="8966" max="8966" width="11.5703125" style="602" bestFit="1" customWidth="1"/>
    <col min="8967" max="9216" width="9.140625" style="602"/>
    <col min="9217" max="9217" width="24.42578125" style="602" customWidth="1"/>
    <col min="9218" max="9218" width="15.140625" style="602" customWidth="1"/>
    <col min="9219" max="9219" width="24.140625" style="602" customWidth="1"/>
    <col min="9220" max="9220" width="16.5703125" style="602" customWidth="1"/>
    <col min="9221" max="9221" width="29.85546875" style="602" customWidth="1"/>
    <col min="9222" max="9222" width="11.5703125" style="602" bestFit="1" customWidth="1"/>
    <col min="9223" max="9472" width="9.140625" style="602"/>
    <col min="9473" max="9473" width="24.42578125" style="602" customWidth="1"/>
    <col min="9474" max="9474" width="15.140625" style="602" customWidth="1"/>
    <col min="9475" max="9475" width="24.140625" style="602" customWidth="1"/>
    <col min="9476" max="9476" width="16.5703125" style="602" customWidth="1"/>
    <col min="9477" max="9477" width="29.85546875" style="602" customWidth="1"/>
    <col min="9478" max="9478" width="11.5703125" style="602" bestFit="1" customWidth="1"/>
    <col min="9479" max="9728" width="9.140625" style="602"/>
    <col min="9729" max="9729" width="24.42578125" style="602" customWidth="1"/>
    <col min="9730" max="9730" width="15.140625" style="602" customWidth="1"/>
    <col min="9731" max="9731" width="24.140625" style="602" customWidth="1"/>
    <col min="9732" max="9732" width="16.5703125" style="602" customWidth="1"/>
    <col min="9733" max="9733" width="29.85546875" style="602" customWidth="1"/>
    <col min="9734" max="9734" width="11.5703125" style="602" bestFit="1" customWidth="1"/>
    <col min="9735" max="9984" width="9.140625" style="602"/>
    <col min="9985" max="9985" width="24.42578125" style="602" customWidth="1"/>
    <col min="9986" max="9986" width="15.140625" style="602" customWidth="1"/>
    <col min="9987" max="9987" width="24.140625" style="602" customWidth="1"/>
    <col min="9988" max="9988" width="16.5703125" style="602" customWidth="1"/>
    <col min="9989" max="9989" width="29.85546875" style="602" customWidth="1"/>
    <col min="9990" max="9990" width="11.5703125" style="602" bestFit="1" customWidth="1"/>
    <col min="9991" max="10240" width="9.140625" style="602"/>
    <col min="10241" max="10241" width="24.42578125" style="602" customWidth="1"/>
    <col min="10242" max="10242" width="15.140625" style="602" customWidth="1"/>
    <col min="10243" max="10243" width="24.140625" style="602" customWidth="1"/>
    <col min="10244" max="10244" width="16.5703125" style="602" customWidth="1"/>
    <col min="10245" max="10245" width="29.85546875" style="602" customWidth="1"/>
    <col min="10246" max="10246" width="11.5703125" style="602" bestFit="1" customWidth="1"/>
    <col min="10247" max="10496" width="9.140625" style="602"/>
    <col min="10497" max="10497" width="24.42578125" style="602" customWidth="1"/>
    <col min="10498" max="10498" width="15.140625" style="602" customWidth="1"/>
    <col min="10499" max="10499" width="24.140625" style="602" customWidth="1"/>
    <col min="10500" max="10500" width="16.5703125" style="602" customWidth="1"/>
    <col min="10501" max="10501" width="29.85546875" style="602" customWidth="1"/>
    <col min="10502" max="10502" width="11.5703125" style="602" bestFit="1" customWidth="1"/>
    <col min="10503" max="10752" width="9.140625" style="602"/>
    <col min="10753" max="10753" width="24.42578125" style="602" customWidth="1"/>
    <col min="10754" max="10754" width="15.140625" style="602" customWidth="1"/>
    <col min="10755" max="10755" width="24.140625" style="602" customWidth="1"/>
    <col min="10756" max="10756" width="16.5703125" style="602" customWidth="1"/>
    <col min="10757" max="10757" width="29.85546875" style="602" customWidth="1"/>
    <col min="10758" max="10758" width="11.5703125" style="602" bestFit="1" customWidth="1"/>
    <col min="10759" max="11008" width="9.140625" style="602"/>
    <col min="11009" max="11009" width="24.42578125" style="602" customWidth="1"/>
    <col min="11010" max="11010" width="15.140625" style="602" customWidth="1"/>
    <col min="11011" max="11011" width="24.140625" style="602" customWidth="1"/>
    <col min="11012" max="11012" width="16.5703125" style="602" customWidth="1"/>
    <col min="11013" max="11013" width="29.85546875" style="602" customWidth="1"/>
    <col min="11014" max="11014" width="11.5703125" style="602" bestFit="1" customWidth="1"/>
    <col min="11015" max="11264" width="9.140625" style="602"/>
    <col min="11265" max="11265" width="24.42578125" style="602" customWidth="1"/>
    <col min="11266" max="11266" width="15.140625" style="602" customWidth="1"/>
    <col min="11267" max="11267" width="24.140625" style="602" customWidth="1"/>
    <col min="11268" max="11268" width="16.5703125" style="602" customWidth="1"/>
    <col min="11269" max="11269" width="29.85546875" style="602" customWidth="1"/>
    <col min="11270" max="11270" width="11.5703125" style="602" bestFit="1" customWidth="1"/>
    <col min="11271" max="11520" width="9.140625" style="602"/>
    <col min="11521" max="11521" width="24.42578125" style="602" customWidth="1"/>
    <col min="11522" max="11522" width="15.140625" style="602" customWidth="1"/>
    <col min="11523" max="11523" width="24.140625" style="602" customWidth="1"/>
    <col min="11524" max="11524" width="16.5703125" style="602" customWidth="1"/>
    <col min="11525" max="11525" width="29.85546875" style="602" customWidth="1"/>
    <col min="11526" max="11526" width="11.5703125" style="602" bestFit="1" customWidth="1"/>
    <col min="11527" max="11776" width="9.140625" style="602"/>
    <col min="11777" max="11777" width="24.42578125" style="602" customWidth="1"/>
    <col min="11778" max="11778" width="15.140625" style="602" customWidth="1"/>
    <col min="11779" max="11779" width="24.140625" style="602" customWidth="1"/>
    <col min="11780" max="11780" width="16.5703125" style="602" customWidth="1"/>
    <col min="11781" max="11781" width="29.85546875" style="602" customWidth="1"/>
    <col min="11782" max="11782" width="11.5703125" style="602" bestFit="1" customWidth="1"/>
    <col min="11783" max="12032" width="9.140625" style="602"/>
    <col min="12033" max="12033" width="24.42578125" style="602" customWidth="1"/>
    <col min="12034" max="12034" width="15.140625" style="602" customWidth="1"/>
    <col min="12035" max="12035" width="24.140625" style="602" customWidth="1"/>
    <col min="12036" max="12036" width="16.5703125" style="602" customWidth="1"/>
    <col min="12037" max="12037" width="29.85546875" style="602" customWidth="1"/>
    <col min="12038" max="12038" width="11.5703125" style="602" bestFit="1" customWidth="1"/>
    <col min="12039" max="12288" width="9.140625" style="602"/>
    <col min="12289" max="12289" width="24.42578125" style="602" customWidth="1"/>
    <col min="12290" max="12290" width="15.140625" style="602" customWidth="1"/>
    <col min="12291" max="12291" width="24.140625" style="602" customWidth="1"/>
    <col min="12292" max="12292" width="16.5703125" style="602" customWidth="1"/>
    <col min="12293" max="12293" width="29.85546875" style="602" customWidth="1"/>
    <col min="12294" max="12294" width="11.5703125" style="602" bestFit="1" customWidth="1"/>
    <col min="12295" max="12544" width="9.140625" style="602"/>
    <col min="12545" max="12545" width="24.42578125" style="602" customWidth="1"/>
    <col min="12546" max="12546" width="15.140625" style="602" customWidth="1"/>
    <col min="12547" max="12547" width="24.140625" style="602" customWidth="1"/>
    <col min="12548" max="12548" width="16.5703125" style="602" customWidth="1"/>
    <col min="12549" max="12549" width="29.85546875" style="602" customWidth="1"/>
    <col min="12550" max="12550" width="11.5703125" style="602" bestFit="1" customWidth="1"/>
    <col min="12551" max="12800" width="9.140625" style="602"/>
    <col min="12801" max="12801" width="24.42578125" style="602" customWidth="1"/>
    <col min="12802" max="12802" width="15.140625" style="602" customWidth="1"/>
    <col min="12803" max="12803" width="24.140625" style="602" customWidth="1"/>
    <col min="12804" max="12804" width="16.5703125" style="602" customWidth="1"/>
    <col min="12805" max="12805" width="29.85546875" style="602" customWidth="1"/>
    <col min="12806" max="12806" width="11.5703125" style="602" bestFit="1" customWidth="1"/>
    <col min="12807" max="13056" width="9.140625" style="602"/>
    <col min="13057" max="13057" width="24.42578125" style="602" customWidth="1"/>
    <col min="13058" max="13058" width="15.140625" style="602" customWidth="1"/>
    <col min="13059" max="13059" width="24.140625" style="602" customWidth="1"/>
    <col min="13060" max="13060" width="16.5703125" style="602" customWidth="1"/>
    <col min="13061" max="13061" width="29.85546875" style="602" customWidth="1"/>
    <col min="13062" max="13062" width="11.5703125" style="602" bestFit="1" customWidth="1"/>
    <col min="13063" max="13312" width="9.140625" style="602"/>
    <col min="13313" max="13313" width="24.42578125" style="602" customWidth="1"/>
    <col min="13314" max="13314" width="15.140625" style="602" customWidth="1"/>
    <col min="13315" max="13315" width="24.140625" style="602" customWidth="1"/>
    <col min="13316" max="13316" width="16.5703125" style="602" customWidth="1"/>
    <col min="13317" max="13317" width="29.85546875" style="602" customWidth="1"/>
    <col min="13318" max="13318" width="11.5703125" style="602" bestFit="1" customWidth="1"/>
    <col min="13319" max="13568" width="9.140625" style="602"/>
    <col min="13569" max="13569" width="24.42578125" style="602" customWidth="1"/>
    <col min="13570" max="13570" width="15.140625" style="602" customWidth="1"/>
    <col min="13571" max="13571" width="24.140625" style="602" customWidth="1"/>
    <col min="13572" max="13572" width="16.5703125" style="602" customWidth="1"/>
    <col min="13573" max="13573" width="29.85546875" style="602" customWidth="1"/>
    <col min="13574" max="13574" width="11.5703125" style="602" bestFit="1" customWidth="1"/>
    <col min="13575" max="13824" width="9.140625" style="602"/>
    <col min="13825" max="13825" width="24.42578125" style="602" customWidth="1"/>
    <col min="13826" max="13826" width="15.140625" style="602" customWidth="1"/>
    <col min="13827" max="13827" width="24.140625" style="602" customWidth="1"/>
    <col min="13828" max="13828" width="16.5703125" style="602" customWidth="1"/>
    <col min="13829" max="13829" width="29.85546875" style="602" customWidth="1"/>
    <col min="13830" max="13830" width="11.5703125" style="602" bestFit="1" customWidth="1"/>
    <col min="13831" max="14080" width="9.140625" style="602"/>
    <col min="14081" max="14081" width="24.42578125" style="602" customWidth="1"/>
    <col min="14082" max="14082" width="15.140625" style="602" customWidth="1"/>
    <col min="14083" max="14083" width="24.140625" style="602" customWidth="1"/>
    <col min="14084" max="14084" width="16.5703125" style="602" customWidth="1"/>
    <col min="14085" max="14085" width="29.85546875" style="602" customWidth="1"/>
    <col min="14086" max="14086" width="11.5703125" style="602" bestFit="1" customWidth="1"/>
    <col min="14087" max="14336" width="9.140625" style="602"/>
    <col min="14337" max="14337" width="24.42578125" style="602" customWidth="1"/>
    <col min="14338" max="14338" width="15.140625" style="602" customWidth="1"/>
    <col min="14339" max="14339" width="24.140625" style="602" customWidth="1"/>
    <col min="14340" max="14340" width="16.5703125" style="602" customWidth="1"/>
    <col min="14341" max="14341" width="29.85546875" style="602" customWidth="1"/>
    <col min="14342" max="14342" width="11.5703125" style="602" bestFit="1" customWidth="1"/>
    <col min="14343" max="14592" width="9.140625" style="602"/>
    <col min="14593" max="14593" width="24.42578125" style="602" customWidth="1"/>
    <col min="14594" max="14594" width="15.140625" style="602" customWidth="1"/>
    <col min="14595" max="14595" width="24.140625" style="602" customWidth="1"/>
    <col min="14596" max="14596" width="16.5703125" style="602" customWidth="1"/>
    <col min="14597" max="14597" width="29.85546875" style="602" customWidth="1"/>
    <col min="14598" max="14598" width="11.5703125" style="602" bestFit="1" customWidth="1"/>
    <col min="14599" max="14848" width="9.140625" style="602"/>
    <col min="14849" max="14849" width="24.42578125" style="602" customWidth="1"/>
    <col min="14850" max="14850" width="15.140625" style="602" customWidth="1"/>
    <col min="14851" max="14851" width="24.140625" style="602" customWidth="1"/>
    <col min="14852" max="14852" width="16.5703125" style="602" customWidth="1"/>
    <col min="14853" max="14853" width="29.85546875" style="602" customWidth="1"/>
    <col min="14854" max="14854" width="11.5703125" style="602" bestFit="1" customWidth="1"/>
    <col min="14855" max="15104" width="9.140625" style="602"/>
    <col min="15105" max="15105" width="24.42578125" style="602" customWidth="1"/>
    <col min="15106" max="15106" width="15.140625" style="602" customWidth="1"/>
    <col min="15107" max="15107" width="24.140625" style="602" customWidth="1"/>
    <col min="15108" max="15108" width="16.5703125" style="602" customWidth="1"/>
    <col min="15109" max="15109" width="29.85546875" style="602" customWidth="1"/>
    <col min="15110" max="15110" width="11.5703125" style="602" bestFit="1" customWidth="1"/>
    <col min="15111" max="15360" width="9.140625" style="602"/>
    <col min="15361" max="15361" width="24.42578125" style="602" customWidth="1"/>
    <col min="15362" max="15362" width="15.140625" style="602" customWidth="1"/>
    <col min="15363" max="15363" width="24.140625" style="602" customWidth="1"/>
    <col min="15364" max="15364" width="16.5703125" style="602" customWidth="1"/>
    <col min="15365" max="15365" width="29.85546875" style="602" customWidth="1"/>
    <col min="15366" max="15366" width="11.5703125" style="602" bestFit="1" customWidth="1"/>
    <col min="15367" max="15616" width="9.140625" style="602"/>
    <col min="15617" max="15617" width="24.42578125" style="602" customWidth="1"/>
    <col min="15618" max="15618" width="15.140625" style="602" customWidth="1"/>
    <col min="15619" max="15619" width="24.140625" style="602" customWidth="1"/>
    <col min="15620" max="15620" width="16.5703125" style="602" customWidth="1"/>
    <col min="15621" max="15621" width="29.85546875" style="602" customWidth="1"/>
    <col min="15622" max="15622" width="11.5703125" style="602" bestFit="1" customWidth="1"/>
    <col min="15623" max="15872" width="9.140625" style="602"/>
    <col min="15873" max="15873" width="24.42578125" style="602" customWidth="1"/>
    <col min="15874" max="15874" width="15.140625" style="602" customWidth="1"/>
    <col min="15875" max="15875" width="24.140625" style="602" customWidth="1"/>
    <col min="15876" max="15876" width="16.5703125" style="602" customWidth="1"/>
    <col min="15877" max="15877" width="29.85546875" style="602" customWidth="1"/>
    <col min="15878" max="15878" width="11.5703125" style="602" bestFit="1" customWidth="1"/>
    <col min="15879" max="16128" width="9.140625" style="602"/>
    <col min="16129" max="16129" width="24.42578125" style="602" customWidth="1"/>
    <col min="16130" max="16130" width="15.140625" style="602" customWidth="1"/>
    <col min="16131" max="16131" width="24.140625" style="602" customWidth="1"/>
    <col min="16132" max="16132" width="16.5703125" style="602" customWidth="1"/>
    <col min="16133" max="16133" width="29.85546875" style="602" customWidth="1"/>
    <col min="16134" max="16134" width="11.5703125" style="602" bestFit="1" customWidth="1"/>
    <col min="16135" max="16384" width="9.140625" style="602"/>
  </cols>
  <sheetData>
    <row r="1" spans="1:5" ht="15.75" x14ac:dyDescent="0.25">
      <c r="A1" s="1261" t="s">
        <v>724</v>
      </c>
      <c r="B1" s="1261"/>
      <c r="C1" s="1261"/>
      <c r="D1" s="1261"/>
      <c r="E1" s="1261"/>
    </row>
    <row r="2" spans="1:5" x14ac:dyDescent="0.25">
      <c r="A2" s="1263" t="s">
        <v>572</v>
      </c>
      <c r="B2" s="1263"/>
      <c r="C2" s="1263"/>
      <c r="D2" s="1263"/>
      <c r="E2" s="1263"/>
    </row>
    <row r="3" spans="1:5" x14ac:dyDescent="0.25">
      <c r="A3" s="1264" t="str">
        <f>[7]Dados!A18</f>
        <v>Exercício de 2015</v>
      </c>
      <c r="B3" s="1264"/>
      <c r="C3" s="1264"/>
      <c r="D3" s="1264"/>
      <c r="E3" s="1264"/>
    </row>
    <row r="5" spans="1:5" ht="28.5" customHeight="1" x14ac:dyDescent="0.25">
      <c r="A5" s="1285" t="s">
        <v>565</v>
      </c>
      <c r="B5" s="1285" t="s">
        <v>566</v>
      </c>
      <c r="C5" s="1285"/>
      <c r="D5" s="1285" t="s">
        <v>729</v>
      </c>
      <c r="E5" s="1285"/>
    </row>
    <row r="6" spans="1:5" x14ac:dyDescent="0.25">
      <c r="A6" s="1285"/>
      <c r="B6" s="603" t="s">
        <v>8</v>
      </c>
      <c r="C6" s="604" t="s">
        <v>120</v>
      </c>
      <c r="D6" s="603" t="s">
        <v>8</v>
      </c>
      <c r="E6" s="604" t="s">
        <v>120</v>
      </c>
    </row>
    <row r="7" spans="1:5" x14ac:dyDescent="0.25">
      <c r="A7" s="809" t="s">
        <v>88</v>
      </c>
      <c r="B7" s="810">
        <v>3.9735697486363457</v>
      </c>
      <c r="C7" s="811">
        <v>10</v>
      </c>
      <c r="D7" s="810">
        <v>1.7401807165591021</v>
      </c>
      <c r="E7" s="811">
        <v>4</v>
      </c>
    </row>
    <row r="8" spans="1:5" x14ac:dyDescent="0.25">
      <c r="A8" s="809" t="s">
        <v>107</v>
      </c>
      <c r="B8" s="810">
        <v>12.437198535107811</v>
      </c>
      <c r="C8" s="811">
        <v>3</v>
      </c>
      <c r="D8" s="810">
        <v>0.91654646803816764</v>
      </c>
      <c r="E8" s="811">
        <v>8</v>
      </c>
    </row>
    <row r="9" spans="1:5" x14ac:dyDescent="0.25">
      <c r="A9" s="809" t="s">
        <v>90</v>
      </c>
      <c r="B9" s="810">
        <v>7.9115975198456381</v>
      </c>
      <c r="C9" s="811">
        <v>8</v>
      </c>
      <c r="D9" s="810">
        <v>1.8971553056951265</v>
      </c>
      <c r="E9" s="811">
        <v>2</v>
      </c>
    </row>
    <row r="10" spans="1:5" ht="16.5" x14ac:dyDescent="0.25">
      <c r="A10" s="809" t="s">
        <v>567</v>
      </c>
      <c r="B10" s="810">
        <v>3.3576488495398022</v>
      </c>
      <c r="C10" s="811">
        <v>11</v>
      </c>
      <c r="D10" s="810">
        <v>0.71557792440279289</v>
      </c>
      <c r="E10" s="811">
        <v>9</v>
      </c>
    </row>
    <row r="11" spans="1:5" x14ac:dyDescent="0.25">
      <c r="A11" s="809" t="s">
        <v>92</v>
      </c>
      <c r="B11" s="810">
        <v>10.651666099901524</v>
      </c>
      <c r="C11" s="811">
        <v>6</v>
      </c>
      <c r="D11" s="810">
        <v>0.2838443169696665</v>
      </c>
      <c r="E11" s="811">
        <v>11</v>
      </c>
    </row>
    <row r="12" spans="1:5" ht="16.5" x14ac:dyDescent="0.25">
      <c r="A12" s="809" t="s">
        <v>568</v>
      </c>
      <c r="B12" s="810">
        <v>11.395629346966752</v>
      </c>
      <c r="C12" s="811">
        <v>4</v>
      </c>
      <c r="D12" s="810">
        <v>4.9925119281822177</v>
      </c>
      <c r="E12" s="811">
        <v>1</v>
      </c>
    </row>
    <row r="13" spans="1:5" x14ac:dyDescent="0.25">
      <c r="A13" s="809" t="s">
        <v>94</v>
      </c>
      <c r="B13" s="810">
        <v>12.587751212455586</v>
      </c>
      <c r="C13" s="811">
        <v>2</v>
      </c>
      <c r="D13" s="810">
        <v>1.7785934360820579</v>
      </c>
      <c r="E13" s="811">
        <v>3</v>
      </c>
    </row>
    <row r="14" spans="1:5" x14ac:dyDescent="0.25">
      <c r="A14" s="809" t="s">
        <v>95</v>
      </c>
      <c r="B14" s="810">
        <v>7.7482372886251945</v>
      </c>
      <c r="C14" s="811">
        <v>9</v>
      </c>
      <c r="D14" s="810">
        <v>1.0817722470597033</v>
      </c>
      <c r="E14" s="811">
        <v>7</v>
      </c>
    </row>
    <row r="15" spans="1:5" x14ac:dyDescent="0.25">
      <c r="A15" s="809" t="s">
        <v>96</v>
      </c>
      <c r="B15" s="810">
        <v>34.867876380862143</v>
      </c>
      <c r="C15" s="811">
        <v>1</v>
      </c>
      <c r="D15" s="810">
        <v>1.3382594991116554</v>
      </c>
      <c r="E15" s="811">
        <v>6</v>
      </c>
    </row>
    <row r="16" spans="1:5" ht="18" customHeight="1" x14ac:dyDescent="0.25">
      <c r="A16" s="809" t="s">
        <v>97</v>
      </c>
      <c r="B16" s="810">
        <v>11.28907372427259</v>
      </c>
      <c r="C16" s="811">
        <v>5</v>
      </c>
      <c r="D16" s="810">
        <v>1.4212926240241255</v>
      </c>
      <c r="E16" s="811">
        <v>5</v>
      </c>
    </row>
    <row r="17" spans="1:5" x14ac:dyDescent="0.25">
      <c r="A17" s="809" t="s">
        <v>98</v>
      </c>
      <c r="B17" s="810">
        <v>8.7611894538023591</v>
      </c>
      <c r="C17" s="811">
        <v>7</v>
      </c>
      <c r="D17" s="810">
        <v>0.69730769752913713</v>
      </c>
      <c r="E17" s="811">
        <v>10</v>
      </c>
    </row>
    <row r="18" spans="1:5" ht="26.25" customHeight="1" thickBot="1" x14ac:dyDescent="0.3">
      <c r="A18" s="812" t="s">
        <v>569</v>
      </c>
      <c r="B18" s="813">
        <v>10.898190189759198</v>
      </c>
      <c r="C18" s="814" t="s">
        <v>121</v>
      </c>
      <c r="D18" s="813">
        <v>1.2721896307743155</v>
      </c>
      <c r="E18" s="815" t="s">
        <v>121</v>
      </c>
    </row>
    <row r="19" spans="1:5" ht="23.25" customHeight="1" x14ac:dyDescent="0.25">
      <c r="A19" s="1283" t="s">
        <v>570</v>
      </c>
      <c r="B19" s="1283"/>
      <c r="C19" s="1283"/>
      <c r="D19" s="1283"/>
      <c r="E19" s="1283"/>
    </row>
    <row r="20" spans="1:5" ht="52.5" customHeight="1" x14ac:dyDescent="0.25">
      <c r="A20" s="1284" t="s">
        <v>1053</v>
      </c>
      <c r="B20" s="1284"/>
      <c r="C20" s="1284"/>
      <c r="D20" s="1284"/>
      <c r="E20" s="1284"/>
    </row>
  </sheetData>
  <sheetProtection password="9C8D" sheet="1" objects="1" scenarios="1"/>
  <mergeCells count="8">
    <mergeCell ref="A19:E19"/>
    <mergeCell ref="A20:E20"/>
    <mergeCell ref="A1:E1"/>
    <mergeCell ref="A2:E2"/>
    <mergeCell ref="A3:E3"/>
    <mergeCell ref="A5:A6"/>
    <mergeCell ref="B5:C5"/>
    <mergeCell ref="D5:E5"/>
  </mergeCells>
  <pageMargins left="0.511811024" right="0.511811024" top="0.78740157499999996" bottom="0.78740157499999996" header="0.31496062000000002" footer="0.3149606200000000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indowProtection="1" showGridLines="0" workbookViewId="0">
      <selection activeCell="F6" sqref="F6"/>
    </sheetView>
  </sheetViews>
  <sheetFormatPr defaultRowHeight="12.75" x14ac:dyDescent="0.2"/>
  <cols>
    <col min="1" max="1" width="21.85546875" customWidth="1"/>
    <col min="2" max="2" width="15.5703125" customWidth="1"/>
    <col min="3" max="3" width="16.5703125" bestFit="1" customWidth="1"/>
    <col min="4" max="4" width="18.7109375" customWidth="1"/>
    <col min="5" max="5" width="14.42578125" customWidth="1"/>
    <col min="6" max="6" width="13.7109375" customWidth="1"/>
  </cols>
  <sheetData>
    <row r="1" spans="1:7" ht="15.75" x14ac:dyDescent="0.2">
      <c r="A1" s="1184" t="s">
        <v>724</v>
      </c>
      <c r="B1" s="1286"/>
      <c r="C1" s="1286"/>
      <c r="D1" s="1286"/>
      <c r="E1" s="1286"/>
    </row>
    <row r="2" spans="1:7" ht="16.5" customHeight="1" x14ac:dyDescent="0.2">
      <c r="A2" s="1186" t="s">
        <v>725</v>
      </c>
      <c r="B2" s="1187"/>
      <c r="C2" s="1187"/>
      <c r="D2" s="1187"/>
      <c r="E2" s="1187"/>
    </row>
    <row r="3" spans="1:7" ht="16.5" customHeight="1" x14ac:dyDescent="0.2">
      <c r="A3" s="1186" t="str">
        <f>[8]Dados!A18</f>
        <v>Exercício de 2015</v>
      </c>
      <c r="B3" s="1187"/>
      <c r="C3" s="1187"/>
      <c r="D3" s="1187"/>
      <c r="E3" s="1187"/>
    </row>
    <row r="4" spans="1:7" x14ac:dyDescent="0.2">
      <c r="A4" s="794"/>
      <c r="B4" s="794"/>
      <c r="C4" s="794"/>
      <c r="D4" s="795"/>
      <c r="E4" s="794"/>
    </row>
    <row r="5" spans="1:7" ht="15" x14ac:dyDescent="0.2">
      <c r="A5" s="1189" t="s">
        <v>1</v>
      </c>
      <c r="B5" s="1189"/>
      <c r="C5" s="1189"/>
      <c r="D5" s="1189"/>
      <c r="E5" s="1189"/>
      <c r="F5" s="345"/>
    </row>
    <row r="6" spans="1:7" ht="39.75" customHeight="1" x14ac:dyDescent="0.2">
      <c r="A6" s="202" t="s">
        <v>111</v>
      </c>
      <c r="B6" s="202" t="s">
        <v>529</v>
      </c>
      <c r="C6" s="202" t="s">
        <v>8</v>
      </c>
      <c r="D6" s="202" t="s">
        <v>7</v>
      </c>
      <c r="E6" s="202" t="s">
        <v>8</v>
      </c>
      <c r="F6" s="779"/>
      <c r="G6" s="150"/>
    </row>
    <row r="7" spans="1:7" ht="23.25" customHeight="1" x14ac:dyDescent="0.2">
      <c r="A7" s="796" t="s">
        <v>203</v>
      </c>
      <c r="B7" s="797">
        <v>967360</v>
      </c>
      <c r="C7" s="102">
        <f>IF($B$9=0,0,ROUND(B7/$B$9*100,1))</f>
        <v>66.099999999999994</v>
      </c>
      <c r="D7" s="134">
        <v>4072675</v>
      </c>
      <c r="E7" s="102">
        <f>IF($D$9=0,0,ROUND(D7/$D$9*100,1))</f>
        <v>35.4</v>
      </c>
      <c r="F7" s="798"/>
    </row>
    <row r="8" spans="1:7" ht="24" customHeight="1" x14ac:dyDescent="0.2">
      <c r="A8" s="796" t="s">
        <v>538</v>
      </c>
      <c r="B8" s="453">
        <v>495042</v>
      </c>
      <c r="C8" s="102">
        <f>IF($B$9=0,0,ROUND(B8/$B$9*100,1))</f>
        <v>33.9</v>
      </c>
      <c r="D8" s="134">
        <v>7422552</v>
      </c>
      <c r="E8" s="102">
        <f>IF($D$9=0,0,ROUND(D8/$D$9*100,1))</f>
        <v>64.599999999999994</v>
      </c>
      <c r="F8" s="799"/>
    </row>
    <row r="9" spans="1:7" ht="23.25" customHeight="1" x14ac:dyDescent="0.2">
      <c r="A9" s="202" t="s">
        <v>530</v>
      </c>
      <c r="B9" s="298">
        <f>SUM(B7:B8)</f>
        <v>1462402</v>
      </c>
      <c r="C9" s="800">
        <f>SUM(C7:C8)</f>
        <v>100</v>
      </c>
      <c r="D9" s="298">
        <f>SUM(D7:D8)</f>
        <v>11495227</v>
      </c>
      <c r="E9" s="800">
        <f>SUM(E7:E8)</f>
        <v>100</v>
      </c>
      <c r="F9" s="258"/>
    </row>
    <row r="10" spans="1:7" x14ac:dyDescent="0.2">
      <c r="A10" s="1287" t="s">
        <v>185</v>
      </c>
      <c r="B10" s="1287"/>
      <c r="C10" s="1287"/>
      <c r="D10" s="1287"/>
      <c r="E10" s="1287"/>
    </row>
    <row r="11" spans="1:7" ht="25.5" customHeight="1" x14ac:dyDescent="0.2">
      <c r="A11" s="1271" t="s">
        <v>726</v>
      </c>
      <c r="B11" s="1272"/>
      <c r="C11" s="1272"/>
      <c r="D11" s="1272"/>
      <c r="E11" s="1272"/>
    </row>
    <row r="12" spans="1:7" x14ac:dyDescent="0.2">
      <c r="A12" s="177"/>
      <c r="B12" s="177"/>
      <c r="C12" s="177"/>
      <c r="D12" s="177"/>
      <c r="E12" s="177"/>
    </row>
    <row r="13" spans="1:7" x14ac:dyDescent="0.2">
      <c r="A13" s="94"/>
      <c r="D13" s="4">
        <f>+D9-'[8]2'!D37</f>
        <v>0</v>
      </c>
      <c r="F13" s="94"/>
    </row>
    <row r="14" spans="1:7" x14ac:dyDescent="0.2">
      <c r="D14" s="54"/>
    </row>
    <row r="15" spans="1:7" x14ac:dyDescent="0.2">
      <c r="D15" s="54"/>
    </row>
  </sheetData>
  <sheetProtection password="9C8D" sheet="1" objects="1" scenarios="1"/>
  <mergeCells count="6">
    <mergeCell ref="A11:E11"/>
    <mergeCell ref="A1:E1"/>
    <mergeCell ref="A2:E2"/>
    <mergeCell ref="A3:E3"/>
    <mergeCell ref="A5:E5"/>
    <mergeCell ref="A10:E10"/>
  </mergeCells>
  <pageMargins left="0.78740157499999996" right="0.78740157499999996" top="0.984251969" bottom="0.984251969" header="0.49212598499999999" footer="0.49212598499999999"/>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indowProtection="1" showGridLines="0" workbookViewId="0">
      <selection activeCell="A2" sqref="A2:C2"/>
    </sheetView>
  </sheetViews>
  <sheetFormatPr defaultRowHeight="15" x14ac:dyDescent="0.3"/>
  <cols>
    <col min="1" max="1" width="24.28515625" style="1005" customWidth="1"/>
    <col min="2" max="2" width="16.28515625" style="1005" customWidth="1"/>
    <col min="3" max="3" width="21.42578125" style="1005" customWidth="1"/>
    <col min="4" max="4" width="7.85546875" style="1005" customWidth="1"/>
    <col min="5" max="9" width="9.85546875" style="1005" bestFit="1" customWidth="1"/>
    <col min="10" max="16384" width="9.140625" style="1005"/>
  </cols>
  <sheetData>
    <row r="1" spans="1:6" ht="20.100000000000001" customHeight="1" x14ac:dyDescent="0.3">
      <c r="A1" s="1193" t="s">
        <v>976</v>
      </c>
      <c r="B1" s="1194"/>
      <c r="C1" s="1194"/>
    </row>
    <row r="2" spans="1:6" ht="20.100000000000001" customHeight="1" x14ac:dyDescent="0.3">
      <c r="A2" s="1195" t="s">
        <v>960</v>
      </c>
      <c r="B2" s="1195"/>
      <c r="C2" s="1195"/>
    </row>
    <row r="3" spans="1:6" ht="20.100000000000001" customHeight="1" x14ac:dyDescent="0.3">
      <c r="A3" s="1199" t="str">
        <f>+[2]Dados!A13</f>
        <v>Exercício de 2015</v>
      </c>
      <c r="B3" s="1200"/>
      <c r="C3" s="1200"/>
      <c r="E3" s="1021"/>
    </row>
    <row r="4" spans="1:6" ht="18" x14ac:dyDescent="0.3">
      <c r="A4" s="1022"/>
      <c r="B4" s="1023"/>
      <c r="C4" s="1023"/>
    </row>
    <row r="5" spans="1:6" x14ac:dyDescent="0.3">
      <c r="A5" s="1201" t="s">
        <v>1</v>
      </c>
      <c r="B5" s="1201"/>
      <c r="C5" s="1201"/>
    </row>
    <row r="6" spans="1:6" ht="36.75" customHeight="1" x14ac:dyDescent="0.3">
      <c r="A6" s="1024" t="s">
        <v>961</v>
      </c>
      <c r="B6" s="1024" t="s">
        <v>962</v>
      </c>
      <c r="C6" s="1024" t="s">
        <v>963</v>
      </c>
      <c r="D6" s="1038"/>
      <c r="F6" s="1021"/>
    </row>
    <row r="7" spans="1:6" ht="15.95" customHeight="1" x14ac:dyDescent="0.35">
      <c r="A7" s="1025" t="s">
        <v>964</v>
      </c>
      <c r="B7" s="1026">
        <v>650560</v>
      </c>
      <c r="C7" s="1026">
        <f>+B7</f>
        <v>650560</v>
      </c>
      <c r="D7" s="1027"/>
      <c r="E7" s="1028"/>
    </row>
    <row r="8" spans="1:6" ht="15.95" customHeight="1" x14ac:dyDescent="0.35">
      <c r="A8" s="1025" t="s">
        <v>965</v>
      </c>
      <c r="B8" s="1026">
        <v>664096</v>
      </c>
      <c r="C8" s="1026">
        <f t="shared" ref="C8:C18" si="0">+C7+B8</f>
        <v>1314656</v>
      </c>
      <c r="E8" s="1028"/>
    </row>
    <row r="9" spans="1:6" ht="15.95" customHeight="1" x14ac:dyDescent="0.3">
      <c r="A9" s="1025" t="s">
        <v>966</v>
      </c>
      <c r="B9" s="1026">
        <v>483696</v>
      </c>
      <c r="C9" s="1026">
        <f t="shared" si="0"/>
        <v>1798352</v>
      </c>
    </row>
    <row r="10" spans="1:6" ht="15.95" customHeight="1" x14ac:dyDescent="0.3">
      <c r="A10" s="1025" t="s">
        <v>967</v>
      </c>
      <c r="B10" s="1026">
        <v>522036</v>
      </c>
      <c r="C10" s="1026">
        <f t="shared" si="0"/>
        <v>2320388</v>
      </c>
    </row>
    <row r="11" spans="1:6" ht="15.95" customHeight="1" x14ac:dyDescent="0.3">
      <c r="A11" s="1025" t="s">
        <v>968</v>
      </c>
      <c r="B11" s="1026">
        <v>641959</v>
      </c>
      <c r="C11" s="1026">
        <f t="shared" si="0"/>
        <v>2962347</v>
      </c>
    </row>
    <row r="12" spans="1:6" ht="15.95" customHeight="1" x14ac:dyDescent="0.3">
      <c r="A12" s="1029" t="s">
        <v>969</v>
      </c>
      <c r="B12" s="1030">
        <v>558570</v>
      </c>
      <c r="C12" s="1031">
        <f t="shared" si="0"/>
        <v>3520917</v>
      </c>
    </row>
    <row r="13" spans="1:6" ht="15.95" customHeight="1" x14ac:dyDescent="0.3">
      <c r="A13" s="1025" t="s">
        <v>970</v>
      </c>
      <c r="B13" s="1026">
        <v>413603</v>
      </c>
      <c r="C13" s="1026">
        <f t="shared" si="0"/>
        <v>3934520</v>
      </c>
    </row>
    <row r="14" spans="1:6" ht="15.95" customHeight="1" x14ac:dyDescent="0.3">
      <c r="A14" s="1025" t="s">
        <v>971</v>
      </c>
      <c r="B14" s="1026">
        <v>483738</v>
      </c>
      <c r="C14" s="1026">
        <f t="shared" si="0"/>
        <v>4418258</v>
      </c>
    </row>
    <row r="15" spans="1:6" ht="15.95" customHeight="1" x14ac:dyDescent="0.3">
      <c r="A15" s="1025" t="s">
        <v>972</v>
      </c>
      <c r="B15" s="1026">
        <v>403295</v>
      </c>
      <c r="C15" s="1026">
        <f t="shared" si="0"/>
        <v>4821553</v>
      </c>
    </row>
    <row r="16" spans="1:6" ht="15.95" customHeight="1" x14ac:dyDescent="0.3">
      <c r="A16" s="1025" t="s">
        <v>973</v>
      </c>
      <c r="B16" s="1032">
        <v>459017</v>
      </c>
      <c r="C16" s="1026">
        <f t="shared" si="0"/>
        <v>5280570</v>
      </c>
    </row>
    <row r="17" spans="1:9" ht="15.95" customHeight="1" x14ac:dyDescent="0.3">
      <c r="A17" s="1025" t="s">
        <v>974</v>
      </c>
      <c r="B17" s="1032">
        <v>518266</v>
      </c>
      <c r="C17" s="1026">
        <f t="shared" si="0"/>
        <v>5798836</v>
      </c>
    </row>
    <row r="18" spans="1:9" ht="15.95" customHeight="1" thickBot="1" x14ac:dyDescent="0.35">
      <c r="A18" s="1033" t="s">
        <v>975</v>
      </c>
      <c r="B18" s="1034">
        <v>595946</v>
      </c>
      <c r="C18" s="1035">
        <f t="shared" si="0"/>
        <v>6394782</v>
      </c>
    </row>
    <row r="19" spans="1:9" ht="15.75" x14ac:dyDescent="0.35">
      <c r="A19" s="1202" t="s">
        <v>402</v>
      </c>
      <c r="B19" s="1202"/>
      <c r="C19" s="1202"/>
    </row>
    <row r="20" spans="1:9" x14ac:dyDescent="0.3">
      <c r="A20" s="1203"/>
      <c r="B20" s="1203"/>
      <c r="C20" s="1203"/>
    </row>
    <row r="21" spans="1:9" x14ac:dyDescent="0.3">
      <c r="A21" s="1198"/>
      <c r="B21" s="1198"/>
      <c r="C21" s="1198"/>
    </row>
    <row r="22" spans="1:9" x14ac:dyDescent="0.3">
      <c r="A22" s="1014"/>
    </row>
    <row r="23" spans="1:9" x14ac:dyDescent="0.3">
      <c r="A23" s="1014"/>
      <c r="B23" s="1036"/>
      <c r="C23" s="1014"/>
      <c r="D23" s="1014"/>
      <c r="E23" s="1014"/>
      <c r="F23" s="1014"/>
      <c r="G23" s="1014"/>
      <c r="H23" s="1014"/>
      <c r="I23" s="1014"/>
    </row>
    <row r="24" spans="1:9" x14ac:dyDescent="0.3">
      <c r="A24" s="1020"/>
      <c r="B24" s="1037"/>
      <c r="C24" s="1037"/>
      <c r="D24" s="1037"/>
      <c r="E24" s="1037"/>
      <c r="F24" s="1037"/>
      <c r="G24" s="1037"/>
      <c r="H24" s="1037"/>
      <c r="I24" s="1037"/>
    </row>
    <row r="25" spans="1:9" x14ac:dyDescent="0.3">
      <c r="C25" s="1020"/>
    </row>
  </sheetData>
  <sheetProtection password="9C8D" sheet="1" objects="1" scenarios="1"/>
  <mergeCells count="7">
    <mergeCell ref="A21:C21"/>
    <mergeCell ref="A1:C1"/>
    <mergeCell ref="A2:C2"/>
    <mergeCell ref="A3:C3"/>
    <mergeCell ref="A5:C5"/>
    <mergeCell ref="A19:C19"/>
    <mergeCell ref="A20:C20"/>
  </mergeCells>
  <pageMargins left="0.78740157499999996" right="0.78740157499999996" top="0.984251969" bottom="0.984251969" header="0.49212598499999999" footer="0.49212598499999999"/>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indowProtection="1" showGridLines="0" workbookViewId="0">
      <selection activeCell="B15" sqref="B15"/>
    </sheetView>
  </sheetViews>
  <sheetFormatPr defaultRowHeight="12.75" x14ac:dyDescent="0.2"/>
  <cols>
    <col min="1" max="1" width="48.85546875" customWidth="1"/>
    <col min="2" max="2" width="16.42578125" customWidth="1"/>
    <col min="3" max="3" width="22.7109375" customWidth="1"/>
    <col min="4" max="4" width="18.140625" customWidth="1"/>
    <col min="5" max="5" width="16.5703125" bestFit="1" customWidth="1"/>
    <col min="6" max="6" width="14" bestFit="1" customWidth="1"/>
  </cols>
  <sheetData>
    <row r="1" spans="1:7" ht="22.5" customHeight="1" x14ac:dyDescent="0.2">
      <c r="A1" s="1209" t="s">
        <v>727</v>
      </c>
      <c r="B1" s="1273"/>
      <c r="C1" s="1273"/>
    </row>
    <row r="2" spans="1:7" ht="17.25" customHeight="1" x14ac:dyDescent="0.2">
      <c r="A2" s="1210" t="s">
        <v>416</v>
      </c>
      <c r="B2" s="1235"/>
      <c r="C2" s="1235"/>
    </row>
    <row r="3" spans="1:7" x14ac:dyDescent="0.2">
      <c r="A3" s="1188" t="str">
        <f>[6]Dados!A21</f>
        <v>Período: 1989 a 31.12.2015</v>
      </c>
      <c r="B3" s="1236"/>
      <c r="C3" s="1236"/>
      <c r="D3" s="471"/>
    </row>
    <row r="4" spans="1:7" ht="15" x14ac:dyDescent="0.2">
      <c r="A4" s="389"/>
      <c r="B4" s="384"/>
      <c r="C4" s="384"/>
    </row>
    <row r="5" spans="1:7" ht="15.75" x14ac:dyDescent="0.2">
      <c r="A5" s="1274" t="s">
        <v>417</v>
      </c>
      <c r="B5" s="1250"/>
      <c r="C5" s="1250"/>
      <c r="E5" s="258"/>
      <c r="F5" s="258"/>
      <c r="G5" s="258"/>
    </row>
    <row r="6" spans="1:7" ht="24.95" customHeight="1" x14ac:dyDescent="0.2">
      <c r="A6" s="442" t="s">
        <v>216</v>
      </c>
      <c r="B6" s="442" t="s">
        <v>418</v>
      </c>
      <c r="C6" s="382" t="s">
        <v>8</v>
      </c>
      <c r="D6" s="385"/>
    </row>
    <row r="7" spans="1:7" ht="24.95" customHeight="1" x14ac:dyDescent="0.2">
      <c r="A7" s="495" t="s">
        <v>149</v>
      </c>
      <c r="B7" s="496">
        <v>60182721</v>
      </c>
      <c r="C7" s="497">
        <f>IF($B$12=0,0,ROUND(B7/$B$12*100,2))</f>
        <v>33.36</v>
      </c>
      <c r="D7" s="498"/>
      <c r="E7" s="41"/>
      <c r="F7" s="47"/>
    </row>
    <row r="8" spans="1:7" ht="24.95" customHeight="1" x14ac:dyDescent="0.2">
      <c r="A8" s="495" t="s">
        <v>150</v>
      </c>
      <c r="B8" s="496">
        <v>10202350</v>
      </c>
      <c r="C8" s="497">
        <f>IF($B$12=0,0,ROUND(B8/$B$12*100,2))</f>
        <v>5.66</v>
      </c>
      <c r="D8" s="498"/>
      <c r="E8" s="41"/>
      <c r="F8" s="47"/>
    </row>
    <row r="9" spans="1:7" ht="24.95" customHeight="1" x14ac:dyDescent="0.2">
      <c r="A9" s="495" t="s">
        <v>151</v>
      </c>
      <c r="B9" s="496">
        <v>5055558</v>
      </c>
      <c r="C9" s="497">
        <f>IF($B$12=0,0,ROUND(B9/$B$12*100,2))</f>
        <v>2.8</v>
      </c>
      <c r="D9" s="498"/>
      <c r="E9" s="41"/>
      <c r="F9" s="47"/>
    </row>
    <row r="10" spans="1:7" ht="24.95" customHeight="1" x14ac:dyDescent="0.2">
      <c r="A10" s="495" t="s">
        <v>152</v>
      </c>
      <c r="B10" s="496">
        <v>23991287</v>
      </c>
      <c r="C10" s="497">
        <f>IF($B$12=0,0,ROUND(B10/$B$12*100,2))</f>
        <v>13.3</v>
      </c>
      <c r="D10" s="144"/>
      <c r="E10" s="41"/>
      <c r="F10" s="47"/>
    </row>
    <row r="11" spans="1:7" ht="24.95" customHeight="1" x14ac:dyDescent="0.2">
      <c r="A11" s="495" t="s">
        <v>153</v>
      </c>
      <c r="B11" s="496">
        <v>80972504</v>
      </c>
      <c r="C11" s="497">
        <v>44.8</v>
      </c>
      <c r="D11" s="144"/>
      <c r="E11" s="41"/>
      <c r="F11" s="47"/>
    </row>
    <row r="12" spans="1:7" ht="23.25" customHeight="1" x14ac:dyDescent="0.2">
      <c r="A12" s="442" t="s">
        <v>29</v>
      </c>
      <c r="B12" s="479">
        <f>SUM(B7:B11)</f>
        <v>180404420</v>
      </c>
      <c r="C12" s="38">
        <v>100</v>
      </c>
      <c r="D12" s="144"/>
      <c r="E12" s="47"/>
      <c r="F12" s="47"/>
    </row>
    <row r="13" spans="1:7" x14ac:dyDescent="0.2">
      <c r="A13" s="1230" t="s">
        <v>402</v>
      </c>
      <c r="B13" s="1230"/>
      <c r="C13" s="1230"/>
      <c r="D13" s="144"/>
    </row>
    <row r="14" spans="1:7" ht="57.75" customHeight="1" x14ac:dyDescent="0.2">
      <c r="A14" s="1271" t="s">
        <v>1054</v>
      </c>
      <c r="B14" s="1272"/>
      <c r="C14" s="1272"/>
      <c r="D14" s="499"/>
      <c r="E14" s="499"/>
    </row>
    <row r="15" spans="1:7" ht="15.75" customHeight="1" x14ac:dyDescent="0.2">
      <c r="A15" s="402"/>
      <c r="B15" s="500"/>
      <c r="C15" s="383"/>
    </row>
    <row r="16" spans="1:7" x14ac:dyDescent="0.2">
      <c r="A16" s="469"/>
      <c r="B16" s="144"/>
    </row>
    <row r="17" spans="2:2" x14ac:dyDescent="0.2">
      <c r="B17" s="144"/>
    </row>
    <row r="18" spans="2:2" x14ac:dyDescent="0.2">
      <c r="B18" s="144"/>
    </row>
    <row r="19" spans="2:2" x14ac:dyDescent="0.2">
      <c r="B19" s="144"/>
    </row>
    <row r="20" spans="2:2" x14ac:dyDescent="0.2">
      <c r="B20" s="144"/>
    </row>
  </sheetData>
  <sheetProtection password="9C8D" sheet="1" objects="1" scenarios="1"/>
  <mergeCells count="6">
    <mergeCell ref="A14:C14"/>
    <mergeCell ref="A1:C1"/>
    <mergeCell ref="A2:C2"/>
    <mergeCell ref="A3:C3"/>
    <mergeCell ref="A5:C5"/>
    <mergeCell ref="A13:C13"/>
  </mergeCells>
  <pageMargins left="0.78740157499999996" right="0.78740157499999996" top="0.984251969" bottom="0.984251969" header="0.49212598499999999" footer="0.49212598499999999"/>
  <pageSetup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windowProtection="1" showGridLines="0" workbookViewId="0">
      <selection activeCell="O13" sqref="O13"/>
    </sheetView>
  </sheetViews>
  <sheetFormatPr defaultRowHeight="12.75" x14ac:dyDescent="0.2"/>
  <cols>
    <col min="1" max="1" width="18.5703125" customWidth="1"/>
    <col min="2" max="2" width="12.5703125" customWidth="1"/>
    <col min="3" max="3" width="8.7109375" customWidth="1"/>
    <col min="4" max="4" width="9.7109375" customWidth="1"/>
    <col min="5" max="5" width="8.140625" customWidth="1"/>
    <col min="6" max="6" width="9.85546875" customWidth="1"/>
    <col min="7" max="7" width="7.7109375" customWidth="1"/>
    <col min="8" max="8" width="10.42578125" customWidth="1"/>
    <col min="9" max="9" width="7.7109375" customWidth="1"/>
    <col min="10" max="10" width="9.7109375" customWidth="1"/>
    <col min="11" max="11" width="7.7109375" customWidth="1"/>
    <col min="12" max="12" width="10.7109375" customWidth="1"/>
    <col min="13" max="13" width="9" customWidth="1"/>
    <col min="14" max="14" width="11.7109375" customWidth="1"/>
    <col min="15" max="15" width="7.7109375" customWidth="1"/>
    <col min="16" max="16" width="12.85546875" bestFit="1" customWidth="1"/>
  </cols>
  <sheetData>
    <row r="1" spans="1:17" ht="15.75" x14ac:dyDescent="0.2">
      <c r="A1" s="1184" t="s">
        <v>1055</v>
      </c>
      <c r="B1" s="1184"/>
      <c r="C1" s="1184"/>
      <c r="D1" s="1184"/>
      <c r="E1" s="1184"/>
      <c r="F1" s="1184"/>
      <c r="G1" s="1184"/>
      <c r="H1" s="1184"/>
      <c r="I1" s="1184"/>
      <c r="J1" s="1184"/>
      <c r="K1" s="1184"/>
      <c r="L1" s="1184"/>
      <c r="M1" s="1184"/>
      <c r="N1" s="1184"/>
      <c r="O1" s="1184"/>
    </row>
    <row r="2" spans="1:17" ht="15" x14ac:dyDescent="0.2">
      <c r="A2" s="1289" t="s">
        <v>380</v>
      </c>
      <c r="B2" s="1289"/>
      <c r="C2" s="1289"/>
      <c r="D2" s="1289"/>
      <c r="E2" s="1289"/>
      <c r="F2" s="1289"/>
      <c r="G2" s="1289"/>
      <c r="H2" s="1289"/>
      <c r="I2" s="1289"/>
      <c r="J2" s="1289"/>
      <c r="K2" s="1289"/>
      <c r="L2" s="1289"/>
      <c r="M2" s="1289"/>
      <c r="N2" s="1289"/>
      <c r="O2" s="1289"/>
    </row>
    <row r="3" spans="1:17" ht="15" x14ac:dyDescent="0.2">
      <c r="A3" s="1186" t="str">
        <f>[1]Dados!A18</f>
        <v>Exercício 2015</v>
      </c>
      <c r="B3" s="1186"/>
      <c r="C3" s="1186"/>
      <c r="D3" s="1186"/>
      <c r="E3" s="1186"/>
      <c r="F3" s="1186"/>
      <c r="G3" s="1186"/>
      <c r="H3" s="1186"/>
      <c r="I3" s="1186"/>
      <c r="J3" s="1186"/>
      <c r="K3" s="1186"/>
      <c r="L3" s="1186"/>
      <c r="M3" s="1186"/>
      <c r="N3" s="1186"/>
      <c r="O3" s="1186"/>
    </row>
    <row r="4" spans="1:17" x14ac:dyDescent="0.2">
      <c r="A4" s="207"/>
      <c r="B4" s="207"/>
      <c r="C4" s="207"/>
      <c r="D4" s="207"/>
      <c r="E4" s="207"/>
      <c r="F4" s="207"/>
      <c r="G4" s="207"/>
      <c r="H4" s="207"/>
      <c r="I4" s="207"/>
      <c r="J4" s="207"/>
      <c r="K4" s="207"/>
      <c r="L4" s="207"/>
      <c r="M4" s="207"/>
      <c r="N4" s="207"/>
      <c r="O4" s="207"/>
    </row>
    <row r="5" spans="1:17" x14ac:dyDescent="0.2">
      <c r="A5" s="1290"/>
      <c r="B5" s="1290"/>
      <c r="C5" s="1290"/>
      <c r="D5" s="1290"/>
      <c r="E5" s="1290"/>
      <c r="F5" s="1290"/>
      <c r="G5" s="1290"/>
      <c r="H5" s="1290"/>
      <c r="I5" s="1290"/>
      <c r="J5" s="1290"/>
      <c r="K5" s="1290"/>
      <c r="L5" s="1290"/>
      <c r="M5" s="1290"/>
      <c r="N5" s="1290"/>
      <c r="O5" s="207"/>
    </row>
    <row r="6" spans="1:17" ht="27.75" customHeight="1" x14ac:dyDescent="0.2">
      <c r="A6" s="1291" t="s">
        <v>216</v>
      </c>
      <c r="B6" s="1292" t="s">
        <v>138</v>
      </c>
      <c r="C6" s="1292"/>
      <c r="D6" s="1292" t="s">
        <v>139</v>
      </c>
      <c r="E6" s="1292"/>
      <c r="F6" s="1292" t="s">
        <v>140</v>
      </c>
      <c r="G6" s="1292"/>
      <c r="H6" s="1292" t="s">
        <v>143</v>
      </c>
      <c r="I6" s="1292"/>
      <c r="J6" s="1292" t="s">
        <v>263</v>
      </c>
      <c r="K6" s="1292"/>
      <c r="L6" s="1292" t="s">
        <v>191</v>
      </c>
      <c r="M6" s="1292"/>
      <c r="N6" s="1292" t="s">
        <v>29</v>
      </c>
      <c r="O6" s="1293"/>
      <c r="P6" s="1276"/>
    </row>
    <row r="7" spans="1:17" ht="18" customHeight="1" x14ac:dyDescent="0.2">
      <c r="A7" s="1291"/>
      <c r="B7" s="801" t="s">
        <v>249</v>
      </c>
      <c r="C7" s="801" t="s">
        <v>381</v>
      </c>
      <c r="D7" s="801" t="s">
        <v>249</v>
      </c>
      <c r="E7" s="801" t="s">
        <v>381</v>
      </c>
      <c r="F7" s="801" t="s">
        <v>249</v>
      </c>
      <c r="G7" s="801" t="s">
        <v>381</v>
      </c>
      <c r="H7" s="801" t="s">
        <v>249</v>
      </c>
      <c r="I7" s="801" t="s">
        <v>381</v>
      </c>
      <c r="J7" s="801" t="s">
        <v>249</v>
      </c>
      <c r="K7" s="801" t="s">
        <v>381</v>
      </c>
      <c r="L7" s="801" t="s">
        <v>249</v>
      </c>
      <c r="M7" s="801" t="s">
        <v>381</v>
      </c>
      <c r="N7" s="801" t="s">
        <v>249</v>
      </c>
      <c r="O7" s="801" t="s">
        <v>381</v>
      </c>
      <c r="P7" s="1276"/>
      <c r="Q7" s="443"/>
    </row>
    <row r="8" spans="1:17" ht="24.95" customHeight="1" x14ac:dyDescent="0.2">
      <c r="A8" s="151" t="s">
        <v>149</v>
      </c>
      <c r="B8" s="152">
        <v>1415955</v>
      </c>
      <c r="C8" s="444">
        <f>IF(B$13=0,0,ROUND(B8/B$13*100,1))</f>
        <v>99.5</v>
      </c>
      <c r="D8" s="152">
        <f>9+10155</f>
        <v>10164</v>
      </c>
      <c r="E8" s="444">
        <f>IF(D$13=0,0,ROUND(D8/D$13*100,2))</f>
        <v>96.05</v>
      </c>
      <c r="F8" s="152">
        <f>611+4</f>
        <v>615</v>
      </c>
      <c r="G8" s="444">
        <f>IF(F$13=0,0,ROUND(F8/F$13*100,1))</f>
        <v>19.100000000000001</v>
      </c>
      <c r="H8" s="152">
        <v>173</v>
      </c>
      <c r="I8" s="444">
        <f>IF(H$13=0,0,ROUND(H8/H$13*100,1))</f>
        <v>29.9</v>
      </c>
      <c r="J8" s="152">
        <v>0</v>
      </c>
      <c r="K8" s="444">
        <f>IF(J$13=0,0,ROUND(J8/J$13*100,1))</f>
        <v>0</v>
      </c>
      <c r="L8" s="152">
        <f>7442+4</f>
        <v>7446</v>
      </c>
      <c r="M8" s="444">
        <f>IF(L$13=0,0,ROUND(L8/L$13*100,1))</f>
        <v>30.4</v>
      </c>
      <c r="N8" s="152">
        <f>B8+D8+H8+L8+J8+F8</f>
        <v>1434353</v>
      </c>
      <c r="O8" s="444">
        <f>IF(N$13=0,0,ROUND(N8/N$13*100,1))</f>
        <v>98.1</v>
      </c>
      <c r="P8" s="54"/>
      <c r="Q8" s="4"/>
    </row>
    <row r="9" spans="1:17" ht="24.95" customHeight="1" x14ac:dyDescent="0.2">
      <c r="A9" s="151" t="s">
        <v>150</v>
      </c>
      <c r="B9" s="152">
        <v>5496</v>
      </c>
      <c r="C9" s="444">
        <f>IF(B$13=0,0,ROUND(B9/B$13*100,1))</f>
        <v>0.4</v>
      </c>
      <c r="D9" s="152">
        <v>270</v>
      </c>
      <c r="E9" s="444">
        <f>IF(D$13=0,0,ROUND(D9/D$13*100,2))</f>
        <v>2.5499999999999998</v>
      </c>
      <c r="F9" s="152">
        <v>1998</v>
      </c>
      <c r="G9" s="444">
        <f>IF(F$13=0,0,ROUND(F9/F$13*100,1))</f>
        <v>62.2</v>
      </c>
      <c r="H9" s="152">
        <v>363</v>
      </c>
      <c r="I9" s="444">
        <f>IF(H$13=0,0,ROUND(H9/H$13*100,1))</f>
        <v>62.8</v>
      </c>
      <c r="J9" s="152">
        <v>0</v>
      </c>
      <c r="K9" s="444">
        <f>IF(J$13=0,0,ROUND(J9/J$13*100,1))</f>
        <v>0</v>
      </c>
      <c r="L9" s="152">
        <v>14673</v>
      </c>
      <c r="M9" s="444">
        <f>IF(L$13=0,0,ROUND(L9/L$13*100,1))</f>
        <v>59.9</v>
      </c>
      <c r="N9" s="152">
        <f>B9+D9+H9+L9+J9+F9</f>
        <v>22800</v>
      </c>
      <c r="O9" s="444">
        <f>IF(N$13=0,0,ROUND(N9/N$13*100,1))</f>
        <v>1.6</v>
      </c>
      <c r="P9" s="54"/>
      <c r="Q9" s="4"/>
    </row>
    <row r="10" spans="1:17" ht="24.95" customHeight="1" x14ac:dyDescent="0.2">
      <c r="A10" s="151" t="s">
        <v>151</v>
      </c>
      <c r="B10" s="152">
        <v>1512</v>
      </c>
      <c r="C10" s="445">
        <f>IF(B$13=0,0,ROUND(B10/B$13*100,1))</f>
        <v>0.1</v>
      </c>
      <c r="D10" s="152">
        <v>80</v>
      </c>
      <c r="E10" s="444">
        <f>IF(D$13=0,0,ROUND(D10/D$13*100,2))</f>
        <v>0.76</v>
      </c>
      <c r="F10" s="152">
        <v>368</v>
      </c>
      <c r="G10" s="444">
        <f>IF(F$13=0,0,ROUND(F10/F$13*100,1))</f>
        <v>11.5</v>
      </c>
      <c r="H10" s="152">
        <v>21</v>
      </c>
      <c r="I10" s="444">
        <f>IF(H$13=0,0,ROUND(H10/H$13*100,1))</f>
        <v>3.6</v>
      </c>
      <c r="J10" s="152">
        <v>0</v>
      </c>
      <c r="K10" s="444">
        <f>IF(J$13=0,0,ROUND(J10/J$13*100,1))</f>
        <v>0</v>
      </c>
      <c r="L10" s="152">
        <v>1563</v>
      </c>
      <c r="M10" s="444">
        <f>IF(L$13=0,0,ROUND(L10/L$13*100,1))</f>
        <v>6.4</v>
      </c>
      <c r="N10" s="152">
        <f>B10+D10+H10+L10+J10+F10</f>
        <v>3544</v>
      </c>
      <c r="O10" s="444">
        <f>IF(N$13=0,0,ROUND(N10/N$13*100,1))</f>
        <v>0.2</v>
      </c>
      <c r="P10" s="54"/>
      <c r="Q10" s="4"/>
    </row>
    <row r="11" spans="1:17" ht="24.95" customHeight="1" x14ac:dyDescent="0.2">
      <c r="A11" s="151" t="s">
        <v>152</v>
      </c>
      <c r="B11" s="152">
        <v>510</v>
      </c>
      <c r="C11" s="445">
        <f>IF(B$13=0,0,ROUND(B11/B$13*100,1))</f>
        <v>0</v>
      </c>
      <c r="D11" s="152">
        <v>62</v>
      </c>
      <c r="E11" s="444">
        <f>IF(D$13=0,0,ROUND(D11/D$13*100,2))</f>
        <v>0.59</v>
      </c>
      <c r="F11" s="152">
        <v>190</v>
      </c>
      <c r="G11" s="444">
        <f>IF(F$13=0,0,ROUND(F11/F$13*100,1))</f>
        <v>5.9</v>
      </c>
      <c r="H11" s="152">
        <v>11</v>
      </c>
      <c r="I11" s="444">
        <f>IF(H$13=0,0,ROUND(H11/H$13*100,1))</f>
        <v>1.9</v>
      </c>
      <c r="J11" s="152">
        <v>1</v>
      </c>
      <c r="K11" s="444">
        <f>IF(J$13=0,0,ROUND(J11/J$13*100,1))</f>
        <v>16.7</v>
      </c>
      <c r="L11" s="152">
        <v>713</v>
      </c>
      <c r="M11" s="444">
        <f>IF(L$13=0,0,ROUND(L11/L$13*100,1))</f>
        <v>2.9</v>
      </c>
      <c r="N11" s="152">
        <f>B11+D11+H11+L11+J11+F11</f>
        <v>1487</v>
      </c>
      <c r="O11" s="444">
        <f>IF(N$13=0,0,ROUND(N11/N$13*100,1))-0.1</f>
        <v>0</v>
      </c>
      <c r="P11" s="54"/>
      <c r="Q11" s="4"/>
    </row>
    <row r="12" spans="1:17" ht="24.95" customHeight="1" x14ac:dyDescent="0.2">
      <c r="A12" s="151" t="s">
        <v>153</v>
      </c>
      <c r="B12" s="366">
        <v>53</v>
      </c>
      <c r="C12" s="445">
        <f>IF(B$13=0,0,ROUND(B12/B$13*100,1))</f>
        <v>0</v>
      </c>
      <c r="D12" s="366">
        <v>6</v>
      </c>
      <c r="E12" s="444">
        <f>IF(D$13=0,0,ROUND(D12/D$13*100,2))</f>
        <v>0.06</v>
      </c>
      <c r="F12" s="366">
        <v>42</v>
      </c>
      <c r="G12" s="444">
        <f>IF(F$13=0,0,ROUND(F12/F$13*100,1))</f>
        <v>1.3</v>
      </c>
      <c r="H12" s="366">
        <v>10</v>
      </c>
      <c r="I12" s="444">
        <f>IF(H$13=0,0,ROUND(H12/H$13*100,1))</f>
        <v>1.7</v>
      </c>
      <c r="J12" s="366">
        <v>5</v>
      </c>
      <c r="K12" s="444">
        <f>IF(J$13=0,0,ROUND(J12/J$13*100,1))</f>
        <v>83.3</v>
      </c>
      <c r="L12" s="366">
        <v>102</v>
      </c>
      <c r="M12" s="444">
        <f>IF(L$13=0,0,ROUND(L12/L$13*100,1))</f>
        <v>0.4</v>
      </c>
      <c r="N12" s="366">
        <f>B12+D12+H12+L12+J12+F12</f>
        <v>218</v>
      </c>
      <c r="O12" s="444">
        <f>IF(N$13=0,0,ROUND(N12/N$13*100,1))</f>
        <v>0</v>
      </c>
      <c r="P12" s="54"/>
      <c r="Q12" s="4"/>
    </row>
    <row r="13" spans="1:17" ht="20.25" customHeight="1" x14ac:dyDescent="0.25">
      <c r="A13" s="446" t="s">
        <v>29</v>
      </c>
      <c r="B13" s="448">
        <f t="shared" ref="B13:N13" si="0">SUM(B8:B12)</f>
        <v>1423526</v>
      </c>
      <c r="C13" s="447">
        <f t="shared" si="0"/>
        <v>100</v>
      </c>
      <c r="D13" s="448">
        <f t="shared" si="0"/>
        <v>10582</v>
      </c>
      <c r="E13" s="447">
        <f t="shared" si="0"/>
        <v>100.01</v>
      </c>
      <c r="F13" s="448">
        <f t="shared" si="0"/>
        <v>3213</v>
      </c>
      <c r="G13" s="447">
        <f t="shared" si="0"/>
        <v>100.00000000000001</v>
      </c>
      <c r="H13" s="448">
        <f t="shared" si="0"/>
        <v>578</v>
      </c>
      <c r="I13" s="447">
        <f t="shared" si="0"/>
        <v>99.899999999999991</v>
      </c>
      <c r="J13" s="448">
        <f t="shared" si="0"/>
        <v>6</v>
      </c>
      <c r="K13" s="447">
        <f t="shared" si="0"/>
        <v>100</v>
      </c>
      <c r="L13" s="448">
        <f t="shared" si="0"/>
        <v>24497</v>
      </c>
      <c r="M13" s="447">
        <f t="shared" si="0"/>
        <v>100.00000000000001</v>
      </c>
      <c r="N13" s="448">
        <f t="shared" si="0"/>
        <v>1462402</v>
      </c>
      <c r="O13" s="447">
        <f>SUM(O8:O12)+0.1</f>
        <v>99.999999999999986</v>
      </c>
    </row>
    <row r="14" spans="1:17" x14ac:dyDescent="0.2">
      <c r="A14" s="1288" t="s">
        <v>67</v>
      </c>
      <c r="B14" s="1288"/>
      <c r="C14" s="1288"/>
      <c r="D14" s="1288"/>
      <c r="E14" s="1288"/>
      <c r="F14" s="1288"/>
      <c r="G14" s="1288"/>
      <c r="H14" s="1288"/>
      <c r="I14" s="1288"/>
      <c r="J14" s="1288"/>
      <c r="K14" s="1288"/>
      <c r="L14" s="1288"/>
      <c r="M14" s="1288"/>
      <c r="N14" s="1288"/>
    </row>
    <row r="15" spans="1:17" x14ac:dyDescent="0.2">
      <c r="A15" s="1288"/>
      <c r="B15" s="1288"/>
      <c r="C15" s="1288"/>
      <c r="D15" s="1288"/>
      <c r="E15" s="1288"/>
      <c r="F15" s="1288"/>
      <c r="G15" s="1288"/>
      <c r="H15" s="1288"/>
      <c r="I15" s="1288"/>
      <c r="J15" s="1288"/>
      <c r="K15" s="1288"/>
      <c r="L15" s="1288"/>
      <c r="M15" s="1288"/>
      <c r="N15" s="1288"/>
      <c r="O15" s="13"/>
    </row>
    <row r="16" spans="1:17" ht="15.75" customHeight="1" x14ac:dyDescent="0.2">
      <c r="A16" s="449"/>
      <c r="B16" s="450">
        <f>+B13-'[1]2'!C8</f>
        <v>0</v>
      </c>
      <c r="C16" s="449"/>
      <c r="D16" s="450">
        <f>+D13-'[1]2'!C16</f>
        <v>0</v>
      </c>
      <c r="E16" s="449"/>
      <c r="F16" s="450">
        <f>+F13-'[1]2'!C22</f>
        <v>0</v>
      </c>
      <c r="G16" s="449"/>
      <c r="H16" s="450">
        <f>+H13-'[1]2'!C27</f>
        <v>0</v>
      </c>
      <c r="I16" s="449"/>
      <c r="J16" s="450">
        <f>+J13-'[1]2'!C30</f>
        <v>0</v>
      </c>
      <c r="K16" s="449"/>
      <c r="L16" s="450">
        <f>+L13-'[1]2'!C32</f>
        <v>0</v>
      </c>
      <c r="M16" s="449"/>
      <c r="N16" s="450">
        <f>+N13-'[1]2'!C37</f>
        <v>0</v>
      </c>
    </row>
    <row r="17" spans="1:11" x14ac:dyDescent="0.2">
      <c r="A17" s="42"/>
      <c r="B17" s="451"/>
      <c r="C17" s="451"/>
      <c r="D17" s="451"/>
      <c r="E17" s="451"/>
      <c r="F17" s="451"/>
      <c r="G17" s="451"/>
      <c r="H17" s="451"/>
      <c r="I17" s="451"/>
      <c r="J17" s="441"/>
      <c r="K17" s="451"/>
    </row>
    <row r="18" spans="1:11" x14ac:dyDescent="0.2">
      <c r="B18" s="43"/>
      <c r="C18" s="94"/>
      <c r="H18" s="13"/>
    </row>
    <row r="19" spans="1:11" x14ac:dyDescent="0.2">
      <c r="B19" s="13"/>
    </row>
    <row r="20" spans="1:11" x14ac:dyDescent="0.2">
      <c r="B20" s="4"/>
    </row>
    <row r="29" spans="1:11" x14ac:dyDescent="0.2">
      <c r="E29" s="54"/>
    </row>
    <row r="31" spans="1:11" x14ac:dyDescent="0.2">
      <c r="E31" s="255"/>
    </row>
  </sheetData>
  <sheetProtection password="9C8D" sheet="1" objects="1" scenarios="1"/>
  <mergeCells count="15">
    <mergeCell ref="P6:P7"/>
    <mergeCell ref="A14:N14"/>
    <mergeCell ref="A15:N15"/>
    <mergeCell ref="A1:O1"/>
    <mergeCell ref="A2:O2"/>
    <mergeCell ref="A3:O3"/>
    <mergeCell ref="A5:N5"/>
    <mergeCell ref="A6:A7"/>
    <mergeCell ref="B6:C6"/>
    <mergeCell ref="D6:E6"/>
    <mergeCell ref="F6:G6"/>
    <mergeCell ref="H6:I6"/>
    <mergeCell ref="J6:K6"/>
    <mergeCell ref="L6:M6"/>
    <mergeCell ref="N6:O6"/>
  </mergeCells>
  <pageMargins left="0.78740157499999996" right="0.78740157499999996" top="0.984251969" bottom="0.984251969" header="0.49212598499999999" footer="0.49212598499999999"/>
  <pageSetup paperSize="9" scale="75"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windowProtection="1" showGridLines="0" workbookViewId="0">
      <selection activeCell="Q20" sqref="Q20"/>
    </sheetView>
  </sheetViews>
  <sheetFormatPr defaultRowHeight="12.75" x14ac:dyDescent="0.2"/>
  <cols>
    <col min="1" max="1" width="16.140625" customWidth="1"/>
    <col min="2" max="2" width="12.42578125" bestFit="1" customWidth="1"/>
    <col min="3" max="3" width="8.42578125" customWidth="1"/>
    <col min="4" max="4" width="12.28515625" customWidth="1"/>
    <col min="5" max="5" width="7.5703125" customWidth="1"/>
    <col min="6" max="6" width="13.28515625" customWidth="1"/>
    <col min="7" max="7" width="7.7109375" customWidth="1"/>
    <col min="8" max="8" width="11" customWidth="1"/>
    <col min="9" max="9" width="7.85546875" customWidth="1"/>
    <col min="10" max="10" width="16.28515625" customWidth="1"/>
    <col min="11" max="11" width="7.85546875" bestFit="1" customWidth="1"/>
    <col min="12" max="12" width="12.42578125" customWidth="1"/>
    <col min="13" max="13" width="7.85546875" customWidth="1"/>
    <col min="14" max="14" width="14.28515625" bestFit="1" customWidth="1"/>
    <col min="15" max="15" width="7.5703125" bestFit="1" customWidth="1"/>
    <col min="16" max="16" width="11.85546875" customWidth="1"/>
    <col min="17" max="17" width="10.85546875" bestFit="1" customWidth="1"/>
  </cols>
  <sheetData>
    <row r="1" spans="1:17" ht="15.75" x14ac:dyDescent="0.2">
      <c r="A1" s="1184" t="s">
        <v>1056</v>
      </c>
      <c r="B1" s="1184"/>
      <c r="C1" s="1184"/>
      <c r="D1" s="1184"/>
      <c r="E1" s="1184"/>
      <c r="F1" s="1184"/>
      <c r="G1" s="1184"/>
      <c r="H1" s="1184"/>
      <c r="I1" s="1184"/>
      <c r="J1" s="1184"/>
      <c r="K1" s="1184"/>
      <c r="L1" s="1184"/>
      <c r="M1" s="1184"/>
      <c r="N1" s="1184"/>
      <c r="O1" s="1184"/>
    </row>
    <row r="2" spans="1:17" ht="18" x14ac:dyDescent="0.2">
      <c r="A2" s="1289" t="s">
        <v>410</v>
      </c>
      <c r="B2" s="1289"/>
      <c r="C2" s="1289"/>
      <c r="D2" s="1289"/>
      <c r="E2" s="1289"/>
      <c r="F2" s="1289"/>
      <c r="G2" s="1289"/>
      <c r="H2" s="1289"/>
      <c r="I2" s="1289"/>
      <c r="J2" s="1289"/>
      <c r="K2" s="1289"/>
      <c r="L2" s="1289"/>
      <c r="M2" s="1289"/>
      <c r="N2" s="1289"/>
      <c r="O2" s="1289"/>
    </row>
    <row r="3" spans="1:17" ht="15" x14ac:dyDescent="0.2">
      <c r="A3" s="1186" t="str">
        <f>[5]Dados!A18</f>
        <v>Exercício de 2015</v>
      </c>
      <c r="B3" s="1186"/>
      <c r="C3" s="1186"/>
      <c r="D3" s="1186"/>
      <c r="E3" s="1186"/>
      <c r="F3" s="1186"/>
      <c r="G3" s="1186"/>
      <c r="H3" s="1186"/>
      <c r="I3" s="1186"/>
      <c r="J3" s="1186"/>
      <c r="K3" s="1186"/>
      <c r="L3" s="1186"/>
      <c r="M3" s="1186"/>
      <c r="N3" s="1186"/>
      <c r="O3" s="1186"/>
    </row>
    <row r="4" spans="1:17" x14ac:dyDescent="0.2">
      <c r="A4" s="99"/>
      <c r="B4" s="99"/>
      <c r="C4" s="99"/>
      <c r="D4" s="99"/>
      <c r="E4" s="99"/>
      <c r="F4" s="99"/>
      <c r="G4" s="99"/>
      <c r="H4" s="99"/>
      <c r="I4" s="99"/>
      <c r="J4" s="99"/>
      <c r="K4" s="99"/>
      <c r="L4" s="99"/>
      <c r="M4" s="99"/>
      <c r="N4" s="99"/>
      <c r="O4" s="99"/>
    </row>
    <row r="5" spans="1:17" x14ac:dyDescent="0.2">
      <c r="A5" s="1250" t="s">
        <v>147</v>
      </c>
      <c r="B5" s="1250"/>
      <c r="C5" s="1250"/>
      <c r="D5" s="1250"/>
      <c r="E5" s="1250"/>
      <c r="F5" s="1250"/>
      <c r="G5" s="1250"/>
      <c r="H5" s="1250"/>
      <c r="I5" s="1250"/>
      <c r="J5" s="1250"/>
      <c r="K5" s="1250"/>
      <c r="L5" s="1250"/>
      <c r="M5" s="1250"/>
      <c r="N5" s="1250"/>
      <c r="O5" s="1250"/>
    </row>
    <row r="6" spans="1:17" ht="34.5" customHeight="1" x14ac:dyDescent="0.2">
      <c r="A6" s="382" t="s">
        <v>216</v>
      </c>
      <c r="B6" s="382" t="s">
        <v>138</v>
      </c>
      <c r="C6" s="382" t="s">
        <v>8</v>
      </c>
      <c r="D6" s="382" t="s">
        <v>411</v>
      </c>
      <c r="E6" s="382" t="s">
        <v>8</v>
      </c>
      <c r="F6" s="382" t="s">
        <v>412</v>
      </c>
      <c r="G6" s="382" t="s">
        <v>8</v>
      </c>
      <c r="H6" s="382" t="s">
        <v>143</v>
      </c>
      <c r="I6" s="382" t="s">
        <v>8</v>
      </c>
      <c r="J6" s="382" t="s">
        <v>141</v>
      </c>
      <c r="K6" s="382" t="s">
        <v>8</v>
      </c>
      <c r="L6" s="382" t="s">
        <v>191</v>
      </c>
      <c r="M6" s="382" t="s">
        <v>8</v>
      </c>
      <c r="N6" s="382" t="s">
        <v>29</v>
      </c>
      <c r="O6" s="382" t="s">
        <v>8</v>
      </c>
      <c r="P6" s="385"/>
    </row>
    <row r="7" spans="1:17" ht="20.100000000000001" customHeight="1" x14ac:dyDescent="0.2">
      <c r="A7" s="151" t="s">
        <v>149</v>
      </c>
      <c r="B7" s="152">
        <f>478694+2287023-1</f>
        <v>2765716</v>
      </c>
      <c r="C7" s="444">
        <f>IF(B$12=0,0,ROUND(B7/B$12*100,2))</f>
        <v>50.19</v>
      </c>
      <c r="D7" s="152">
        <f>432+14413</f>
        <v>14845</v>
      </c>
      <c r="E7" s="444">
        <f>IF(D$12=0,0,ROUND(D7/D$12*100,2))</f>
        <v>11.84</v>
      </c>
      <c r="F7" s="152">
        <f>22840+18330</f>
        <v>41170</v>
      </c>
      <c r="G7" s="444">
        <f>IF(F$12=0,0,ROUND(F7/F$12*100,2))</f>
        <v>2.78</v>
      </c>
      <c r="H7" s="152">
        <v>8323</v>
      </c>
      <c r="I7" s="444">
        <f>IF(H$12=0,0,ROUND(H7/H$12*100,2))</f>
        <v>1.58</v>
      </c>
      <c r="J7" s="152">
        <v>0</v>
      </c>
      <c r="K7" s="444">
        <f>IF(J$12=0,0,ROUND(J7/J$12*100,2))</f>
        <v>0</v>
      </c>
      <c r="L7" s="474">
        <f>256241+645</f>
        <v>256886</v>
      </c>
      <c r="M7" s="444">
        <f>IF(L$12=0,0,ROUND(L7/L$12*100,2))</f>
        <v>7.64</v>
      </c>
      <c r="N7" s="152">
        <f>B7+D7+H7+L7+J7+F7</f>
        <v>3086940</v>
      </c>
      <c r="O7" s="444">
        <f>IF(N$12=0,0,ROUND(N7/N$12*100,2))</f>
        <v>26.85</v>
      </c>
      <c r="P7" s="481"/>
      <c r="Q7" s="255"/>
    </row>
    <row r="8" spans="1:17" ht="20.100000000000001" customHeight="1" x14ac:dyDescent="0.2">
      <c r="A8" s="151" t="s">
        <v>150</v>
      </c>
      <c r="B8" s="152">
        <f>329720+364106</f>
        <v>693826</v>
      </c>
      <c r="C8" s="444">
        <f>IF(B$12=0,0,ROUND(B8/B$12*100,2))</f>
        <v>12.59</v>
      </c>
      <c r="D8" s="152">
        <v>14550</v>
      </c>
      <c r="E8" s="444">
        <f>IF(D$12=0,0,ROUND(D8/D$12*100,2))</f>
        <v>11.6</v>
      </c>
      <c r="F8" s="152">
        <v>273050</v>
      </c>
      <c r="G8" s="444">
        <f>IF(F$12=0,0,ROUND(F8/F$12*100,2))</f>
        <v>18.420000000000002</v>
      </c>
      <c r="H8" s="152">
        <v>61227</v>
      </c>
      <c r="I8" s="444">
        <f>IF(H$12=0,0,ROUND(H8/H$12*100,2))</f>
        <v>11.64</v>
      </c>
      <c r="J8" s="152">
        <v>0</v>
      </c>
      <c r="K8" s="444">
        <f>IF(J$12=0,0,ROUND(J8/J$12*100,2))</f>
        <v>0</v>
      </c>
      <c r="L8" s="474">
        <v>1448275</v>
      </c>
      <c r="M8" s="444">
        <f>IF(L$12=0,0,ROUND(L8/L$12*100,2))</f>
        <v>43.06</v>
      </c>
      <c r="N8" s="152">
        <f>B8+D8+H8+L8+J8+F8</f>
        <v>2490928</v>
      </c>
      <c r="O8" s="444">
        <f>IF(N$12=0,0,ROUND(N8/N$12*100,2))</f>
        <v>21.67</v>
      </c>
      <c r="P8" s="481"/>
      <c r="Q8" s="255"/>
    </row>
    <row r="9" spans="1:17" ht="20.100000000000001" customHeight="1" x14ac:dyDescent="0.2">
      <c r="A9" s="151" t="s">
        <v>151</v>
      </c>
      <c r="B9" s="152">
        <f>519555+77459</f>
        <v>597014</v>
      </c>
      <c r="C9" s="444">
        <f>IF(B$12=0,0,ROUND(B9/B$12*100,2))</f>
        <v>10.83</v>
      </c>
      <c r="D9" s="152">
        <v>5111</v>
      </c>
      <c r="E9" s="444">
        <f>IF(D$12=0,0,ROUND(D9/D$12*100,2))</f>
        <v>4.08</v>
      </c>
      <c r="F9" s="152">
        <v>143615</v>
      </c>
      <c r="G9" s="444">
        <f>IF(F$12=0,0,ROUND(F9/F$12*100,2))</f>
        <v>9.69</v>
      </c>
      <c r="H9" s="152">
        <v>67153</v>
      </c>
      <c r="I9" s="444">
        <f>IF(H$12=0,0,ROUND(H9/H$12*100,2))</f>
        <v>12.77</v>
      </c>
      <c r="J9" s="152">
        <v>0</v>
      </c>
      <c r="K9" s="444">
        <f>IF(J$12=0,0,ROUND(J9/J$12*100,2))</f>
        <v>0</v>
      </c>
      <c r="L9" s="474">
        <v>410643</v>
      </c>
      <c r="M9" s="444">
        <f>IF(L$12=0,0,ROUND(L9/L$12*100,2))</f>
        <v>12.21</v>
      </c>
      <c r="N9" s="152">
        <f>B9+D9+H9+L9+J9+F9</f>
        <v>1223536</v>
      </c>
      <c r="O9" s="444">
        <f>IF(N$12=0,0,ROUND(N9/N$12*100,1))</f>
        <v>10.6</v>
      </c>
      <c r="P9" s="481"/>
      <c r="Q9" s="255"/>
    </row>
    <row r="10" spans="1:17" ht="20.100000000000001" customHeight="1" x14ac:dyDescent="0.2">
      <c r="A10" s="151" t="s">
        <v>152</v>
      </c>
      <c r="B10" s="152">
        <f>653080+90435-1</f>
        <v>743514</v>
      </c>
      <c r="C10" s="444">
        <f>IF(B$12=0,0,ROUND(B10/B$12*100,2))</f>
        <v>13.49</v>
      </c>
      <c r="D10" s="152">
        <v>23517</v>
      </c>
      <c r="E10" s="444">
        <f>IF(D$12=0,0,ROUND(D10/D$12*100,2))</f>
        <v>18.75</v>
      </c>
      <c r="F10" s="152">
        <v>242169</v>
      </c>
      <c r="G10" s="444">
        <f>IF(F$12=0,0,ROUND(F10/F$12*100,2))</f>
        <v>16.34</v>
      </c>
      <c r="H10" s="152">
        <v>136169</v>
      </c>
      <c r="I10" s="444">
        <f>IF(H$12=0,0,ROUND(H10/H$12*100,2))</f>
        <v>25.89</v>
      </c>
      <c r="J10" s="152">
        <v>16233</v>
      </c>
      <c r="K10" s="444">
        <f>IF(J$12=0,0,ROUND(J10/J$12*100,2))</f>
        <v>3.32</v>
      </c>
      <c r="L10" s="474">
        <v>576948</v>
      </c>
      <c r="M10" s="444">
        <f>IF(L$12=0,0,ROUND(L10/L$12*100,2))</f>
        <v>17.149999999999999</v>
      </c>
      <c r="N10" s="152">
        <f>B10+D10+H10+L10+J10+F10</f>
        <v>1738550</v>
      </c>
      <c r="O10" s="444">
        <f>IF(N$12=0,0,ROUND(N10/N$12*100,2))</f>
        <v>15.12</v>
      </c>
      <c r="P10" s="481"/>
      <c r="Q10" s="255"/>
    </row>
    <row r="11" spans="1:17" ht="20.100000000000001" customHeight="1" x14ac:dyDescent="0.2">
      <c r="A11" s="151" t="s">
        <v>153</v>
      </c>
      <c r="B11" s="152">
        <f>686315+23694</f>
        <v>710009</v>
      </c>
      <c r="C11" s="444">
        <f>IF(B$12=0,0,ROUND(B11/B$12*100,1))</f>
        <v>12.9</v>
      </c>
      <c r="D11" s="152">
        <f>67376+1</f>
        <v>67377</v>
      </c>
      <c r="E11" s="444">
        <f>IF(D$12=0,0,ROUND(D11/D$12*100,1))</f>
        <v>53.7</v>
      </c>
      <c r="F11" s="152">
        <v>782065</v>
      </c>
      <c r="G11" s="444">
        <f>IF(F$12=0,0,ROUND(F11/F$12*100,1))</f>
        <v>52.8</v>
      </c>
      <c r="H11" s="152">
        <v>252989</v>
      </c>
      <c r="I11" s="444">
        <f>IF(H$12=0,0,ROUND(H11/H$12*100,2))</f>
        <v>48.11</v>
      </c>
      <c r="J11" s="152">
        <v>472404</v>
      </c>
      <c r="K11" s="444">
        <f>IF(J$12=0,0,ROUND(J11/J$12*100,2))</f>
        <v>96.68</v>
      </c>
      <c r="L11" s="475">
        <v>670429</v>
      </c>
      <c r="M11" s="444">
        <f>IF(L$12=0,0,ROUND(L11/L$12*100,2))</f>
        <v>19.93</v>
      </c>
      <c r="N11" s="152">
        <f>B11+D11+H11+L11+J11+F11</f>
        <v>2955273</v>
      </c>
      <c r="O11" s="444">
        <f>IF(N$12=0,0,ROUND(N11/N$12*100,2))</f>
        <v>25.71</v>
      </c>
      <c r="P11" s="481"/>
      <c r="Q11" s="255"/>
    </row>
    <row r="12" spans="1:17" ht="24.95" customHeight="1" x14ac:dyDescent="0.2">
      <c r="A12" s="381" t="s">
        <v>29</v>
      </c>
      <c r="B12" s="482">
        <f t="shared" ref="B12:O12" si="0">SUM(B7:B11)</f>
        <v>5510079</v>
      </c>
      <c r="C12" s="483">
        <f t="shared" si="0"/>
        <v>100</v>
      </c>
      <c r="D12" s="482">
        <f t="shared" si="0"/>
        <v>125400</v>
      </c>
      <c r="E12" s="477">
        <f t="shared" si="0"/>
        <v>99.97</v>
      </c>
      <c r="F12" s="153">
        <f t="shared" si="0"/>
        <v>1482069</v>
      </c>
      <c r="G12" s="477">
        <f t="shared" si="0"/>
        <v>100.03</v>
      </c>
      <c r="H12" s="153">
        <f t="shared" si="0"/>
        <v>525861</v>
      </c>
      <c r="I12" s="477">
        <f t="shared" si="0"/>
        <v>99.990000000000009</v>
      </c>
      <c r="J12" s="153">
        <f t="shared" si="0"/>
        <v>488637</v>
      </c>
      <c r="K12" s="477">
        <f t="shared" si="0"/>
        <v>100</v>
      </c>
      <c r="L12" s="153">
        <f t="shared" si="0"/>
        <v>3363181</v>
      </c>
      <c r="M12" s="477">
        <f t="shared" si="0"/>
        <v>99.990000000000009</v>
      </c>
      <c r="N12" s="153">
        <f t="shared" si="0"/>
        <v>11495227</v>
      </c>
      <c r="O12" s="477">
        <f t="shared" si="0"/>
        <v>99.950000000000017</v>
      </c>
      <c r="P12" s="54"/>
      <c r="Q12" s="255"/>
    </row>
    <row r="13" spans="1:17" x14ac:dyDescent="0.2">
      <c r="A13" s="484" t="s">
        <v>67</v>
      </c>
      <c r="B13" s="484"/>
      <c r="C13" s="484"/>
      <c r="D13" s="484"/>
      <c r="E13" s="484"/>
      <c r="F13" s="484"/>
      <c r="G13" s="484"/>
      <c r="H13" s="484"/>
      <c r="I13" s="484"/>
      <c r="J13" s="484"/>
      <c r="K13" s="484"/>
      <c r="L13" s="484"/>
      <c r="M13" s="484"/>
      <c r="N13" s="484"/>
      <c r="P13" s="485"/>
    </row>
    <row r="14" spans="1:17" ht="12.75" customHeight="1" x14ac:dyDescent="0.2">
      <c r="A14" s="1294" t="s">
        <v>413</v>
      </c>
      <c r="B14" s="1295"/>
      <c r="C14" s="1295"/>
      <c r="D14" s="1295"/>
      <c r="E14" s="1295"/>
      <c r="F14" s="1295"/>
      <c r="G14" s="1295"/>
      <c r="H14" s="1295"/>
      <c r="I14" s="1295"/>
      <c r="J14" s="1295"/>
      <c r="K14" s="1295"/>
      <c r="L14" s="1295"/>
      <c r="M14" s="1295"/>
      <c r="N14" s="1295"/>
      <c r="O14" s="1295"/>
    </row>
    <row r="15" spans="1:17" x14ac:dyDescent="0.2">
      <c r="B15" s="361"/>
      <c r="C15" s="361"/>
      <c r="D15" s="361"/>
      <c r="E15" s="361"/>
      <c r="F15" s="361"/>
      <c r="G15" s="361"/>
      <c r="H15" s="361"/>
      <c r="I15" s="361"/>
      <c r="J15" s="361"/>
      <c r="K15" s="361"/>
      <c r="L15" s="361"/>
      <c r="M15" s="361"/>
      <c r="N15" s="90"/>
    </row>
    <row r="16" spans="1:17" ht="14.25" x14ac:dyDescent="0.2">
      <c r="A16" s="94"/>
      <c r="B16" s="486">
        <f>'[5]41-SETOR'!C11-'34'!B12</f>
        <v>0</v>
      </c>
      <c r="C16" s="89"/>
      <c r="D16" s="486">
        <f>'[5]41-SETOR'!E11-'34'!D12</f>
        <v>0</v>
      </c>
      <c r="E16" s="89"/>
      <c r="F16" s="486">
        <f>'[5]41-SETOR'!G11-'34'!F12</f>
        <v>0</v>
      </c>
      <c r="G16" s="89"/>
      <c r="H16" s="486">
        <f>'[5]41-SETOR'!I11-'34'!H12</f>
        <v>0</v>
      </c>
      <c r="I16" s="89"/>
      <c r="J16" s="486">
        <f>'[5]41-SETOR'!K11-'34'!J12</f>
        <v>0</v>
      </c>
      <c r="K16" s="89"/>
      <c r="L16" s="486">
        <f>'[5]41-SETOR'!M11-'34'!L12</f>
        <v>0</v>
      </c>
      <c r="M16" s="89"/>
      <c r="N16" s="486">
        <f>'[5]41-SETOR'!O11-'34'!N12</f>
        <v>0</v>
      </c>
      <c r="O16" s="465"/>
    </row>
    <row r="17" spans="2:14" x14ac:dyDescent="0.2">
      <c r="B17" s="90"/>
      <c r="C17" s="90"/>
      <c r="D17" s="90"/>
      <c r="E17" s="90"/>
      <c r="F17" s="90"/>
      <c r="G17" s="90"/>
      <c r="H17" s="90"/>
      <c r="I17" s="90"/>
      <c r="J17" s="90"/>
      <c r="K17" s="430"/>
      <c r="L17" s="487"/>
      <c r="M17" s="90"/>
      <c r="N17" s="488"/>
    </row>
    <row r="18" spans="2:14" x14ac:dyDescent="0.2">
      <c r="B18" s="489"/>
      <c r="C18" s="489"/>
      <c r="D18" s="489"/>
      <c r="E18" s="489"/>
      <c r="F18" s="489"/>
      <c r="G18" s="489"/>
      <c r="H18" s="489"/>
      <c r="I18" s="489"/>
      <c r="J18" s="489"/>
      <c r="K18" s="489"/>
      <c r="L18" s="489"/>
      <c r="M18" s="489"/>
      <c r="N18" s="489"/>
    </row>
    <row r="19" spans="2:14" x14ac:dyDescent="0.2">
      <c r="B19" s="90"/>
      <c r="C19" s="90"/>
      <c r="D19" s="90"/>
      <c r="E19" s="90"/>
      <c r="F19" s="90"/>
      <c r="G19" s="90"/>
      <c r="H19" s="90"/>
      <c r="I19" s="90"/>
      <c r="J19" s="490"/>
      <c r="K19" s="430"/>
      <c r="L19" s="491"/>
      <c r="M19" s="492"/>
      <c r="N19" s="90"/>
    </row>
    <row r="20" spans="2:14" x14ac:dyDescent="0.2">
      <c r="B20" s="90"/>
      <c r="C20" s="493"/>
      <c r="D20" s="90"/>
      <c r="E20" s="493"/>
      <c r="F20" s="493"/>
      <c r="G20" s="493"/>
      <c r="H20" s="90"/>
      <c r="I20" s="493"/>
      <c r="J20" s="90"/>
      <c r="K20" s="430"/>
      <c r="L20" s="90"/>
      <c r="M20" s="90"/>
      <c r="N20" s="90"/>
    </row>
    <row r="21" spans="2:14" x14ac:dyDescent="0.2">
      <c r="B21" s="90"/>
      <c r="C21" s="90"/>
      <c r="D21" s="90"/>
      <c r="E21" s="90"/>
      <c r="F21" s="90"/>
      <c r="G21" s="90"/>
      <c r="H21" s="90"/>
      <c r="I21" s="90"/>
      <c r="J21" s="90"/>
      <c r="K21" s="90"/>
      <c r="L21" s="90"/>
      <c r="M21" s="90"/>
      <c r="N21" s="90"/>
    </row>
    <row r="22" spans="2:14" x14ac:dyDescent="0.2">
      <c r="B22" s="90"/>
      <c r="C22" s="90"/>
      <c r="D22" s="90"/>
      <c r="E22" s="90"/>
      <c r="F22" s="90"/>
      <c r="G22" s="90"/>
      <c r="H22" s="90"/>
      <c r="I22" s="90"/>
      <c r="J22" s="90"/>
      <c r="K22" s="90"/>
      <c r="L22" s="90"/>
      <c r="M22" s="90"/>
      <c r="N22" s="90"/>
    </row>
    <row r="23" spans="2:14" x14ac:dyDescent="0.2">
      <c r="B23" s="90"/>
      <c r="C23" s="90"/>
      <c r="D23" s="90"/>
      <c r="E23" s="90"/>
      <c r="F23" s="90"/>
      <c r="G23" s="90"/>
      <c r="H23" s="90"/>
      <c r="I23" s="90"/>
      <c r="J23" s="90"/>
      <c r="K23" s="90"/>
      <c r="L23" s="90"/>
      <c r="M23" s="90"/>
      <c r="N23" s="90"/>
    </row>
  </sheetData>
  <sheetProtection password="9C8D" sheet="1" objects="1" scenarios="1"/>
  <mergeCells count="5">
    <mergeCell ref="A1:O1"/>
    <mergeCell ref="A2:O2"/>
    <mergeCell ref="A3:O3"/>
    <mergeCell ref="A5:O5"/>
    <mergeCell ref="A14:O14"/>
  </mergeCells>
  <pageMargins left="0.78740157480314965" right="0.78740157480314965" top="0.98425196850393704" bottom="0.98425196850393704" header="0.51181102362204722" footer="0.51181102362204722"/>
  <pageSetup paperSize="9" scale="80"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5"/>
  <sheetViews>
    <sheetView windowProtection="1" showGridLines="0" workbookViewId="0">
      <selection activeCell="E5" sqref="E5"/>
    </sheetView>
  </sheetViews>
  <sheetFormatPr defaultRowHeight="12.75" x14ac:dyDescent="0.2"/>
  <cols>
    <col min="1" max="1" width="21.7109375" customWidth="1"/>
    <col min="2" max="2" width="26" customWidth="1"/>
    <col min="3" max="3" width="23.5703125" customWidth="1"/>
    <col min="4" max="4" width="12" customWidth="1"/>
    <col min="5" max="5" width="9.5703125" bestFit="1" customWidth="1"/>
  </cols>
  <sheetData>
    <row r="1" spans="1:17" ht="15.75" x14ac:dyDescent="0.25">
      <c r="A1" s="1297" t="s">
        <v>415</v>
      </c>
      <c r="B1" s="1297"/>
      <c r="C1" s="1297"/>
      <c r="D1" s="1297"/>
      <c r="E1" s="110"/>
      <c r="F1" s="110"/>
      <c r="G1" s="110"/>
      <c r="H1" s="110"/>
      <c r="I1" s="110"/>
      <c r="J1" s="110"/>
      <c r="K1" s="110"/>
      <c r="L1" s="110"/>
      <c r="M1" s="110"/>
      <c r="N1" s="110"/>
      <c r="O1" s="110"/>
      <c r="P1" s="110"/>
      <c r="Q1" s="110"/>
    </row>
    <row r="2" spans="1:17" ht="15" x14ac:dyDescent="0.2">
      <c r="A2" s="1298" t="s">
        <v>124</v>
      </c>
      <c r="B2" s="1298"/>
      <c r="C2" s="1298"/>
      <c r="D2" s="1298"/>
      <c r="E2" s="110"/>
      <c r="F2" s="110"/>
      <c r="G2" s="110"/>
      <c r="H2" s="110"/>
      <c r="I2" s="110"/>
      <c r="J2" s="110"/>
      <c r="K2" s="110"/>
      <c r="L2" s="110"/>
      <c r="M2" s="110"/>
      <c r="N2" s="110"/>
      <c r="O2" s="110"/>
      <c r="P2" s="110"/>
      <c r="Q2" s="110"/>
    </row>
    <row r="3" spans="1:17" ht="15" x14ac:dyDescent="0.2">
      <c r="A3" s="1298" t="str">
        <f>[5]Dados!A18</f>
        <v>Exercício de 2015</v>
      </c>
      <c r="B3" s="1298"/>
      <c r="C3" s="1298"/>
      <c r="D3" s="1298"/>
      <c r="E3" s="110"/>
      <c r="F3" s="110"/>
      <c r="G3" s="110"/>
      <c r="H3" s="110"/>
      <c r="I3" s="110"/>
      <c r="J3" s="110"/>
      <c r="K3" s="110"/>
      <c r="L3" s="110"/>
      <c r="M3" s="110"/>
      <c r="N3" s="110"/>
      <c r="O3" s="110"/>
      <c r="P3" s="110"/>
      <c r="Q3" s="110"/>
    </row>
    <row r="4" spans="1:17" ht="15.75" x14ac:dyDescent="0.25">
      <c r="A4" s="180"/>
      <c r="B4" s="181"/>
      <c r="C4" s="181"/>
      <c r="D4" s="181"/>
      <c r="E4" s="110"/>
      <c r="F4" s="110"/>
      <c r="G4" s="110"/>
      <c r="H4" s="110"/>
      <c r="I4" s="110"/>
      <c r="J4" s="110"/>
      <c r="K4" s="110"/>
      <c r="L4" s="110"/>
      <c r="M4" s="110"/>
      <c r="N4" s="110"/>
      <c r="O4" s="110"/>
      <c r="P4" s="110"/>
      <c r="Q4" s="110"/>
    </row>
    <row r="5" spans="1:17" ht="54" customHeight="1" x14ac:dyDescent="0.2">
      <c r="A5" s="97" t="s">
        <v>87</v>
      </c>
      <c r="B5" s="97" t="s">
        <v>125</v>
      </c>
      <c r="C5" s="97" t="s">
        <v>126</v>
      </c>
      <c r="D5" s="97" t="s">
        <v>127</v>
      </c>
      <c r="E5" s="58"/>
      <c r="F5" s="110"/>
      <c r="G5" s="110"/>
      <c r="H5" s="110"/>
      <c r="I5" s="110"/>
      <c r="J5" s="110"/>
      <c r="K5" s="110"/>
      <c r="L5" s="110"/>
      <c r="M5" s="110"/>
      <c r="N5" s="110"/>
      <c r="O5" s="110"/>
      <c r="P5" s="110"/>
      <c r="Q5" s="110"/>
    </row>
    <row r="6" spans="1:17" ht="18" customHeight="1" x14ac:dyDescent="0.2">
      <c r="A6" s="161" t="s">
        <v>88</v>
      </c>
      <c r="B6" s="182">
        <v>102</v>
      </c>
      <c r="C6" s="182">
        <v>102</v>
      </c>
      <c r="D6" s="183">
        <f>ROUND(C6/B6*100,2)</f>
        <v>100</v>
      </c>
      <c r="E6" s="110"/>
      <c r="F6" s="110"/>
      <c r="G6" s="110"/>
      <c r="H6" s="110"/>
      <c r="I6" s="110"/>
      <c r="J6" s="110"/>
      <c r="K6" s="110"/>
      <c r="L6" s="110"/>
      <c r="M6" s="110"/>
      <c r="N6" s="110"/>
      <c r="O6" s="110"/>
      <c r="P6" s="110"/>
      <c r="Q6" s="110"/>
    </row>
    <row r="7" spans="1:17" ht="18" customHeight="1" x14ac:dyDescent="0.2">
      <c r="A7" s="161" t="s">
        <v>107</v>
      </c>
      <c r="B7" s="182">
        <v>417</v>
      </c>
      <c r="C7" s="182">
        <v>417</v>
      </c>
      <c r="D7" s="183">
        <f t="shared" ref="D7:D17" si="0">ROUND(C7/B7*100,2)</f>
        <v>100</v>
      </c>
      <c r="E7" s="110"/>
      <c r="F7" s="110"/>
      <c r="G7" s="110"/>
      <c r="H7" s="110"/>
      <c r="I7" s="110"/>
      <c r="J7" s="110"/>
      <c r="K7" s="110"/>
      <c r="L7" s="110"/>
      <c r="M7" s="110"/>
      <c r="N7" s="110"/>
      <c r="O7" s="110"/>
      <c r="P7" s="110"/>
      <c r="Q7" s="110"/>
    </row>
    <row r="8" spans="1:17" ht="18" customHeight="1" x14ac:dyDescent="0.2">
      <c r="A8" s="161" t="s">
        <v>90</v>
      </c>
      <c r="B8" s="182">
        <v>184</v>
      </c>
      <c r="C8" s="182">
        <v>184</v>
      </c>
      <c r="D8" s="183">
        <f t="shared" si="0"/>
        <v>100</v>
      </c>
      <c r="E8" s="110"/>
      <c r="F8" s="110"/>
      <c r="G8" s="110"/>
      <c r="H8" s="110"/>
      <c r="I8" s="110"/>
      <c r="J8" s="110"/>
      <c r="K8" s="110"/>
      <c r="L8" s="110"/>
      <c r="M8" s="110"/>
      <c r="N8" s="110"/>
      <c r="O8" s="110"/>
      <c r="P8" s="110"/>
      <c r="Q8" s="110"/>
    </row>
    <row r="9" spans="1:17" ht="18" customHeight="1" x14ac:dyDescent="0.2">
      <c r="A9" s="161" t="s">
        <v>128</v>
      </c>
      <c r="B9" s="182">
        <v>28</v>
      </c>
      <c r="C9" s="182">
        <v>28</v>
      </c>
      <c r="D9" s="183">
        <f t="shared" si="0"/>
        <v>100</v>
      </c>
      <c r="E9" s="110"/>
      <c r="F9" s="110"/>
      <c r="G9" s="110"/>
      <c r="H9" s="110"/>
      <c r="I9" s="110"/>
      <c r="J9" s="110"/>
      <c r="K9" s="110"/>
      <c r="L9" s="110"/>
      <c r="M9" s="110"/>
      <c r="N9" s="110"/>
      <c r="O9" s="110"/>
      <c r="P9" s="110"/>
      <c r="Q9" s="110"/>
    </row>
    <row r="10" spans="1:17" ht="18" customHeight="1" x14ac:dyDescent="0.2">
      <c r="A10" s="161" t="s">
        <v>92</v>
      </c>
      <c r="B10" s="182">
        <v>217</v>
      </c>
      <c r="C10" s="182">
        <v>217</v>
      </c>
      <c r="D10" s="183">
        <f t="shared" si="0"/>
        <v>100</v>
      </c>
      <c r="E10" s="110"/>
      <c r="F10" s="110"/>
      <c r="G10" s="110"/>
      <c r="H10" s="110"/>
      <c r="I10" s="110"/>
      <c r="J10" s="110"/>
      <c r="K10" s="110"/>
      <c r="L10" s="110"/>
      <c r="M10" s="110"/>
      <c r="N10" s="110"/>
      <c r="O10" s="110"/>
      <c r="P10" s="110"/>
      <c r="Q10" s="110"/>
    </row>
    <row r="11" spans="1:17" ht="18" customHeight="1" x14ac:dyDescent="0.2">
      <c r="A11" s="170" t="s">
        <v>129</v>
      </c>
      <c r="B11" s="182">
        <v>168</v>
      </c>
      <c r="C11" s="182">
        <v>168</v>
      </c>
      <c r="D11" s="183">
        <f t="shared" si="0"/>
        <v>100</v>
      </c>
      <c r="E11" s="110"/>
      <c r="F11" s="110"/>
      <c r="G11" s="110"/>
      <c r="H11" s="110"/>
      <c r="I11" s="110"/>
      <c r="J11" s="110"/>
      <c r="K11" s="110"/>
      <c r="L11" s="110"/>
      <c r="M11" s="110"/>
      <c r="N11" s="110"/>
      <c r="O11" s="110"/>
      <c r="P11" s="110"/>
      <c r="Q11" s="110"/>
    </row>
    <row r="12" spans="1:17" ht="18" customHeight="1" x14ac:dyDescent="0.2">
      <c r="A12" s="161" t="s">
        <v>94</v>
      </c>
      <c r="B12" s="182">
        <v>223</v>
      </c>
      <c r="C12" s="182">
        <v>223</v>
      </c>
      <c r="D12" s="183">
        <f t="shared" si="0"/>
        <v>100</v>
      </c>
      <c r="E12" s="110"/>
      <c r="F12" s="110"/>
      <c r="G12" s="110"/>
      <c r="H12" s="110"/>
      <c r="I12" s="110"/>
      <c r="J12" s="110"/>
      <c r="K12" s="110"/>
      <c r="L12" s="110"/>
      <c r="M12" s="110"/>
      <c r="N12" s="110"/>
      <c r="O12" s="110"/>
      <c r="P12" s="110"/>
      <c r="Q12" s="110"/>
    </row>
    <row r="13" spans="1:17" ht="18" customHeight="1" x14ac:dyDescent="0.2">
      <c r="A13" s="161" t="s">
        <v>130</v>
      </c>
      <c r="B13" s="182">
        <v>185</v>
      </c>
      <c r="C13" s="182">
        <v>185</v>
      </c>
      <c r="D13" s="183">
        <f t="shared" si="0"/>
        <v>100</v>
      </c>
      <c r="E13" s="110"/>
      <c r="F13" s="110"/>
      <c r="G13" s="110"/>
      <c r="H13" s="110"/>
      <c r="I13" s="110"/>
      <c r="J13" s="110"/>
      <c r="K13" s="110"/>
      <c r="L13" s="110"/>
      <c r="M13" s="110"/>
      <c r="N13" s="110"/>
      <c r="O13" s="110"/>
      <c r="P13" s="110"/>
      <c r="Q13" s="110"/>
    </row>
    <row r="14" spans="1:17" ht="18" customHeight="1" x14ac:dyDescent="0.2">
      <c r="A14" s="161" t="s">
        <v>96</v>
      </c>
      <c r="B14" s="182">
        <v>224</v>
      </c>
      <c r="C14" s="182">
        <v>224</v>
      </c>
      <c r="D14" s="183">
        <f t="shared" si="0"/>
        <v>100</v>
      </c>
      <c r="E14" s="110"/>
      <c r="F14" s="110"/>
      <c r="G14" s="110"/>
      <c r="H14" s="110"/>
      <c r="I14" s="110"/>
      <c r="J14" s="110"/>
      <c r="K14" s="110"/>
      <c r="L14" s="110"/>
      <c r="M14" s="110"/>
      <c r="N14" s="110"/>
      <c r="O14" s="110"/>
      <c r="P14" s="110"/>
      <c r="Q14" s="110"/>
    </row>
    <row r="15" spans="1:17" ht="18" customHeight="1" x14ac:dyDescent="0.2">
      <c r="A15" s="161" t="s">
        <v>97</v>
      </c>
      <c r="B15" s="182">
        <v>167</v>
      </c>
      <c r="C15" s="182">
        <v>167</v>
      </c>
      <c r="D15" s="183">
        <f t="shared" si="0"/>
        <v>100</v>
      </c>
      <c r="E15" s="110"/>
      <c r="F15" s="110"/>
      <c r="G15" s="110"/>
      <c r="H15" s="110"/>
      <c r="I15" s="110"/>
      <c r="J15" s="110"/>
      <c r="K15" s="110"/>
      <c r="L15" s="110"/>
      <c r="M15" s="110"/>
      <c r="N15" s="110"/>
      <c r="O15" s="110"/>
      <c r="P15" s="110"/>
      <c r="Q15" s="110"/>
    </row>
    <row r="16" spans="1:17" ht="18" customHeight="1" x14ac:dyDescent="0.2">
      <c r="A16" s="161" t="s">
        <v>98</v>
      </c>
      <c r="B16" s="182">
        <v>75</v>
      </c>
      <c r="C16" s="182">
        <v>75</v>
      </c>
      <c r="D16" s="183">
        <f t="shared" si="0"/>
        <v>100</v>
      </c>
      <c r="E16" s="110"/>
      <c r="F16" s="110"/>
      <c r="G16" s="110"/>
      <c r="H16" s="110"/>
      <c r="I16" s="110"/>
      <c r="J16" s="110"/>
      <c r="K16" s="110"/>
      <c r="L16" s="110"/>
      <c r="M16" s="110"/>
      <c r="N16" s="110"/>
      <c r="O16" s="110"/>
      <c r="P16" s="110"/>
      <c r="Q16" s="110"/>
    </row>
    <row r="17" spans="1:17" ht="26.25" customHeight="1" x14ac:dyDescent="0.2">
      <c r="A17" s="97" t="s">
        <v>29</v>
      </c>
      <c r="B17" s="184">
        <f>SUM(B6:B16)</f>
        <v>1990</v>
      </c>
      <c r="C17" s="184">
        <f>SUM(C6:C16)</f>
        <v>1990</v>
      </c>
      <c r="D17" s="38">
        <f t="shared" si="0"/>
        <v>100</v>
      </c>
      <c r="E17" s="185"/>
      <c r="F17" s="110"/>
      <c r="G17" s="110"/>
      <c r="H17" s="110"/>
      <c r="I17" s="110"/>
      <c r="J17" s="110"/>
      <c r="K17" s="110"/>
      <c r="L17" s="110"/>
      <c r="M17" s="110"/>
      <c r="N17" s="110"/>
      <c r="O17" s="110"/>
      <c r="P17" s="110"/>
      <c r="Q17" s="110"/>
    </row>
    <row r="18" spans="1:17" x14ac:dyDescent="0.2">
      <c r="A18" s="1299" t="s">
        <v>131</v>
      </c>
      <c r="B18" s="1299"/>
      <c r="C18" s="1299"/>
      <c r="D18" s="1299"/>
      <c r="E18" s="110"/>
      <c r="F18" s="110"/>
      <c r="G18" s="110"/>
      <c r="H18" s="110"/>
      <c r="I18" s="110"/>
      <c r="J18" s="110"/>
      <c r="K18" s="110"/>
      <c r="L18" s="110"/>
      <c r="M18" s="110"/>
      <c r="N18" s="110"/>
      <c r="O18" s="110"/>
      <c r="P18" s="110"/>
      <c r="Q18" s="110"/>
    </row>
    <row r="19" spans="1:17" ht="18" customHeight="1" x14ac:dyDescent="0.2">
      <c r="A19" s="1300" t="s">
        <v>132</v>
      </c>
      <c r="B19" s="1301"/>
      <c r="C19" s="1301"/>
      <c r="D19" s="1301"/>
      <c r="E19" s="110"/>
      <c r="F19" s="110"/>
      <c r="G19" s="110"/>
      <c r="H19" s="110"/>
      <c r="I19" s="110"/>
      <c r="J19" s="110"/>
      <c r="K19" s="110"/>
      <c r="L19" s="110"/>
      <c r="M19" s="110"/>
      <c r="N19" s="110"/>
      <c r="O19" s="110"/>
      <c r="P19" s="110"/>
      <c r="Q19" s="110"/>
    </row>
    <row r="20" spans="1:17" x14ac:dyDescent="0.2">
      <c r="A20" s="110"/>
      <c r="B20" s="110"/>
      <c r="C20" s="110"/>
      <c r="D20" s="186"/>
      <c r="E20" s="110"/>
      <c r="F20" s="110"/>
      <c r="G20" s="110"/>
      <c r="H20" s="110"/>
      <c r="I20" s="110"/>
      <c r="J20" s="110"/>
      <c r="K20" s="110"/>
      <c r="L20" s="110"/>
      <c r="M20" s="110"/>
      <c r="N20" s="110"/>
      <c r="O20" s="110"/>
      <c r="P20" s="110"/>
      <c r="Q20" s="110"/>
    </row>
    <row r="21" spans="1:17" x14ac:dyDescent="0.2">
      <c r="A21" s="1296"/>
      <c r="B21" s="1296"/>
      <c r="C21" s="1296"/>
      <c r="D21" s="1296"/>
      <c r="E21" s="1296"/>
      <c r="F21" s="1296"/>
      <c r="G21" s="1296"/>
      <c r="H21" s="1296"/>
      <c r="I21" s="1296"/>
      <c r="J21" s="1296"/>
      <c r="K21" s="1296"/>
      <c r="L21" s="1296"/>
      <c r="M21" s="110"/>
      <c r="N21" s="110"/>
      <c r="O21" s="110"/>
      <c r="P21" s="110"/>
    </row>
    <row r="22" spans="1:17" x14ac:dyDescent="0.2">
      <c r="A22" s="110"/>
      <c r="B22" s="110"/>
      <c r="C22" s="110"/>
      <c r="D22" s="110"/>
      <c r="E22" s="110"/>
      <c r="F22" s="110"/>
      <c r="G22" s="110"/>
      <c r="H22" s="110"/>
      <c r="I22" s="110"/>
      <c r="J22" s="110"/>
      <c r="K22" s="110"/>
      <c r="L22" s="110"/>
      <c r="M22" s="110"/>
      <c r="N22" s="110"/>
      <c r="O22" s="110"/>
      <c r="P22" s="110"/>
    </row>
    <row r="23" spans="1:17" x14ac:dyDescent="0.2">
      <c r="A23" s="110"/>
      <c r="B23" s="110"/>
      <c r="C23" s="110"/>
      <c r="D23" s="110"/>
      <c r="E23" s="110"/>
      <c r="F23" s="110"/>
      <c r="G23" s="110"/>
      <c r="H23" s="110"/>
      <c r="I23" s="110"/>
      <c r="J23" s="110"/>
      <c r="K23" s="110"/>
      <c r="L23" s="110"/>
      <c r="M23" s="110"/>
      <c r="N23" s="110"/>
      <c r="O23" s="110"/>
      <c r="P23" s="110"/>
    </row>
    <row r="24" spans="1:17" x14ac:dyDescent="0.2">
      <c r="A24" s="110"/>
      <c r="B24" s="110"/>
      <c r="C24" s="110"/>
      <c r="D24" s="110"/>
      <c r="E24" s="110"/>
      <c r="F24" s="110"/>
      <c r="G24" s="110"/>
      <c r="H24" s="110"/>
      <c r="I24" s="110"/>
      <c r="J24" s="110"/>
      <c r="K24" s="110"/>
      <c r="L24" s="110"/>
      <c r="M24" s="110"/>
      <c r="N24" s="110"/>
      <c r="O24" s="110"/>
      <c r="P24" s="110"/>
    </row>
    <row r="25" spans="1:17" x14ac:dyDescent="0.2">
      <c r="A25" s="110"/>
      <c r="B25" s="110"/>
      <c r="C25" s="110"/>
      <c r="D25" s="110"/>
      <c r="E25" s="110"/>
      <c r="F25" s="110"/>
      <c r="G25" s="110"/>
      <c r="H25" s="110"/>
      <c r="I25" s="110"/>
      <c r="J25" s="110"/>
      <c r="K25" s="110"/>
      <c r="L25" s="110"/>
      <c r="M25" s="110"/>
      <c r="N25" s="110"/>
      <c r="O25" s="110"/>
      <c r="P25" s="110"/>
    </row>
    <row r="26" spans="1:17" x14ac:dyDescent="0.2">
      <c r="A26" s="110"/>
      <c r="B26" s="110"/>
      <c r="C26" s="110"/>
      <c r="D26" s="110"/>
      <c r="E26" s="110"/>
      <c r="F26" s="110"/>
      <c r="G26" s="110"/>
      <c r="H26" s="110"/>
      <c r="I26" s="110"/>
      <c r="J26" s="110"/>
      <c r="K26" s="110"/>
      <c r="L26" s="110"/>
      <c r="M26" s="110"/>
      <c r="N26" s="110"/>
      <c r="O26" s="110"/>
      <c r="P26" s="110"/>
    </row>
    <row r="27" spans="1:17" x14ac:dyDescent="0.2">
      <c r="A27" s="110"/>
      <c r="B27" s="110"/>
      <c r="C27" s="110"/>
      <c r="D27" s="110"/>
      <c r="E27" s="110"/>
      <c r="F27" s="110"/>
      <c r="G27" s="110"/>
      <c r="H27" s="110"/>
      <c r="I27" s="110"/>
      <c r="J27" s="110"/>
      <c r="K27" s="110"/>
      <c r="L27" s="110"/>
      <c r="M27" s="110"/>
      <c r="N27" s="110"/>
      <c r="O27" s="110"/>
      <c r="P27" s="110"/>
    </row>
    <row r="28" spans="1:17" x14ac:dyDescent="0.2">
      <c r="A28" s="110"/>
      <c r="B28" s="110"/>
      <c r="C28" s="110"/>
      <c r="D28" s="110"/>
      <c r="E28" s="110"/>
      <c r="F28" s="110"/>
      <c r="G28" s="110"/>
      <c r="H28" s="110"/>
      <c r="I28" s="110"/>
      <c r="J28" s="110"/>
      <c r="K28" s="110"/>
      <c r="L28" s="110"/>
      <c r="M28" s="110"/>
      <c r="N28" s="110"/>
      <c r="O28" s="110"/>
      <c r="P28" s="110"/>
    </row>
    <row r="29" spans="1:17" x14ac:dyDescent="0.2">
      <c r="A29" s="110"/>
      <c r="B29" s="110"/>
      <c r="C29" s="110"/>
      <c r="D29" s="110"/>
      <c r="E29" s="110"/>
      <c r="F29" s="110"/>
      <c r="G29" s="110"/>
      <c r="H29" s="110"/>
      <c r="I29" s="110"/>
      <c r="J29" s="110"/>
      <c r="K29" s="110"/>
      <c r="L29" s="110"/>
      <c r="M29" s="110"/>
      <c r="N29" s="110"/>
      <c r="O29" s="110"/>
      <c r="P29" s="110"/>
    </row>
    <row r="30" spans="1:17" x14ac:dyDescent="0.2">
      <c r="A30" s="110"/>
      <c r="B30" s="110"/>
      <c r="C30" s="110"/>
      <c r="D30" s="110"/>
      <c r="E30" s="110"/>
      <c r="F30" s="110"/>
      <c r="G30" s="110"/>
      <c r="H30" s="110"/>
      <c r="I30" s="110"/>
      <c r="J30" s="110"/>
      <c r="K30" s="110"/>
      <c r="L30" s="110"/>
      <c r="M30" s="110"/>
      <c r="N30" s="110"/>
      <c r="O30" s="110"/>
      <c r="P30" s="110"/>
    </row>
    <row r="31" spans="1:17" x14ac:dyDescent="0.2">
      <c r="A31" s="110"/>
      <c r="B31" s="110"/>
      <c r="C31" s="110"/>
      <c r="D31" s="110"/>
      <c r="E31" s="110"/>
      <c r="F31" s="110"/>
      <c r="G31" s="110"/>
      <c r="H31" s="110"/>
      <c r="I31" s="110"/>
      <c r="J31" s="110"/>
      <c r="K31" s="110"/>
      <c r="L31" s="110"/>
      <c r="M31" s="110"/>
      <c r="N31" s="110"/>
      <c r="O31" s="110"/>
      <c r="P31" s="110"/>
    </row>
    <row r="32" spans="1:17" x14ac:dyDescent="0.2">
      <c r="A32" s="110"/>
      <c r="B32" s="110"/>
      <c r="C32" s="110"/>
      <c r="D32" s="110"/>
      <c r="E32" s="110"/>
      <c r="F32" s="110"/>
      <c r="G32" s="110"/>
      <c r="H32" s="110"/>
      <c r="I32" s="110"/>
      <c r="J32" s="110"/>
      <c r="K32" s="110"/>
      <c r="L32" s="110"/>
      <c r="M32" s="110"/>
      <c r="N32" s="110"/>
      <c r="O32" s="110"/>
      <c r="P32" s="110"/>
    </row>
    <row r="33" spans="1:16" x14ac:dyDescent="0.2">
      <c r="A33" s="110"/>
      <c r="B33" s="110"/>
      <c r="C33" s="110"/>
      <c r="D33" s="110"/>
      <c r="E33" s="110"/>
      <c r="F33" s="110"/>
      <c r="G33" s="110"/>
      <c r="H33" s="110"/>
      <c r="I33" s="110"/>
      <c r="J33" s="110"/>
      <c r="K33" s="110"/>
      <c r="L33" s="110"/>
      <c r="M33" s="110"/>
      <c r="N33" s="110"/>
      <c r="O33" s="110"/>
      <c r="P33" s="110"/>
    </row>
    <row r="34" spans="1:16" x14ac:dyDescent="0.2">
      <c r="A34" s="110"/>
      <c r="B34" s="110"/>
      <c r="C34" s="110"/>
      <c r="D34" s="110"/>
      <c r="E34" s="110"/>
      <c r="F34" s="110"/>
      <c r="G34" s="110"/>
      <c r="H34" s="110"/>
      <c r="I34" s="110"/>
      <c r="J34" s="110"/>
      <c r="K34" s="110"/>
      <c r="L34" s="110"/>
      <c r="M34" s="110"/>
      <c r="N34" s="110"/>
      <c r="O34" s="110"/>
      <c r="P34" s="110"/>
    </row>
    <row r="35" spans="1:16" x14ac:dyDescent="0.2">
      <c r="A35" s="110"/>
      <c r="B35" s="110"/>
      <c r="C35" s="110"/>
      <c r="D35" s="110"/>
      <c r="E35" s="110"/>
      <c r="F35" s="110"/>
      <c r="G35" s="110"/>
      <c r="H35" s="110"/>
      <c r="I35" s="110"/>
      <c r="J35" s="110"/>
      <c r="K35" s="110"/>
      <c r="L35" s="110"/>
      <c r="M35" s="110"/>
      <c r="N35" s="110"/>
      <c r="O35" s="110"/>
      <c r="P35" s="110"/>
    </row>
    <row r="36" spans="1:16" x14ac:dyDescent="0.2">
      <c r="A36" s="110"/>
      <c r="B36" s="110"/>
      <c r="C36" s="110"/>
      <c r="D36" s="110"/>
      <c r="E36" s="110"/>
      <c r="F36" s="110"/>
      <c r="G36" s="110"/>
      <c r="H36" s="110"/>
      <c r="I36" s="110"/>
      <c r="J36" s="110"/>
      <c r="K36" s="110"/>
      <c r="L36" s="110"/>
      <c r="M36" s="110"/>
      <c r="N36" s="110"/>
      <c r="O36" s="110"/>
      <c r="P36" s="110"/>
    </row>
    <row r="37" spans="1:16" x14ac:dyDescent="0.2">
      <c r="A37" s="110"/>
      <c r="B37" s="110"/>
      <c r="C37" s="110"/>
      <c r="D37" s="110"/>
      <c r="E37" s="110"/>
      <c r="F37" s="110"/>
      <c r="G37" s="110"/>
      <c r="H37" s="110"/>
      <c r="I37" s="110"/>
      <c r="J37" s="110"/>
      <c r="K37" s="110"/>
      <c r="L37" s="110"/>
      <c r="M37" s="110"/>
      <c r="N37" s="110"/>
      <c r="O37" s="110"/>
      <c r="P37" s="110"/>
    </row>
    <row r="38" spans="1:16" x14ac:dyDescent="0.2">
      <c r="A38" s="110"/>
      <c r="B38" s="110"/>
      <c r="C38" s="110"/>
      <c r="D38" s="110"/>
      <c r="E38" s="110"/>
      <c r="F38" s="110"/>
      <c r="G38" s="110"/>
      <c r="H38" s="110"/>
      <c r="I38" s="110"/>
      <c r="J38" s="110"/>
      <c r="K38" s="110"/>
      <c r="L38" s="110"/>
      <c r="M38" s="110"/>
      <c r="N38" s="110"/>
      <c r="O38" s="110"/>
      <c r="P38" s="110"/>
    </row>
    <row r="39" spans="1:16" x14ac:dyDescent="0.2">
      <c r="A39" s="110"/>
      <c r="B39" s="110"/>
      <c r="C39" s="110"/>
      <c r="D39" s="110"/>
      <c r="E39" s="110"/>
      <c r="F39" s="110"/>
      <c r="G39" s="110"/>
      <c r="H39" s="110"/>
      <c r="I39" s="110"/>
      <c r="J39" s="110"/>
      <c r="K39" s="110"/>
      <c r="L39" s="110"/>
      <c r="M39" s="110"/>
      <c r="N39" s="110"/>
      <c r="O39" s="110"/>
      <c r="P39" s="110"/>
    </row>
    <row r="40" spans="1:16" x14ac:dyDescent="0.2">
      <c r="A40" s="110"/>
      <c r="B40" s="110"/>
      <c r="C40" s="110"/>
      <c r="D40" s="110"/>
      <c r="E40" s="110"/>
      <c r="F40" s="110"/>
      <c r="G40" s="110"/>
      <c r="H40" s="110"/>
      <c r="I40" s="110"/>
      <c r="J40" s="110"/>
      <c r="K40" s="110"/>
      <c r="L40" s="110"/>
      <c r="M40" s="110"/>
      <c r="N40" s="110"/>
      <c r="O40" s="110"/>
      <c r="P40" s="110"/>
    </row>
    <row r="41" spans="1:16" x14ac:dyDescent="0.2">
      <c r="A41" s="110"/>
      <c r="B41" s="110"/>
      <c r="C41" s="110"/>
      <c r="D41" s="110"/>
      <c r="E41" s="110"/>
      <c r="F41" s="110"/>
      <c r="G41" s="110"/>
      <c r="H41" s="110"/>
      <c r="I41" s="110"/>
      <c r="J41" s="110"/>
      <c r="K41" s="110"/>
      <c r="L41" s="110"/>
      <c r="M41" s="110"/>
      <c r="N41" s="110"/>
      <c r="O41" s="110"/>
      <c r="P41" s="110"/>
    </row>
    <row r="42" spans="1:16" x14ac:dyDescent="0.2">
      <c r="A42" s="110"/>
      <c r="B42" s="110"/>
      <c r="C42" s="110"/>
      <c r="D42" s="110"/>
      <c r="E42" s="110"/>
      <c r="F42" s="110"/>
      <c r="G42" s="110"/>
      <c r="H42" s="110"/>
      <c r="I42" s="110"/>
      <c r="J42" s="110"/>
      <c r="K42" s="110"/>
      <c r="L42" s="110"/>
      <c r="M42" s="110"/>
      <c r="N42" s="110"/>
      <c r="O42" s="110"/>
      <c r="P42" s="110"/>
    </row>
    <row r="43" spans="1:16" x14ac:dyDescent="0.2">
      <c r="A43" s="110"/>
      <c r="B43" s="110"/>
      <c r="C43" s="110"/>
      <c r="D43" s="110"/>
      <c r="E43" s="110"/>
      <c r="F43" s="110"/>
      <c r="G43" s="110"/>
      <c r="H43" s="110"/>
      <c r="I43" s="110"/>
      <c r="J43" s="110"/>
      <c r="K43" s="110"/>
      <c r="L43" s="110"/>
      <c r="M43" s="110"/>
      <c r="N43" s="110"/>
      <c r="O43" s="110"/>
      <c r="P43" s="110"/>
    </row>
    <row r="44" spans="1:16" x14ac:dyDescent="0.2">
      <c r="A44" s="110"/>
      <c r="B44" s="110"/>
      <c r="C44" s="110"/>
      <c r="D44" s="110"/>
      <c r="E44" s="110"/>
      <c r="F44" s="110"/>
      <c r="G44" s="110"/>
      <c r="H44" s="110"/>
      <c r="I44" s="110"/>
      <c r="J44" s="110"/>
      <c r="K44" s="110"/>
      <c r="L44" s="110"/>
      <c r="M44" s="110"/>
      <c r="N44" s="110"/>
      <c r="O44" s="110"/>
      <c r="P44" s="110"/>
    </row>
    <row r="45" spans="1:16" x14ac:dyDescent="0.2">
      <c r="A45" s="110"/>
      <c r="B45" s="110"/>
      <c r="C45" s="110"/>
      <c r="D45" s="110"/>
      <c r="E45" s="110"/>
      <c r="F45" s="110"/>
      <c r="G45" s="110"/>
      <c r="H45" s="110"/>
      <c r="I45" s="110"/>
      <c r="J45" s="110"/>
      <c r="K45" s="110"/>
      <c r="L45" s="110"/>
      <c r="M45" s="110"/>
      <c r="N45" s="110"/>
      <c r="O45" s="110"/>
      <c r="P45" s="110"/>
    </row>
    <row r="46" spans="1:16" x14ac:dyDescent="0.2">
      <c r="A46" s="110"/>
      <c r="B46" s="110"/>
      <c r="C46" s="110"/>
      <c r="D46" s="110"/>
      <c r="E46" s="110"/>
      <c r="F46" s="110"/>
      <c r="G46" s="110"/>
      <c r="H46" s="110"/>
      <c r="I46" s="110"/>
      <c r="J46" s="110"/>
      <c r="K46" s="110"/>
      <c r="L46" s="110"/>
      <c r="M46" s="110"/>
      <c r="N46" s="110"/>
      <c r="O46" s="110"/>
      <c r="P46" s="110"/>
    </row>
    <row r="47" spans="1:16" x14ac:dyDescent="0.2">
      <c r="A47" s="110"/>
      <c r="B47" s="110"/>
      <c r="C47" s="110"/>
      <c r="D47" s="110"/>
      <c r="E47" s="110"/>
      <c r="F47" s="110"/>
      <c r="G47" s="110"/>
      <c r="H47" s="110"/>
      <c r="I47" s="110"/>
      <c r="J47" s="110"/>
      <c r="K47" s="110"/>
      <c r="L47" s="110"/>
      <c r="M47" s="110"/>
      <c r="N47" s="110"/>
      <c r="O47" s="110"/>
      <c r="P47" s="110"/>
    </row>
    <row r="48" spans="1:16" x14ac:dyDescent="0.2">
      <c r="A48" s="110"/>
      <c r="B48" s="110"/>
      <c r="C48" s="110"/>
      <c r="D48" s="110"/>
      <c r="E48" s="110"/>
      <c r="F48" s="110"/>
      <c r="G48" s="110"/>
      <c r="H48" s="110"/>
      <c r="I48" s="110"/>
      <c r="J48" s="110"/>
      <c r="K48" s="110"/>
      <c r="L48" s="110"/>
      <c r="M48" s="110"/>
      <c r="N48" s="110"/>
      <c r="O48" s="110"/>
      <c r="P48" s="110"/>
    </row>
    <row r="49" spans="1:16" x14ac:dyDescent="0.2">
      <c r="A49" s="110"/>
      <c r="B49" s="110"/>
      <c r="C49" s="110"/>
      <c r="D49" s="110"/>
      <c r="E49" s="110"/>
      <c r="F49" s="110"/>
      <c r="G49" s="110"/>
      <c r="H49" s="110"/>
      <c r="I49" s="110"/>
      <c r="J49" s="110"/>
      <c r="K49" s="110"/>
      <c r="L49" s="110"/>
      <c r="M49" s="110"/>
      <c r="N49" s="110"/>
      <c r="O49" s="110"/>
      <c r="P49" s="110"/>
    </row>
    <row r="50" spans="1:16" x14ac:dyDescent="0.2">
      <c r="A50" s="110"/>
      <c r="B50" s="110"/>
      <c r="C50" s="110"/>
      <c r="D50" s="110"/>
      <c r="E50" s="110"/>
      <c r="F50" s="110"/>
      <c r="G50" s="110"/>
      <c r="H50" s="110"/>
      <c r="I50" s="110"/>
      <c r="J50" s="110"/>
      <c r="K50" s="110"/>
      <c r="L50" s="110"/>
      <c r="M50" s="110"/>
      <c r="N50" s="110"/>
      <c r="O50" s="110"/>
      <c r="P50" s="110"/>
    </row>
    <row r="51" spans="1:16" x14ac:dyDescent="0.2">
      <c r="A51" s="110"/>
      <c r="B51" s="110"/>
      <c r="C51" s="110"/>
      <c r="D51" s="110"/>
      <c r="E51" s="110"/>
      <c r="F51" s="110"/>
      <c r="G51" s="110"/>
      <c r="H51" s="110"/>
      <c r="I51" s="110"/>
      <c r="J51" s="110"/>
      <c r="K51" s="110"/>
      <c r="L51" s="110"/>
      <c r="M51" s="110"/>
      <c r="N51" s="110"/>
      <c r="O51" s="110"/>
      <c r="P51" s="110"/>
    </row>
    <row r="52" spans="1:16" x14ac:dyDescent="0.2">
      <c r="A52" s="110"/>
      <c r="B52" s="110"/>
      <c r="C52" s="110"/>
      <c r="D52" s="110"/>
      <c r="E52" s="110"/>
      <c r="F52" s="110"/>
      <c r="G52" s="110"/>
      <c r="H52" s="110"/>
      <c r="I52" s="110"/>
      <c r="J52" s="110"/>
      <c r="K52" s="110"/>
      <c r="L52" s="110"/>
      <c r="M52" s="110"/>
      <c r="N52" s="110"/>
      <c r="O52" s="110"/>
      <c r="P52" s="110"/>
    </row>
    <row r="53" spans="1:16" x14ac:dyDescent="0.2">
      <c r="A53" s="110"/>
      <c r="B53" s="110"/>
      <c r="C53" s="110"/>
      <c r="D53" s="110"/>
      <c r="E53" s="110"/>
      <c r="F53" s="110"/>
      <c r="G53" s="110"/>
      <c r="H53" s="110"/>
      <c r="I53" s="110"/>
      <c r="J53" s="110"/>
      <c r="K53" s="110"/>
      <c r="L53" s="110"/>
      <c r="M53" s="110"/>
      <c r="N53" s="110"/>
      <c r="O53" s="110"/>
      <c r="P53" s="110"/>
    </row>
    <row r="54" spans="1:16" x14ac:dyDescent="0.2">
      <c r="A54" s="110"/>
      <c r="B54" s="110"/>
      <c r="C54" s="110"/>
      <c r="D54" s="110"/>
      <c r="E54" s="110"/>
      <c r="F54" s="110"/>
      <c r="G54" s="110"/>
      <c r="H54" s="110"/>
      <c r="I54" s="110"/>
      <c r="J54" s="110"/>
      <c r="K54" s="110"/>
      <c r="L54" s="110"/>
      <c r="M54" s="110"/>
      <c r="N54" s="110"/>
      <c r="O54" s="110"/>
      <c r="P54" s="110"/>
    </row>
    <row r="55" spans="1:16" x14ac:dyDescent="0.2">
      <c r="A55" s="110"/>
      <c r="B55" s="110"/>
      <c r="C55" s="110"/>
      <c r="D55" s="110"/>
      <c r="E55" s="110"/>
      <c r="F55" s="110"/>
      <c r="G55" s="110"/>
      <c r="H55" s="110"/>
      <c r="I55" s="110"/>
      <c r="J55" s="110"/>
      <c r="K55" s="110"/>
      <c r="L55" s="110"/>
      <c r="M55" s="110"/>
      <c r="N55" s="110"/>
      <c r="O55" s="110"/>
      <c r="P55" s="110"/>
    </row>
    <row r="56" spans="1:16" x14ac:dyDescent="0.2">
      <c r="A56" s="110"/>
      <c r="B56" s="110"/>
      <c r="C56" s="110"/>
      <c r="D56" s="110"/>
      <c r="E56" s="110"/>
      <c r="F56" s="110"/>
      <c r="G56" s="110"/>
      <c r="H56" s="110"/>
      <c r="I56" s="110"/>
      <c r="J56" s="110"/>
      <c r="K56" s="110"/>
      <c r="L56" s="110"/>
      <c r="M56" s="110"/>
      <c r="N56" s="110"/>
      <c r="O56" s="110"/>
      <c r="P56" s="110"/>
    </row>
    <row r="57" spans="1:16" x14ac:dyDescent="0.2">
      <c r="A57" s="110"/>
      <c r="B57" s="110"/>
      <c r="C57" s="110"/>
      <c r="D57" s="110"/>
      <c r="E57" s="110"/>
      <c r="F57" s="110"/>
      <c r="G57" s="110"/>
      <c r="H57" s="110"/>
      <c r="I57" s="110"/>
      <c r="J57" s="110"/>
      <c r="K57" s="110"/>
      <c r="L57" s="110"/>
      <c r="M57" s="110"/>
      <c r="N57" s="110"/>
      <c r="O57" s="110"/>
      <c r="P57" s="110"/>
    </row>
    <row r="58" spans="1:16" x14ac:dyDescent="0.2">
      <c r="A58" s="110"/>
      <c r="B58" s="110"/>
      <c r="C58" s="110"/>
      <c r="D58" s="110"/>
      <c r="E58" s="110"/>
      <c r="F58" s="110"/>
      <c r="G58" s="110"/>
      <c r="H58" s="110"/>
      <c r="I58" s="110"/>
      <c r="J58" s="110"/>
      <c r="K58" s="110"/>
      <c r="L58" s="110"/>
      <c r="M58" s="110"/>
      <c r="N58" s="110"/>
      <c r="O58" s="110"/>
      <c r="P58" s="110"/>
    </row>
    <row r="59" spans="1:16" x14ac:dyDescent="0.2">
      <c r="A59" s="110"/>
      <c r="B59" s="110"/>
      <c r="C59" s="110"/>
      <c r="D59" s="110"/>
      <c r="E59" s="110"/>
      <c r="F59" s="110"/>
      <c r="G59" s="110"/>
      <c r="H59" s="110"/>
      <c r="I59" s="110"/>
      <c r="J59" s="110"/>
      <c r="K59" s="110"/>
      <c r="L59" s="110"/>
      <c r="M59" s="110"/>
      <c r="N59" s="110"/>
      <c r="O59" s="110"/>
      <c r="P59" s="110"/>
    </row>
    <row r="60" spans="1:16" x14ac:dyDescent="0.2">
      <c r="A60" s="110"/>
      <c r="B60" s="110"/>
      <c r="C60" s="110"/>
      <c r="D60" s="110"/>
      <c r="E60" s="110"/>
      <c r="F60" s="110"/>
      <c r="G60" s="110"/>
      <c r="H60" s="110"/>
      <c r="I60" s="110"/>
      <c r="J60" s="110"/>
      <c r="K60" s="110"/>
      <c r="L60" s="110"/>
      <c r="M60" s="110"/>
      <c r="N60" s="110"/>
      <c r="O60" s="110"/>
      <c r="P60" s="110"/>
    </row>
    <row r="61" spans="1:16" x14ac:dyDescent="0.2">
      <c r="A61" s="110"/>
      <c r="B61" s="110"/>
      <c r="C61" s="110"/>
      <c r="D61" s="110"/>
      <c r="E61" s="110"/>
      <c r="F61" s="110"/>
      <c r="G61" s="110"/>
      <c r="H61" s="110"/>
      <c r="I61" s="110"/>
      <c r="J61" s="110"/>
      <c r="K61" s="110"/>
      <c r="L61" s="110"/>
      <c r="M61" s="110"/>
      <c r="N61" s="110"/>
      <c r="O61" s="110"/>
      <c r="P61" s="110"/>
    </row>
    <row r="62" spans="1:16" x14ac:dyDescent="0.2">
      <c r="A62" s="110"/>
      <c r="B62" s="110"/>
      <c r="C62" s="110"/>
      <c r="D62" s="110"/>
      <c r="E62" s="110"/>
      <c r="F62" s="110"/>
      <c r="G62" s="110"/>
      <c r="H62" s="110"/>
      <c r="I62" s="110"/>
      <c r="J62" s="110"/>
      <c r="K62" s="110"/>
      <c r="L62" s="110"/>
      <c r="M62" s="110"/>
      <c r="N62" s="110"/>
      <c r="O62" s="110"/>
      <c r="P62" s="110"/>
    </row>
    <row r="63" spans="1:16" x14ac:dyDescent="0.2">
      <c r="A63" s="110"/>
      <c r="B63" s="110"/>
      <c r="C63" s="110"/>
      <c r="D63" s="110"/>
      <c r="E63" s="110"/>
      <c r="F63" s="110"/>
      <c r="G63" s="110"/>
      <c r="H63" s="110"/>
      <c r="I63" s="110"/>
      <c r="J63" s="110"/>
      <c r="K63" s="110"/>
      <c r="L63" s="110"/>
      <c r="M63" s="110"/>
      <c r="N63" s="110"/>
      <c r="O63" s="110"/>
      <c r="P63" s="110"/>
    </row>
    <row r="64" spans="1:16" x14ac:dyDescent="0.2">
      <c r="A64" s="110"/>
      <c r="B64" s="110"/>
      <c r="C64" s="110"/>
      <c r="D64" s="110"/>
      <c r="E64" s="110"/>
      <c r="F64" s="110"/>
      <c r="G64" s="110"/>
      <c r="H64" s="110"/>
      <c r="I64" s="110"/>
      <c r="J64" s="110"/>
      <c r="K64" s="110"/>
      <c r="L64" s="110"/>
      <c r="M64" s="110"/>
      <c r="N64" s="110"/>
      <c r="O64" s="110"/>
      <c r="P64" s="110"/>
    </row>
    <row r="65" spans="1:16" x14ac:dyDescent="0.2">
      <c r="A65" s="110"/>
      <c r="B65" s="110"/>
      <c r="C65" s="110"/>
      <c r="D65" s="110"/>
      <c r="E65" s="110"/>
      <c r="F65" s="110"/>
      <c r="G65" s="110"/>
      <c r="H65" s="110"/>
      <c r="I65" s="110"/>
      <c r="J65" s="110"/>
      <c r="K65" s="110"/>
      <c r="L65" s="110"/>
      <c r="M65" s="110"/>
      <c r="N65" s="110"/>
      <c r="O65" s="110"/>
      <c r="P65" s="110"/>
    </row>
    <row r="66" spans="1:16" x14ac:dyDescent="0.2">
      <c r="A66" s="110"/>
      <c r="B66" s="110"/>
      <c r="C66" s="110"/>
      <c r="D66" s="110"/>
      <c r="E66" s="110"/>
      <c r="F66" s="110"/>
      <c r="G66" s="110"/>
      <c r="H66" s="110"/>
      <c r="I66" s="110"/>
      <c r="J66" s="110"/>
      <c r="K66" s="110"/>
      <c r="L66" s="110"/>
      <c r="M66" s="110"/>
      <c r="N66" s="110"/>
      <c r="O66" s="110"/>
      <c r="P66" s="110"/>
    </row>
    <row r="67" spans="1:16" x14ac:dyDescent="0.2">
      <c r="A67" s="110"/>
      <c r="B67" s="110"/>
      <c r="C67" s="110"/>
      <c r="D67" s="110"/>
      <c r="E67" s="110"/>
      <c r="F67" s="110"/>
      <c r="G67" s="110"/>
      <c r="H67" s="110"/>
      <c r="I67" s="110"/>
      <c r="J67" s="110"/>
      <c r="K67" s="110"/>
      <c r="L67" s="110"/>
      <c r="M67" s="110"/>
      <c r="N67" s="110"/>
      <c r="O67" s="110"/>
      <c r="P67" s="110"/>
    </row>
    <row r="68" spans="1:16" x14ac:dyDescent="0.2">
      <c r="A68" s="110"/>
      <c r="B68" s="110"/>
      <c r="C68" s="110"/>
      <c r="D68" s="110"/>
      <c r="E68" s="110"/>
      <c r="F68" s="110"/>
      <c r="G68" s="110"/>
      <c r="H68" s="110"/>
      <c r="I68" s="110"/>
      <c r="J68" s="110"/>
      <c r="K68" s="110"/>
      <c r="L68" s="110"/>
      <c r="M68" s="110"/>
      <c r="N68" s="110"/>
      <c r="O68" s="110"/>
      <c r="P68" s="110"/>
    </row>
    <row r="69" spans="1:16" x14ac:dyDescent="0.2">
      <c r="A69" s="110"/>
      <c r="B69" s="110"/>
      <c r="C69" s="110"/>
      <c r="D69" s="110"/>
      <c r="E69" s="110"/>
      <c r="F69" s="110"/>
      <c r="G69" s="110"/>
      <c r="H69" s="110"/>
      <c r="I69" s="110"/>
      <c r="J69" s="110"/>
      <c r="K69" s="110"/>
      <c r="L69" s="110"/>
      <c r="M69" s="110"/>
      <c r="N69" s="110"/>
      <c r="O69" s="110"/>
      <c r="P69" s="110"/>
    </row>
    <row r="70" spans="1:16" x14ac:dyDescent="0.2">
      <c r="A70" s="110"/>
      <c r="B70" s="110"/>
      <c r="C70" s="110"/>
      <c r="D70" s="110"/>
      <c r="E70" s="110"/>
      <c r="F70" s="110"/>
      <c r="G70" s="110"/>
      <c r="H70" s="110"/>
      <c r="I70" s="110"/>
      <c r="J70" s="110"/>
      <c r="K70" s="110"/>
      <c r="L70" s="110"/>
      <c r="M70" s="110"/>
      <c r="N70" s="110"/>
      <c r="O70" s="110"/>
      <c r="P70" s="110"/>
    </row>
    <row r="71" spans="1:16" x14ac:dyDescent="0.2">
      <c r="A71" s="110"/>
      <c r="B71" s="110"/>
      <c r="C71" s="110"/>
      <c r="D71" s="110"/>
      <c r="E71" s="110"/>
      <c r="F71" s="110"/>
      <c r="G71" s="110"/>
      <c r="H71" s="110"/>
      <c r="I71" s="110"/>
      <c r="J71" s="110"/>
      <c r="K71" s="110"/>
      <c r="L71" s="110"/>
      <c r="M71" s="110"/>
      <c r="N71" s="110"/>
      <c r="O71" s="110"/>
      <c r="P71" s="110"/>
    </row>
    <row r="72" spans="1:16" x14ac:dyDescent="0.2">
      <c r="A72" s="110"/>
      <c r="B72" s="110"/>
      <c r="C72" s="110"/>
      <c r="D72" s="110"/>
      <c r="E72" s="110"/>
      <c r="F72" s="110"/>
      <c r="G72" s="110"/>
      <c r="H72" s="110"/>
      <c r="I72" s="110"/>
      <c r="J72" s="110"/>
      <c r="K72" s="110"/>
      <c r="L72" s="110"/>
      <c r="M72" s="110"/>
      <c r="N72" s="110"/>
      <c r="O72" s="110"/>
      <c r="P72" s="110"/>
    </row>
    <row r="73" spans="1:16" x14ac:dyDescent="0.2">
      <c r="A73" s="110"/>
      <c r="B73" s="110"/>
      <c r="C73" s="110"/>
      <c r="D73" s="110"/>
      <c r="E73" s="110"/>
      <c r="F73" s="110"/>
      <c r="G73" s="110"/>
      <c r="H73" s="110"/>
      <c r="I73" s="110"/>
      <c r="J73" s="110"/>
      <c r="K73" s="110"/>
      <c r="L73" s="110"/>
      <c r="M73" s="110"/>
      <c r="N73" s="110"/>
      <c r="O73" s="110"/>
      <c r="P73" s="110"/>
    </row>
    <row r="74" spans="1:16" x14ac:dyDescent="0.2">
      <c r="A74" s="110"/>
      <c r="B74" s="110"/>
      <c r="C74" s="110"/>
      <c r="D74" s="110"/>
      <c r="E74" s="110"/>
      <c r="F74" s="110"/>
      <c r="G74" s="110"/>
      <c r="H74" s="110"/>
      <c r="I74" s="110"/>
      <c r="J74" s="110"/>
      <c r="K74" s="110"/>
      <c r="L74" s="110"/>
      <c r="M74" s="110"/>
      <c r="N74" s="110"/>
      <c r="O74" s="110"/>
      <c r="P74" s="110"/>
    </row>
    <row r="75" spans="1:16" x14ac:dyDescent="0.2">
      <c r="A75" s="110"/>
      <c r="B75" s="110"/>
      <c r="C75" s="110"/>
      <c r="D75" s="110"/>
      <c r="E75" s="110"/>
      <c r="F75" s="110"/>
      <c r="G75" s="110"/>
      <c r="H75" s="110"/>
      <c r="I75" s="110"/>
      <c r="J75" s="110"/>
      <c r="K75" s="110"/>
      <c r="L75" s="110"/>
      <c r="M75" s="110"/>
      <c r="N75" s="110"/>
      <c r="O75" s="110"/>
      <c r="P75" s="110"/>
    </row>
    <row r="76" spans="1:16" x14ac:dyDescent="0.2">
      <c r="A76" s="110"/>
      <c r="B76" s="110"/>
      <c r="C76" s="110"/>
      <c r="D76" s="110"/>
      <c r="E76" s="110"/>
      <c r="F76" s="110"/>
      <c r="G76" s="110"/>
      <c r="H76" s="110"/>
      <c r="I76" s="110"/>
      <c r="J76" s="110"/>
      <c r="K76" s="110"/>
      <c r="L76" s="110"/>
      <c r="M76" s="110"/>
      <c r="N76" s="110"/>
      <c r="O76" s="110"/>
      <c r="P76" s="110"/>
    </row>
    <row r="77" spans="1:16" x14ac:dyDescent="0.2">
      <c r="A77" s="110"/>
      <c r="B77" s="110"/>
      <c r="C77" s="110"/>
      <c r="D77" s="110"/>
      <c r="E77" s="110"/>
      <c r="F77" s="110"/>
      <c r="G77" s="110"/>
      <c r="H77" s="110"/>
      <c r="I77" s="110"/>
      <c r="J77" s="110"/>
      <c r="K77" s="110"/>
      <c r="L77" s="110"/>
      <c r="M77" s="110"/>
      <c r="N77" s="110"/>
      <c r="O77" s="110"/>
      <c r="P77" s="110"/>
    </row>
    <row r="78" spans="1:16" x14ac:dyDescent="0.2">
      <c r="A78" s="110"/>
      <c r="B78" s="110"/>
      <c r="C78" s="110"/>
      <c r="D78" s="110"/>
      <c r="E78" s="110"/>
      <c r="F78" s="110"/>
      <c r="G78" s="110"/>
      <c r="H78" s="110"/>
      <c r="I78" s="110"/>
      <c r="J78" s="110"/>
      <c r="K78" s="110"/>
      <c r="L78" s="110"/>
      <c r="M78" s="110"/>
      <c r="N78" s="110"/>
      <c r="O78" s="110"/>
      <c r="P78" s="110"/>
    </row>
    <row r="79" spans="1:16" x14ac:dyDescent="0.2">
      <c r="A79" s="110"/>
      <c r="B79" s="110"/>
      <c r="C79" s="110"/>
      <c r="D79" s="110"/>
      <c r="E79" s="110"/>
      <c r="F79" s="110"/>
      <c r="G79" s="110"/>
      <c r="H79" s="110"/>
      <c r="I79" s="110"/>
      <c r="J79" s="110"/>
      <c r="K79" s="110"/>
      <c r="L79" s="110"/>
      <c r="M79" s="110"/>
      <c r="N79" s="110"/>
      <c r="O79" s="110"/>
      <c r="P79" s="110"/>
    </row>
    <row r="80" spans="1:16" x14ac:dyDescent="0.2">
      <c r="A80" s="110"/>
      <c r="B80" s="110"/>
      <c r="C80" s="110"/>
      <c r="D80" s="110"/>
      <c r="E80" s="110"/>
      <c r="F80" s="110"/>
      <c r="G80" s="110"/>
      <c r="H80" s="110"/>
      <c r="I80" s="110"/>
      <c r="J80" s="110"/>
      <c r="K80" s="110"/>
      <c r="L80" s="110"/>
      <c r="M80" s="110"/>
      <c r="N80" s="110"/>
      <c r="O80" s="110"/>
      <c r="P80" s="110"/>
    </row>
    <row r="81" spans="1:16" x14ac:dyDescent="0.2">
      <c r="A81" s="110"/>
      <c r="B81" s="110"/>
      <c r="C81" s="110"/>
      <c r="D81" s="110"/>
      <c r="E81" s="110"/>
      <c r="F81" s="110"/>
      <c r="G81" s="110"/>
      <c r="H81" s="110"/>
      <c r="I81" s="110"/>
      <c r="J81" s="110"/>
      <c r="K81" s="110"/>
      <c r="L81" s="110"/>
      <c r="M81" s="110"/>
      <c r="N81" s="110"/>
      <c r="O81" s="110"/>
      <c r="P81" s="110"/>
    </row>
    <row r="82" spans="1:16" x14ac:dyDescent="0.2">
      <c r="A82" s="110"/>
      <c r="B82" s="110"/>
      <c r="C82" s="110"/>
      <c r="D82" s="110"/>
      <c r="E82" s="110"/>
      <c r="F82" s="110"/>
      <c r="G82" s="110"/>
      <c r="H82" s="110"/>
      <c r="I82" s="110"/>
      <c r="J82" s="110"/>
      <c r="K82" s="110"/>
      <c r="L82" s="110"/>
      <c r="M82" s="110"/>
      <c r="N82" s="110"/>
      <c r="O82" s="110"/>
      <c r="P82" s="110"/>
    </row>
    <row r="83" spans="1:16" x14ac:dyDescent="0.2">
      <c r="A83" s="110"/>
      <c r="B83" s="110"/>
      <c r="C83" s="110"/>
      <c r="D83" s="110"/>
      <c r="E83" s="110"/>
      <c r="F83" s="110"/>
      <c r="G83" s="110"/>
      <c r="H83" s="110"/>
      <c r="I83" s="110"/>
      <c r="J83" s="110"/>
      <c r="K83" s="110"/>
      <c r="L83" s="110"/>
      <c r="M83" s="110"/>
      <c r="N83" s="110"/>
      <c r="O83" s="110"/>
      <c r="P83" s="110"/>
    </row>
    <row r="84" spans="1:16" x14ac:dyDescent="0.2">
      <c r="A84" s="110"/>
      <c r="B84" s="110"/>
      <c r="C84" s="110"/>
      <c r="D84" s="110"/>
      <c r="E84" s="110"/>
      <c r="F84" s="110"/>
      <c r="G84" s="110"/>
      <c r="H84" s="110"/>
      <c r="I84" s="110"/>
      <c r="J84" s="110"/>
      <c r="K84" s="110"/>
      <c r="L84" s="110"/>
      <c r="M84" s="110"/>
      <c r="N84" s="110"/>
      <c r="O84" s="110"/>
      <c r="P84" s="110"/>
    </row>
    <row r="85" spans="1:16" x14ac:dyDescent="0.2">
      <c r="A85" s="110"/>
      <c r="B85" s="110"/>
      <c r="C85" s="110"/>
      <c r="D85" s="110"/>
      <c r="E85" s="110"/>
      <c r="F85" s="110"/>
      <c r="G85" s="110"/>
      <c r="H85" s="110"/>
      <c r="I85" s="110"/>
      <c r="J85" s="110"/>
      <c r="K85" s="110"/>
      <c r="L85" s="110"/>
      <c r="M85" s="110"/>
      <c r="N85" s="110"/>
      <c r="O85" s="110"/>
      <c r="P85" s="110"/>
    </row>
    <row r="86" spans="1:16" x14ac:dyDescent="0.2">
      <c r="A86" s="110"/>
      <c r="B86" s="110"/>
      <c r="C86" s="110"/>
      <c r="D86" s="110"/>
      <c r="E86" s="110"/>
      <c r="F86" s="110"/>
      <c r="G86" s="110"/>
      <c r="H86" s="110"/>
      <c r="I86" s="110"/>
      <c r="J86" s="110"/>
      <c r="K86" s="110"/>
      <c r="L86" s="110"/>
      <c r="M86" s="110"/>
      <c r="N86" s="110"/>
      <c r="O86" s="110"/>
      <c r="P86" s="110"/>
    </row>
    <row r="87" spans="1:16" x14ac:dyDescent="0.2">
      <c r="A87" s="110"/>
      <c r="B87" s="110"/>
      <c r="C87" s="110"/>
      <c r="D87" s="110"/>
      <c r="E87" s="110"/>
      <c r="F87" s="110"/>
      <c r="G87" s="110"/>
      <c r="H87" s="110"/>
      <c r="I87" s="110"/>
      <c r="J87" s="110"/>
      <c r="K87" s="110"/>
      <c r="L87" s="110"/>
      <c r="M87" s="110"/>
      <c r="N87" s="110"/>
      <c r="O87" s="110"/>
      <c r="P87" s="110"/>
    </row>
    <row r="88" spans="1:16" x14ac:dyDescent="0.2">
      <c r="A88" s="110"/>
      <c r="B88" s="110"/>
      <c r="C88" s="110"/>
      <c r="D88" s="110"/>
      <c r="E88" s="110"/>
      <c r="F88" s="110"/>
      <c r="G88" s="110"/>
      <c r="H88" s="110"/>
      <c r="I88" s="110"/>
      <c r="J88" s="110"/>
      <c r="K88" s="110"/>
      <c r="L88" s="110"/>
      <c r="M88" s="110"/>
      <c r="N88" s="110"/>
      <c r="O88" s="110"/>
      <c r="P88" s="110"/>
    </row>
    <row r="89" spans="1:16" x14ac:dyDescent="0.2">
      <c r="A89" s="110"/>
      <c r="B89" s="110"/>
      <c r="C89" s="110"/>
      <c r="D89" s="110"/>
      <c r="E89" s="110"/>
      <c r="F89" s="110"/>
      <c r="G89" s="110"/>
      <c r="H89" s="110"/>
      <c r="I89" s="110"/>
      <c r="J89" s="110"/>
      <c r="K89" s="110"/>
      <c r="L89" s="110"/>
      <c r="M89" s="110"/>
      <c r="N89" s="110"/>
      <c r="O89" s="110"/>
      <c r="P89" s="110"/>
    </row>
    <row r="90" spans="1:16" x14ac:dyDescent="0.2">
      <c r="A90" s="110"/>
      <c r="B90" s="110"/>
      <c r="C90" s="110"/>
      <c r="D90" s="110"/>
      <c r="E90" s="110"/>
      <c r="F90" s="110"/>
      <c r="G90" s="110"/>
      <c r="H90" s="110"/>
      <c r="I90" s="110"/>
      <c r="J90" s="110"/>
      <c r="K90" s="110"/>
      <c r="L90" s="110"/>
      <c r="M90" s="110"/>
      <c r="N90" s="110"/>
      <c r="O90" s="110"/>
      <c r="P90" s="110"/>
    </row>
    <row r="91" spans="1:16" x14ac:dyDescent="0.2">
      <c r="A91" s="110"/>
      <c r="B91" s="110"/>
      <c r="C91" s="110"/>
      <c r="D91" s="110"/>
      <c r="E91" s="110"/>
      <c r="F91" s="110"/>
      <c r="G91" s="110"/>
      <c r="H91" s="110"/>
      <c r="I91" s="110"/>
      <c r="J91" s="110"/>
      <c r="K91" s="110"/>
      <c r="L91" s="110"/>
      <c r="M91" s="110"/>
      <c r="N91" s="110"/>
      <c r="O91" s="110"/>
      <c r="P91" s="110"/>
    </row>
    <row r="92" spans="1:16" x14ac:dyDescent="0.2">
      <c r="A92" s="110"/>
      <c r="B92" s="110"/>
      <c r="C92" s="110"/>
      <c r="D92" s="110"/>
      <c r="E92" s="110"/>
      <c r="F92" s="110"/>
      <c r="G92" s="110"/>
      <c r="H92" s="110"/>
      <c r="I92" s="110"/>
      <c r="J92" s="110"/>
      <c r="K92" s="110"/>
      <c r="L92" s="110"/>
      <c r="M92" s="110"/>
      <c r="N92" s="110"/>
      <c r="O92" s="110"/>
      <c r="P92" s="110"/>
    </row>
    <row r="93" spans="1:16" x14ac:dyDescent="0.2">
      <c r="A93" s="110"/>
      <c r="B93" s="110"/>
      <c r="C93" s="110"/>
      <c r="D93" s="110"/>
      <c r="E93" s="110"/>
      <c r="F93" s="110"/>
      <c r="G93" s="110"/>
      <c r="H93" s="110"/>
      <c r="I93" s="110"/>
      <c r="J93" s="110"/>
      <c r="K93" s="110"/>
      <c r="L93" s="110"/>
      <c r="M93" s="110"/>
      <c r="N93" s="110"/>
      <c r="O93" s="110"/>
      <c r="P93" s="110"/>
    </row>
    <row r="94" spans="1:16" x14ac:dyDescent="0.2">
      <c r="A94" s="110"/>
      <c r="B94" s="110"/>
      <c r="C94" s="110"/>
      <c r="D94" s="110"/>
      <c r="E94" s="110"/>
      <c r="F94" s="110"/>
      <c r="G94" s="110"/>
      <c r="H94" s="110"/>
      <c r="I94" s="110"/>
      <c r="J94" s="110"/>
      <c r="K94" s="110"/>
      <c r="L94" s="110"/>
      <c r="M94" s="110"/>
      <c r="N94" s="110"/>
      <c r="O94" s="110"/>
      <c r="P94" s="110"/>
    </row>
    <row r="95" spans="1:16" x14ac:dyDescent="0.2">
      <c r="A95" s="110"/>
      <c r="B95" s="110"/>
      <c r="C95" s="110"/>
      <c r="D95" s="110"/>
      <c r="E95" s="110"/>
      <c r="F95" s="110"/>
      <c r="G95" s="110"/>
      <c r="H95" s="110"/>
      <c r="I95" s="110"/>
      <c r="J95" s="110"/>
      <c r="K95" s="110"/>
      <c r="L95" s="110"/>
      <c r="M95" s="110"/>
      <c r="N95" s="110"/>
      <c r="O95" s="110"/>
      <c r="P95" s="110"/>
    </row>
    <row r="96" spans="1:16" x14ac:dyDescent="0.2">
      <c r="A96" s="110"/>
      <c r="B96" s="110"/>
      <c r="C96" s="110"/>
      <c r="D96" s="110"/>
      <c r="E96" s="110"/>
      <c r="F96" s="110"/>
      <c r="G96" s="110"/>
      <c r="H96" s="110"/>
      <c r="I96" s="110"/>
      <c r="J96" s="110"/>
      <c r="K96" s="110"/>
      <c r="L96" s="110"/>
      <c r="M96" s="110"/>
      <c r="N96" s="110"/>
      <c r="O96" s="110"/>
      <c r="P96" s="110"/>
    </row>
    <row r="97" spans="1:16" x14ac:dyDescent="0.2">
      <c r="A97" s="110"/>
      <c r="B97" s="110"/>
      <c r="C97" s="110"/>
      <c r="D97" s="110"/>
      <c r="E97" s="110"/>
      <c r="F97" s="110"/>
      <c r="G97" s="110"/>
      <c r="H97" s="110"/>
      <c r="I97" s="110"/>
      <c r="J97" s="110"/>
      <c r="K97" s="110"/>
      <c r="L97" s="110"/>
      <c r="M97" s="110"/>
      <c r="N97" s="110"/>
      <c r="O97" s="110"/>
      <c r="P97" s="110"/>
    </row>
    <row r="98" spans="1:16" x14ac:dyDescent="0.2">
      <c r="A98" s="110"/>
      <c r="B98" s="110"/>
      <c r="C98" s="110"/>
      <c r="D98" s="110"/>
      <c r="E98" s="110"/>
      <c r="F98" s="110"/>
      <c r="G98" s="110"/>
      <c r="H98" s="110"/>
      <c r="I98" s="110"/>
      <c r="J98" s="110"/>
      <c r="K98" s="110"/>
      <c r="L98" s="110"/>
      <c r="M98" s="110"/>
      <c r="N98" s="110"/>
      <c r="O98" s="110"/>
      <c r="P98" s="110"/>
    </row>
    <row r="99" spans="1:16" x14ac:dyDescent="0.2">
      <c r="A99" s="110"/>
      <c r="B99" s="110"/>
      <c r="C99" s="110"/>
      <c r="D99" s="110"/>
      <c r="E99" s="110"/>
      <c r="F99" s="110"/>
      <c r="G99" s="110"/>
      <c r="H99" s="110"/>
      <c r="I99" s="110"/>
      <c r="J99" s="110"/>
      <c r="K99" s="110"/>
      <c r="L99" s="110"/>
      <c r="M99" s="110"/>
      <c r="N99" s="110"/>
      <c r="O99" s="110"/>
      <c r="P99" s="110"/>
    </row>
    <row r="100" spans="1:16" x14ac:dyDescent="0.2">
      <c r="A100" s="110"/>
      <c r="B100" s="110"/>
      <c r="C100" s="110"/>
      <c r="D100" s="110"/>
      <c r="E100" s="110"/>
      <c r="F100" s="110"/>
      <c r="G100" s="110"/>
      <c r="H100" s="110"/>
      <c r="I100" s="110"/>
      <c r="J100" s="110"/>
      <c r="K100" s="110"/>
      <c r="L100" s="110"/>
      <c r="M100" s="110"/>
      <c r="N100" s="110"/>
      <c r="O100" s="110"/>
      <c r="P100" s="110"/>
    </row>
    <row r="101" spans="1:16" x14ac:dyDescent="0.2">
      <c r="A101" s="110"/>
      <c r="B101" s="110"/>
      <c r="C101" s="110"/>
      <c r="D101" s="110"/>
      <c r="E101" s="110"/>
      <c r="F101" s="110"/>
      <c r="G101" s="110"/>
      <c r="H101" s="110"/>
      <c r="I101" s="110"/>
      <c r="J101" s="110"/>
      <c r="K101" s="110"/>
      <c r="L101" s="110"/>
      <c r="M101" s="110"/>
      <c r="N101" s="110"/>
      <c r="O101" s="110"/>
      <c r="P101" s="110"/>
    </row>
    <row r="102" spans="1:16" x14ac:dyDescent="0.2">
      <c r="A102" s="110"/>
      <c r="B102" s="110"/>
      <c r="C102" s="110"/>
      <c r="D102" s="110"/>
      <c r="E102" s="110"/>
      <c r="F102" s="110"/>
      <c r="G102" s="110"/>
      <c r="H102" s="110"/>
      <c r="I102" s="110"/>
      <c r="J102" s="110"/>
      <c r="K102" s="110"/>
      <c r="L102" s="110"/>
      <c r="M102" s="110"/>
      <c r="N102" s="110"/>
      <c r="O102" s="110"/>
      <c r="P102" s="110"/>
    </row>
    <row r="103" spans="1:16" x14ac:dyDescent="0.2">
      <c r="A103" s="110"/>
      <c r="B103" s="110"/>
      <c r="C103" s="110"/>
      <c r="D103" s="110"/>
      <c r="E103" s="110"/>
      <c r="F103" s="110"/>
      <c r="G103" s="110"/>
      <c r="H103" s="110"/>
      <c r="I103" s="110"/>
      <c r="J103" s="110"/>
      <c r="K103" s="110"/>
      <c r="L103" s="110"/>
      <c r="M103" s="110"/>
      <c r="N103" s="110"/>
      <c r="O103" s="110"/>
      <c r="P103" s="110"/>
    </row>
    <row r="104" spans="1:16" x14ac:dyDescent="0.2">
      <c r="A104" s="110"/>
      <c r="B104" s="110"/>
      <c r="C104" s="110"/>
      <c r="D104" s="110"/>
      <c r="E104" s="110"/>
      <c r="F104" s="110"/>
      <c r="G104" s="110"/>
      <c r="H104" s="110"/>
      <c r="I104" s="110"/>
      <c r="J104" s="110"/>
      <c r="K104" s="110"/>
      <c r="L104" s="110"/>
      <c r="M104" s="110"/>
      <c r="N104" s="110"/>
      <c r="O104" s="110"/>
      <c r="P104" s="110"/>
    </row>
    <row r="105" spans="1:16" x14ac:dyDescent="0.2">
      <c r="A105" s="110"/>
      <c r="B105" s="110"/>
      <c r="C105" s="110"/>
      <c r="D105" s="110"/>
      <c r="E105" s="110"/>
      <c r="F105" s="110"/>
      <c r="G105" s="110"/>
      <c r="H105" s="110"/>
      <c r="I105" s="110"/>
      <c r="J105" s="110"/>
      <c r="K105" s="110"/>
      <c r="L105" s="110"/>
      <c r="M105" s="110"/>
      <c r="N105" s="110"/>
      <c r="O105" s="110"/>
      <c r="P105" s="110"/>
    </row>
    <row r="106" spans="1:16" x14ac:dyDescent="0.2">
      <c r="A106" s="110"/>
      <c r="B106" s="110"/>
      <c r="C106" s="110"/>
      <c r="D106" s="110"/>
      <c r="E106" s="110"/>
      <c r="F106" s="110"/>
      <c r="G106" s="110"/>
      <c r="H106" s="110"/>
      <c r="I106" s="110"/>
      <c r="J106" s="110"/>
      <c r="K106" s="110"/>
      <c r="L106" s="110"/>
      <c r="M106" s="110"/>
      <c r="N106" s="110"/>
      <c r="O106" s="110"/>
      <c r="P106" s="110"/>
    </row>
    <row r="107" spans="1:16" x14ac:dyDescent="0.2">
      <c r="A107" s="110"/>
      <c r="B107" s="110"/>
      <c r="C107" s="110"/>
      <c r="D107" s="110"/>
      <c r="E107" s="110"/>
      <c r="F107" s="110"/>
      <c r="G107" s="110"/>
      <c r="H107" s="110"/>
      <c r="I107" s="110"/>
      <c r="J107" s="110"/>
      <c r="K107" s="110"/>
      <c r="L107" s="110"/>
      <c r="M107" s="110"/>
      <c r="N107" s="110"/>
      <c r="O107" s="110"/>
      <c r="P107" s="110"/>
    </row>
    <row r="108" spans="1:16" x14ac:dyDescent="0.2">
      <c r="A108" s="110"/>
      <c r="B108" s="110"/>
      <c r="C108" s="110"/>
      <c r="D108" s="110"/>
      <c r="E108" s="110"/>
      <c r="F108" s="110"/>
      <c r="G108" s="110"/>
      <c r="H108" s="110"/>
      <c r="I108" s="110"/>
      <c r="J108" s="110"/>
      <c r="K108" s="110"/>
      <c r="L108" s="110"/>
      <c r="M108" s="110"/>
      <c r="N108" s="110"/>
      <c r="O108" s="110"/>
      <c r="P108" s="110"/>
    </row>
    <row r="109" spans="1:16" x14ac:dyDescent="0.2">
      <c r="A109" s="110"/>
      <c r="B109" s="110"/>
      <c r="C109" s="110"/>
      <c r="D109" s="110"/>
      <c r="E109" s="110"/>
      <c r="F109" s="110"/>
      <c r="G109" s="110"/>
      <c r="H109" s="110"/>
      <c r="I109" s="110"/>
      <c r="J109" s="110"/>
      <c r="K109" s="110"/>
      <c r="L109" s="110"/>
      <c r="M109" s="110"/>
      <c r="N109" s="110"/>
      <c r="O109" s="110"/>
      <c r="P109" s="110"/>
    </row>
    <row r="110" spans="1:16" x14ac:dyDescent="0.2">
      <c r="A110" s="110"/>
      <c r="B110" s="110"/>
      <c r="C110" s="110"/>
      <c r="D110" s="110"/>
      <c r="E110" s="110"/>
      <c r="F110" s="110"/>
      <c r="G110" s="110"/>
      <c r="H110" s="110"/>
      <c r="I110" s="110"/>
      <c r="J110" s="110"/>
      <c r="K110" s="110"/>
      <c r="L110" s="110"/>
      <c r="M110" s="110"/>
      <c r="N110" s="110"/>
      <c r="O110" s="110"/>
      <c r="P110" s="110"/>
    </row>
    <row r="111" spans="1:16" x14ac:dyDescent="0.2">
      <c r="A111" s="110"/>
      <c r="B111" s="110"/>
      <c r="C111" s="110"/>
      <c r="D111" s="110"/>
      <c r="E111" s="110"/>
      <c r="F111" s="110"/>
      <c r="G111" s="110"/>
      <c r="H111" s="110"/>
      <c r="I111" s="110"/>
      <c r="J111" s="110"/>
      <c r="K111" s="110"/>
      <c r="L111" s="110"/>
      <c r="M111" s="110"/>
      <c r="N111" s="110"/>
      <c r="O111" s="110"/>
      <c r="P111" s="110"/>
    </row>
    <row r="112" spans="1:16" x14ac:dyDescent="0.2">
      <c r="A112" s="110"/>
      <c r="B112" s="110"/>
      <c r="C112" s="110"/>
      <c r="D112" s="110"/>
      <c r="E112" s="110"/>
      <c r="F112" s="110"/>
      <c r="G112" s="110"/>
      <c r="H112" s="110"/>
      <c r="I112" s="110"/>
      <c r="J112" s="110"/>
      <c r="K112" s="110"/>
      <c r="L112" s="110"/>
      <c r="M112" s="110"/>
      <c r="N112" s="110"/>
      <c r="O112" s="110"/>
      <c r="P112" s="110"/>
    </row>
    <row r="113" spans="1:16" x14ac:dyDescent="0.2">
      <c r="A113" s="110"/>
      <c r="B113" s="110"/>
      <c r="C113" s="110"/>
      <c r="D113" s="110"/>
      <c r="E113" s="110"/>
      <c r="F113" s="110"/>
      <c r="G113" s="110"/>
      <c r="H113" s="110"/>
      <c r="I113" s="110"/>
      <c r="J113" s="110"/>
      <c r="K113" s="110"/>
      <c r="L113" s="110"/>
      <c r="M113" s="110"/>
      <c r="N113" s="110"/>
      <c r="O113" s="110"/>
      <c r="P113" s="110"/>
    </row>
    <row r="114" spans="1:16" x14ac:dyDescent="0.2">
      <c r="A114" s="110"/>
      <c r="B114" s="110"/>
      <c r="C114" s="110"/>
      <c r="D114" s="110"/>
      <c r="E114" s="110"/>
      <c r="F114" s="110"/>
      <c r="G114" s="110"/>
      <c r="H114" s="110"/>
      <c r="I114" s="110"/>
      <c r="J114" s="110"/>
      <c r="K114" s="110"/>
      <c r="L114" s="110"/>
      <c r="M114" s="110"/>
      <c r="N114" s="110"/>
      <c r="O114" s="110"/>
      <c r="P114" s="110"/>
    </row>
    <row r="115" spans="1:16" x14ac:dyDescent="0.2">
      <c r="A115" s="110"/>
      <c r="B115" s="110"/>
      <c r="C115" s="110"/>
      <c r="D115" s="110"/>
      <c r="E115" s="110"/>
      <c r="F115" s="110"/>
      <c r="G115" s="110"/>
      <c r="H115" s="110"/>
      <c r="I115" s="110"/>
      <c r="J115" s="110"/>
      <c r="K115" s="110"/>
      <c r="L115" s="110"/>
      <c r="M115" s="110"/>
      <c r="N115" s="110"/>
      <c r="O115" s="110"/>
      <c r="P115" s="110"/>
    </row>
    <row r="116" spans="1:16" x14ac:dyDescent="0.2">
      <c r="A116" s="110"/>
      <c r="B116" s="110"/>
      <c r="C116" s="110"/>
      <c r="D116" s="110"/>
      <c r="E116" s="110"/>
      <c r="F116" s="110"/>
      <c r="G116" s="110"/>
      <c r="H116" s="110"/>
      <c r="I116" s="110"/>
      <c r="J116" s="110"/>
      <c r="K116" s="110"/>
      <c r="L116" s="110"/>
      <c r="M116" s="110"/>
      <c r="N116" s="110"/>
      <c r="O116" s="110"/>
      <c r="P116" s="110"/>
    </row>
    <row r="117" spans="1:16" x14ac:dyDescent="0.2">
      <c r="A117" s="110"/>
      <c r="B117" s="110"/>
      <c r="C117" s="110"/>
      <c r="D117" s="110"/>
      <c r="E117" s="110"/>
      <c r="F117" s="110"/>
      <c r="G117" s="110"/>
      <c r="H117" s="110"/>
      <c r="I117" s="110"/>
      <c r="J117" s="110"/>
      <c r="K117" s="110"/>
      <c r="L117" s="110"/>
      <c r="M117" s="110"/>
      <c r="N117" s="110"/>
      <c r="O117" s="110"/>
      <c r="P117" s="110"/>
    </row>
    <row r="118" spans="1:16" x14ac:dyDescent="0.2">
      <c r="A118" s="110"/>
      <c r="B118" s="110"/>
      <c r="C118" s="110"/>
      <c r="D118" s="110"/>
      <c r="E118" s="110"/>
      <c r="F118" s="110"/>
      <c r="G118" s="110"/>
      <c r="H118" s="110"/>
      <c r="I118" s="110"/>
      <c r="J118" s="110"/>
      <c r="K118" s="110"/>
      <c r="L118" s="110"/>
      <c r="M118" s="110"/>
      <c r="N118" s="110"/>
      <c r="O118" s="110"/>
      <c r="P118" s="110"/>
    </row>
    <row r="119" spans="1:16" x14ac:dyDescent="0.2">
      <c r="A119" s="110"/>
      <c r="B119" s="110"/>
      <c r="C119" s="110"/>
      <c r="D119" s="110"/>
      <c r="E119" s="110"/>
      <c r="F119" s="110"/>
      <c r="G119" s="110"/>
      <c r="H119" s="110"/>
      <c r="I119" s="110"/>
      <c r="J119" s="110"/>
      <c r="K119" s="110"/>
      <c r="L119" s="110"/>
      <c r="M119" s="110"/>
      <c r="N119" s="110"/>
      <c r="O119" s="110"/>
      <c r="P119" s="110"/>
    </row>
    <row r="120" spans="1:16" x14ac:dyDescent="0.2">
      <c r="A120" s="110"/>
      <c r="B120" s="110"/>
      <c r="C120" s="110"/>
      <c r="D120" s="110"/>
      <c r="E120" s="110"/>
      <c r="F120" s="110"/>
      <c r="G120" s="110"/>
      <c r="H120" s="110"/>
      <c r="I120" s="110"/>
      <c r="J120" s="110"/>
      <c r="K120" s="110"/>
      <c r="L120" s="110"/>
      <c r="M120" s="110"/>
      <c r="N120" s="110"/>
      <c r="O120" s="110"/>
      <c r="P120" s="110"/>
    </row>
    <row r="121" spans="1:16" x14ac:dyDescent="0.2">
      <c r="A121" s="110"/>
      <c r="B121" s="110"/>
      <c r="C121" s="110"/>
      <c r="D121" s="110"/>
      <c r="E121" s="110"/>
      <c r="F121" s="110"/>
      <c r="G121" s="110"/>
      <c r="H121" s="110"/>
      <c r="I121" s="110"/>
      <c r="J121" s="110"/>
      <c r="K121" s="110"/>
      <c r="L121" s="110"/>
      <c r="M121" s="110"/>
      <c r="N121" s="110"/>
      <c r="O121" s="110"/>
      <c r="P121" s="110"/>
    </row>
    <row r="122" spans="1:16" x14ac:dyDescent="0.2">
      <c r="A122" s="110"/>
      <c r="B122" s="110"/>
      <c r="C122" s="110"/>
      <c r="D122" s="110"/>
      <c r="E122" s="110"/>
      <c r="F122" s="110"/>
      <c r="G122" s="110"/>
      <c r="H122" s="110"/>
      <c r="I122" s="110"/>
      <c r="J122" s="110"/>
      <c r="K122" s="110"/>
      <c r="L122" s="110"/>
      <c r="M122" s="110"/>
      <c r="N122" s="110"/>
      <c r="O122" s="110"/>
      <c r="P122" s="110"/>
    </row>
    <row r="123" spans="1:16" x14ac:dyDescent="0.2">
      <c r="A123" s="110"/>
      <c r="B123" s="110"/>
      <c r="C123" s="110"/>
      <c r="D123" s="110"/>
      <c r="E123" s="110"/>
      <c r="F123" s="110"/>
      <c r="G123" s="110"/>
      <c r="H123" s="110"/>
      <c r="I123" s="110"/>
      <c r="J123" s="110"/>
      <c r="K123" s="110"/>
      <c r="L123" s="110"/>
      <c r="M123" s="110"/>
      <c r="N123" s="110"/>
      <c r="O123" s="110"/>
      <c r="P123" s="110"/>
    </row>
    <row r="124" spans="1:16" x14ac:dyDescent="0.2">
      <c r="A124" s="110"/>
      <c r="B124" s="110"/>
      <c r="C124" s="110"/>
      <c r="D124" s="110"/>
      <c r="E124" s="110"/>
      <c r="F124" s="110"/>
      <c r="G124" s="110"/>
      <c r="H124" s="110"/>
      <c r="I124" s="110"/>
      <c r="J124" s="110"/>
      <c r="K124" s="110"/>
      <c r="L124" s="110"/>
      <c r="M124" s="110"/>
      <c r="N124" s="110"/>
      <c r="O124" s="110"/>
      <c r="P124" s="110"/>
    </row>
    <row r="125" spans="1:16" x14ac:dyDescent="0.2">
      <c r="A125" s="110"/>
      <c r="B125" s="110"/>
      <c r="C125" s="110"/>
      <c r="D125" s="110"/>
      <c r="E125" s="110"/>
      <c r="F125" s="110"/>
      <c r="G125" s="110"/>
      <c r="H125" s="110"/>
      <c r="I125" s="110"/>
      <c r="J125" s="110"/>
      <c r="K125" s="110"/>
      <c r="L125" s="110"/>
      <c r="M125" s="110"/>
      <c r="N125" s="110"/>
      <c r="O125" s="110"/>
      <c r="P125" s="110"/>
    </row>
    <row r="126" spans="1:16" x14ac:dyDescent="0.2">
      <c r="A126" s="110"/>
      <c r="B126" s="110"/>
      <c r="C126" s="110"/>
      <c r="D126" s="110"/>
      <c r="E126" s="110"/>
      <c r="F126" s="110"/>
      <c r="G126" s="110"/>
      <c r="H126" s="110"/>
      <c r="I126" s="110"/>
      <c r="J126" s="110"/>
      <c r="K126" s="110"/>
      <c r="L126" s="110"/>
      <c r="M126" s="110"/>
      <c r="N126" s="110"/>
      <c r="O126" s="110"/>
      <c r="P126" s="110"/>
    </row>
    <row r="127" spans="1:16" x14ac:dyDescent="0.2">
      <c r="A127" s="110"/>
      <c r="B127" s="110"/>
      <c r="C127" s="110"/>
      <c r="D127" s="110"/>
      <c r="E127" s="110"/>
      <c r="F127" s="110"/>
      <c r="G127" s="110"/>
      <c r="H127" s="110"/>
      <c r="I127" s="110"/>
      <c r="J127" s="110"/>
      <c r="K127" s="110"/>
      <c r="L127" s="110"/>
      <c r="M127" s="110"/>
      <c r="N127" s="110"/>
      <c r="O127" s="110"/>
      <c r="P127" s="110"/>
    </row>
    <row r="128" spans="1:16" x14ac:dyDescent="0.2">
      <c r="A128" s="110"/>
      <c r="B128" s="110"/>
      <c r="C128" s="110"/>
      <c r="D128" s="110"/>
      <c r="E128" s="110"/>
      <c r="F128" s="110"/>
      <c r="G128" s="110"/>
      <c r="H128" s="110"/>
      <c r="I128" s="110"/>
      <c r="J128" s="110"/>
      <c r="K128" s="110"/>
      <c r="L128" s="110"/>
      <c r="M128" s="110"/>
      <c r="N128" s="110"/>
      <c r="O128" s="110"/>
      <c r="P128" s="110"/>
    </row>
    <row r="129" spans="1:16" x14ac:dyDescent="0.2">
      <c r="A129" s="110"/>
      <c r="B129" s="110"/>
      <c r="C129" s="110"/>
      <c r="D129" s="110"/>
      <c r="E129" s="110"/>
      <c r="F129" s="110"/>
      <c r="G129" s="110"/>
      <c r="H129" s="110"/>
      <c r="I129" s="110"/>
      <c r="J129" s="110"/>
      <c r="K129" s="110"/>
      <c r="L129" s="110"/>
      <c r="M129" s="110"/>
      <c r="N129" s="110"/>
      <c r="O129" s="110"/>
      <c r="P129" s="110"/>
    </row>
    <row r="130" spans="1:16" x14ac:dyDescent="0.2">
      <c r="A130" s="110"/>
      <c r="B130" s="110"/>
      <c r="C130" s="110"/>
      <c r="D130" s="110"/>
      <c r="E130" s="110"/>
      <c r="F130" s="110"/>
      <c r="G130" s="110"/>
      <c r="H130" s="110"/>
      <c r="I130" s="110"/>
      <c r="J130" s="110"/>
      <c r="K130" s="110"/>
      <c r="L130" s="110"/>
      <c r="M130" s="110"/>
      <c r="N130" s="110"/>
      <c r="O130" s="110"/>
      <c r="P130" s="110"/>
    </row>
    <row r="131" spans="1:16" x14ac:dyDescent="0.2">
      <c r="A131" s="110"/>
      <c r="B131" s="110"/>
      <c r="C131" s="110"/>
      <c r="D131" s="110"/>
      <c r="E131" s="110"/>
      <c r="F131" s="110"/>
      <c r="G131" s="110"/>
      <c r="H131" s="110"/>
      <c r="I131" s="110"/>
      <c r="J131" s="110"/>
      <c r="K131" s="110"/>
      <c r="L131" s="110"/>
      <c r="M131" s="110"/>
      <c r="N131" s="110"/>
      <c r="O131" s="110"/>
      <c r="P131" s="110"/>
    </row>
    <row r="132" spans="1:16" x14ac:dyDescent="0.2">
      <c r="A132" s="110"/>
      <c r="B132" s="110"/>
      <c r="C132" s="110"/>
      <c r="D132" s="110"/>
      <c r="E132" s="110"/>
      <c r="F132" s="110"/>
      <c r="G132" s="110"/>
      <c r="H132" s="110"/>
      <c r="I132" s="110"/>
      <c r="J132" s="110"/>
      <c r="K132" s="110"/>
      <c r="L132" s="110"/>
      <c r="M132" s="110"/>
      <c r="N132" s="110"/>
      <c r="O132" s="110"/>
      <c r="P132" s="110"/>
    </row>
    <row r="133" spans="1:16" x14ac:dyDescent="0.2">
      <c r="A133" s="110"/>
      <c r="B133" s="110"/>
      <c r="C133" s="110"/>
      <c r="D133" s="110"/>
      <c r="E133" s="110"/>
      <c r="F133" s="110"/>
      <c r="G133" s="110"/>
      <c r="H133" s="110"/>
      <c r="I133" s="110"/>
      <c r="J133" s="110"/>
      <c r="K133" s="110"/>
      <c r="L133" s="110"/>
      <c r="M133" s="110"/>
      <c r="N133" s="110"/>
      <c r="O133" s="110"/>
      <c r="P133" s="110"/>
    </row>
    <row r="134" spans="1:16" x14ac:dyDescent="0.2">
      <c r="A134" s="110"/>
      <c r="B134" s="110"/>
      <c r="C134" s="110"/>
      <c r="D134" s="110"/>
      <c r="E134" s="110"/>
      <c r="F134" s="110"/>
      <c r="G134" s="110"/>
      <c r="H134" s="110"/>
      <c r="I134" s="110"/>
      <c r="J134" s="110"/>
      <c r="K134" s="110"/>
      <c r="L134" s="110"/>
      <c r="M134" s="110"/>
      <c r="N134" s="110"/>
      <c r="O134" s="110"/>
      <c r="P134" s="110"/>
    </row>
    <row r="135" spans="1:16" x14ac:dyDescent="0.2">
      <c r="A135" s="110"/>
      <c r="B135" s="110"/>
      <c r="C135" s="110"/>
      <c r="D135" s="110"/>
      <c r="E135" s="110"/>
      <c r="F135" s="110"/>
      <c r="G135" s="110"/>
      <c r="H135" s="110"/>
      <c r="I135" s="110"/>
      <c r="J135" s="110"/>
      <c r="K135" s="110"/>
      <c r="L135" s="110"/>
      <c r="M135" s="110"/>
      <c r="N135" s="110"/>
      <c r="O135" s="110"/>
      <c r="P135" s="110"/>
    </row>
    <row r="136" spans="1:16" x14ac:dyDescent="0.2">
      <c r="A136" s="110"/>
      <c r="B136" s="110"/>
      <c r="C136" s="110"/>
      <c r="D136" s="110"/>
      <c r="E136" s="110"/>
      <c r="F136" s="110"/>
      <c r="G136" s="110"/>
      <c r="H136" s="110"/>
      <c r="I136" s="110"/>
      <c r="J136" s="110"/>
      <c r="K136" s="110"/>
      <c r="L136" s="110"/>
      <c r="M136" s="110"/>
      <c r="N136" s="110"/>
      <c r="O136" s="110"/>
      <c r="P136" s="110"/>
    </row>
    <row r="137" spans="1:16" x14ac:dyDescent="0.2">
      <c r="A137" s="110"/>
      <c r="B137" s="110"/>
      <c r="C137" s="110"/>
      <c r="D137" s="110"/>
      <c r="E137" s="110"/>
      <c r="F137" s="110"/>
      <c r="G137" s="110"/>
      <c r="H137" s="110"/>
      <c r="I137" s="110"/>
      <c r="J137" s="110"/>
      <c r="K137" s="110"/>
      <c r="L137" s="110"/>
      <c r="M137" s="110"/>
      <c r="N137" s="110"/>
      <c r="O137" s="110"/>
      <c r="P137" s="110"/>
    </row>
    <row r="138" spans="1:16" x14ac:dyDescent="0.2">
      <c r="A138" s="110"/>
      <c r="B138" s="110"/>
      <c r="C138" s="110"/>
      <c r="D138" s="110"/>
      <c r="E138" s="110"/>
      <c r="F138" s="110"/>
      <c r="G138" s="110"/>
      <c r="H138" s="110"/>
      <c r="I138" s="110"/>
      <c r="J138" s="110"/>
      <c r="K138" s="110"/>
      <c r="L138" s="110"/>
      <c r="M138" s="110"/>
      <c r="N138" s="110"/>
      <c r="O138" s="110"/>
      <c r="P138" s="110"/>
    </row>
    <row r="139" spans="1:16" x14ac:dyDescent="0.2">
      <c r="A139" s="110"/>
      <c r="B139" s="110"/>
      <c r="C139" s="110"/>
      <c r="D139" s="110"/>
      <c r="E139" s="110"/>
      <c r="F139" s="110"/>
      <c r="G139" s="110"/>
      <c r="H139" s="110"/>
      <c r="I139" s="110"/>
      <c r="J139" s="110"/>
      <c r="K139" s="110"/>
      <c r="L139" s="110"/>
      <c r="M139" s="110"/>
      <c r="N139" s="110"/>
      <c r="O139" s="110"/>
      <c r="P139" s="110"/>
    </row>
    <row r="140" spans="1:16" x14ac:dyDescent="0.2">
      <c r="A140" s="110"/>
      <c r="B140" s="110"/>
      <c r="C140" s="110"/>
      <c r="D140" s="110"/>
      <c r="E140" s="110"/>
      <c r="F140" s="110"/>
      <c r="G140" s="110"/>
      <c r="H140" s="110"/>
      <c r="I140" s="110"/>
      <c r="J140" s="110"/>
      <c r="K140" s="110"/>
      <c r="L140" s="110"/>
      <c r="M140" s="110"/>
      <c r="N140" s="110"/>
      <c r="O140" s="110"/>
      <c r="P140" s="110"/>
    </row>
    <row r="141" spans="1:16" x14ac:dyDescent="0.2">
      <c r="A141" s="110"/>
      <c r="B141" s="110"/>
      <c r="C141" s="110"/>
      <c r="D141" s="110"/>
      <c r="E141" s="110"/>
      <c r="F141" s="110"/>
      <c r="G141" s="110"/>
      <c r="H141" s="110"/>
      <c r="I141" s="110"/>
      <c r="J141" s="110"/>
      <c r="K141" s="110"/>
      <c r="L141" s="110"/>
      <c r="M141" s="110"/>
      <c r="N141" s="110"/>
      <c r="O141" s="110"/>
      <c r="P141" s="110"/>
    </row>
    <row r="142" spans="1:16" x14ac:dyDescent="0.2">
      <c r="A142" s="110"/>
      <c r="B142" s="110"/>
      <c r="C142" s="110"/>
      <c r="D142" s="110"/>
      <c r="E142" s="110"/>
      <c r="F142" s="110"/>
      <c r="G142" s="110"/>
      <c r="H142" s="110"/>
      <c r="I142" s="110"/>
      <c r="J142" s="110"/>
      <c r="K142" s="110"/>
      <c r="L142" s="110"/>
      <c r="M142" s="110"/>
      <c r="N142" s="110"/>
      <c r="O142" s="110"/>
      <c r="P142" s="110"/>
    </row>
    <row r="143" spans="1:16" x14ac:dyDescent="0.2">
      <c r="A143" s="110"/>
      <c r="B143" s="110"/>
      <c r="C143" s="110"/>
      <c r="D143" s="110"/>
      <c r="E143" s="110"/>
      <c r="F143" s="110"/>
      <c r="G143" s="110"/>
      <c r="H143" s="110"/>
      <c r="I143" s="110"/>
      <c r="J143" s="110"/>
      <c r="K143" s="110"/>
      <c r="L143" s="110"/>
      <c r="M143" s="110"/>
      <c r="N143" s="110"/>
      <c r="O143" s="110"/>
      <c r="P143" s="110"/>
    </row>
    <row r="144" spans="1:16" x14ac:dyDescent="0.2">
      <c r="A144" s="110"/>
      <c r="B144" s="110"/>
      <c r="C144" s="110"/>
      <c r="D144" s="110"/>
      <c r="E144" s="110"/>
      <c r="F144" s="110"/>
      <c r="G144" s="110"/>
      <c r="H144" s="110"/>
      <c r="I144" s="110"/>
      <c r="J144" s="110"/>
      <c r="K144" s="110"/>
      <c r="L144" s="110"/>
      <c r="M144" s="110"/>
      <c r="N144" s="110"/>
      <c r="O144" s="110"/>
      <c r="P144" s="110"/>
    </row>
    <row r="145" spans="1:16" x14ac:dyDescent="0.2">
      <c r="A145" s="110"/>
      <c r="B145" s="110"/>
      <c r="C145" s="110"/>
      <c r="D145" s="110"/>
      <c r="E145" s="110"/>
      <c r="F145" s="110"/>
      <c r="G145" s="110"/>
      <c r="H145" s="110"/>
      <c r="I145" s="110"/>
      <c r="J145" s="110"/>
      <c r="K145" s="110"/>
      <c r="L145" s="110"/>
      <c r="M145" s="110"/>
      <c r="N145" s="110"/>
      <c r="O145" s="110"/>
      <c r="P145" s="110"/>
    </row>
    <row r="146" spans="1:16" x14ac:dyDescent="0.2">
      <c r="A146" s="110"/>
      <c r="B146" s="110"/>
      <c r="C146" s="110"/>
      <c r="D146" s="110"/>
      <c r="E146" s="110"/>
      <c r="F146" s="110"/>
      <c r="G146" s="110"/>
      <c r="H146" s="110"/>
      <c r="I146" s="110"/>
      <c r="J146" s="110"/>
      <c r="K146" s="110"/>
      <c r="L146" s="110"/>
      <c r="M146" s="110"/>
      <c r="N146" s="110"/>
      <c r="O146" s="110"/>
      <c r="P146" s="110"/>
    </row>
    <row r="147" spans="1:16" x14ac:dyDescent="0.2">
      <c r="A147" s="110"/>
      <c r="B147" s="110"/>
      <c r="C147" s="110"/>
      <c r="D147" s="110"/>
      <c r="E147" s="110"/>
      <c r="F147" s="110"/>
      <c r="G147" s="110"/>
      <c r="H147" s="110"/>
      <c r="I147" s="110"/>
      <c r="J147" s="110"/>
      <c r="K147" s="110"/>
      <c r="L147" s="110"/>
      <c r="M147" s="110"/>
      <c r="N147" s="110"/>
      <c r="O147" s="110"/>
      <c r="P147" s="110"/>
    </row>
    <row r="148" spans="1:16" x14ac:dyDescent="0.2">
      <c r="A148" s="110"/>
      <c r="B148" s="110"/>
      <c r="C148" s="110"/>
      <c r="D148" s="110"/>
      <c r="E148" s="110"/>
      <c r="F148" s="110"/>
      <c r="G148" s="110"/>
      <c r="H148" s="110"/>
      <c r="I148" s="110"/>
      <c r="J148" s="110"/>
      <c r="K148" s="110"/>
      <c r="L148" s="110"/>
      <c r="M148" s="110"/>
      <c r="N148" s="110"/>
      <c r="O148" s="110"/>
      <c r="P148" s="110"/>
    </row>
    <row r="149" spans="1:16" x14ac:dyDescent="0.2">
      <c r="A149" s="110"/>
      <c r="B149" s="110"/>
      <c r="C149" s="110"/>
      <c r="D149" s="110"/>
      <c r="E149" s="110"/>
      <c r="F149" s="110"/>
      <c r="G149" s="110"/>
      <c r="H149" s="110"/>
      <c r="I149" s="110"/>
      <c r="J149" s="110"/>
      <c r="K149" s="110"/>
      <c r="L149" s="110"/>
      <c r="M149" s="110"/>
      <c r="N149" s="110"/>
      <c r="O149" s="110"/>
      <c r="P149" s="110"/>
    </row>
    <row r="150" spans="1:16" x14ac:dyDescent="0.2">
      <c r="A150" s="110"/>
      <c r="B150" s="110"/>
      <c r="C150" s="110"/>
      <c r="D150" s="110"/>
      <c r="E150" s="110"/>
      <c r="F150" s="110"/>
      <c r="G150" s="110"/>
      <c r="H150" s="110"/>
      <c r="I150" s="110"/>
      <c r="J150" s="110"/>
      <c r="K150" s="110"/>
      <c r="L150" s="110"/>
      <c r="M150" s="110"/>
      <c r="N150" s="110"/>
      <c r="O150" s="110"/>
      <c r="P150" s="110"/>
    </row>
    <row r="151" spans="1:16" x14ac:dyDescent="0.2">
      <c r="A151" s="110"/>
      <c r="B151" s="110"/>
      <c r="C151" s="110"/>
      <c r="D151" s="110"/>
      <c r="E151" s="110"/>
      <c r="F151" s="110"/>
      <c r="G151" s="110"/>
      <c r="H151" s="110"/>
      <c r="I151" s="110"/>
      <c r="J151" s="110"/>
      <c r="K151" s="110"/>
      <c r="L151" s="110"/>
      <c r="M151" s="110"/>
      <c r="N151" s="110"/>
      <c r="O151" s="110"/>
      <c r="P151" s="110"/>
    </row>
    <row r="152" spans="1:16" x14ac:dyDescent="0.2">
      <c r="A152" s="110"/>
      <c r="B152" s="110"/>
      <c r="C152" s="110"/>
      <c r="D152" s="110"/>
      <c r="E152" s="110"/>
      <c r="F152" s="110"/>
      <c r="G152" s="110"/>
      <c r="H152" s="110"/>
      <c r="I152" s="110"/>
      <c r="J152" s="110"/>
      <c r="K152" s="110"/>
      <c r="L152" s="110"/>
      <c r="M152" s="110"/>
      <c r="N152" s="110"/>
      <c r="O152" s="110"/>
      <c r="P152" s="110"/>
    </row>
    <row r="153" spans="1:16" x14ac:dyDescent="0.2">
      <c r="A153" s="110"/>
      <c r="B153" s="110"/>
      <c r="C153" s="110"/>
      <c r="D153" s="110"/>
      <c r="E153" s="110"/>
      <c r="F153" s="110"/>
      <c r="G153" s="110"/>
      <c r="H153" s="110"/>
      <c r="I153" s="110"/>
      <c r="J153" s="110"/>
      <c r="K153" s="110"/>
      <c r="L153" s="110"/>
      <c r="M153" s="110"/>
      <c r="N153" s="110"/>
      <c r="O153" s="110"/>
      <c r="P153" s="110"/>
    </row>
    <row r="154" spans="1:16" x14ac:dyDescent="0.2">
      <c r="A154" s="110"/>
      <c r="B154" s="110"/>
      <c r="C154" s="110"/>
      <c r="D154" s="110"/>
      <c r="E154" s="110"/>
      <c r="F154" s="110"/>
      <c r="G154" s="110"/>
      <c r="H154" s="110"/>
      <c r="I154" s="110"/>
      <c r="J154" s="110"/>
      <c r="K154" s="110"/>
      <c r="L154" s="110"/>
      <c r="M154" s="110"/>
      <c r="N154" s="110"/>
      <c r="O154" s="110"/>
      <c r="P154" s="110"/>
    </row>
    <row r="155" spans="1:16" x14ac:dyDescent="0.2">
      <c r="A155" s="110"/>
      <c r="B155" s="110"/>
      <c r="C155" s="110"/>
      <c r="D155" s="110"/>
      <c r="E155" s="110"/>
      <c r="F155" s="110"/>
      <c r="G155" s="110"/>
      <c r="H155" s="110"/>
      <c r="I155" s="110"/>
      <c r="J155" s="110"/>
      <c r="K155" s="110"/>
      <c r="L155" s="110"/>
      <c r="M155" s="110"/>
      <c r="N155" s="110"/>
      <c r="O155" s="110"/>
      <c r="P155" s="110"/>
    </row>
    <row r="156" spans="1:16" x14ac:dyDescent="0.2">
      <c r="A156" s="110"/>
      <c r="B156" s="110"/>
      <c r="C156" s="110"/>
      <c r="D156" s="110"/>
      <c r="E156" s="110"/>
      <c r="F156" s="110"/>
      <c r="G156" s="110"/>
      <c r="H156" s="110"/>
      <c r="I156" s="110"/>
      <c r="J156" s="110"/>
      <c r="K156" s="110"/>
      <c r="L156" s="110"/>
      <c r="M156" s="110"/>
      <c r="N156" s="110"/>
      <c r="O156" s="110"/>
      <c r="P156" s="110"/>
    </row>
    <row r="157" spans="1:16" x14ac:dyDescent="0.2">
      <c r="A157" s="110"/>
      <c r="B157" s="110"/>
      <c r="C157" s="110"/>
      <c r="D157" s="110"/>
      <c r="E157" s="110"/>
      <c r="F157" s="110"/>
      <c r="G157" s="110"/>
      <c r="H157" s="110"/>
      <c r="I157" s="110"/>
      <c r="J157" s="110"/>
      <c r="K157" s="110"/>
      <c r="L157" s="110"/>
      <c r="M157" s="110"/>
      <c r="N157" s="110"/>
      <c r="O157" s="110"/>
      <c r="P157" s="110"/>
    </row>
    <row r="158" spans="1:16" x14ac:dyDescent="0.2">
      <c r="A158" s="110"/>
      <c r="B158" s="110"/>
      <c r="C158" s="110"/>
      <c r="D158" s="110"/>
      <c r="E158" s="110"/>
      <c r="F158" s="110"/>
      <c r="G158" s="110"/>
      <c r="H158" s="110"/>
      <c r="I158" s="110"/>
      <c r="J158" s="110"/>
      <c r="K158" s="110"/>
      <c r="L158" s="110"/>
      <c r="M158" s="110"/>
      <c r="N158" s="110"/>
      <c r="O158" s="110"/>
      <c r="P158" s="110"/>
    </row>
    <row r="159" spans="1:16" x14ac:dyDescent="0.2">
      <c r="A159" s="110"/>
      <c r="B159" s="110"/>
      <c r="C159" s="110"/>
      <c r="D159" s="110"/>
      <c r="E159" s="110"/>
      <c r="F159" s="110"/>
      <c r="G159" s="110"/>
      <c r="H159" s="110"/>
      <c r="I159" s="110"/>
      <c r="J159" s="110"/>
      <c r="K159" s="110"/>
      <c r="L159" s="110"/>
      <c r="M159" s="110"/>
      <c r="N159" s="110"/>
      <c r="O159" s="110"/>
      <c r="P159" s="110"/>
    </row>
    <row r="160" spans="1:16" x14ac:dyDescent="0.2">
      <c r="A160" s="110"/>
      <c r="B160" s="110"/>
      <c r="C160" s="110"/>
      <c r="D160" s="110"/>
      <c r="E160" s="110"/>
      <c r="F160" s="110"/>
      <c r="G160" s="110"/>
      <c r="H160" s="110"/>
      <c r="I160" s="110"/>
      <c r="J160" s="110"/>
      <c r="K160" s="110"/>
      <c r="L160" s="110"/>
      <c r="M160" s="110"/>
      <c r="N160" s="110"/>
      <c r="O160" s="110"/>
      <c r="P160" s="110"/>
    </row>
    <row r="161" spans="1:16" x14ac:dyDescent="0.2">
      <c r="A161" s="110"/>
      <c r="B161" s="110"/>
      <c r="C161" s="110"/>
      <c r="D161" s="110"/>
      <c r="E161" s="110"/>
      <c r="F161" s="110"/>
      <c r="G161" s="110"/>
      <c r="H161" s="110"/>
      <c r="I161" s="110"/>
      <c r="J161" s="110"/>
      <c r="K161" s="110"/>
      <c r="L161" s="110"/>
      <c r="M161" s="110"/>
      <c r="N161" s="110"/>
      <c r="O161" s="110"/>
      <c r="P161" s="110"/>
    </row>
    <row r="162" spans="1:16" x14ac:dyDescent="0.2">
      <c r="A162" s="110"/>
      <c r="B162" s="110"/>
      <c r="C162" s="110"/>
      <c r="D162" s="110"/>
      <c r="E162" s="110"/>
      <c r="F162" s="110"/>
      <c r="G162" s="110"/>
      <c r="H162" s="110"/>
      <c r="I162" s="110"/>
      <c r="J162" s="110"/>
      <c r="K162" s="110"/>
      <c r="L162" s="110"/>
      <c r="M162" s="110"/>
      <c r="N162" s="110"/>
      <c r="O162" s="110"/>
      <c r="P162" s="110"/>
    </row>
    <row r="163" spans="1:16" x14ac:dyDescent="0.2">
      <c r="A163" s="110"/>
      <c r="B163" s="110"/>
      <c r="C163" s="110"/>
      <c r="D163" s="110"/>
      <c r="E163" s="110"/>
      <c r="F163" s="110"/>
      <c r="G163" s="110"/>
      <c r="H163" s="110"/>
      <c r="I163" s="110"/>
      <c r="J163" s="110"/>
      <c r="K163" s="110"/>
      <c r="L163" s="110"/>
      <c r="M163" s="110"/>
      <c r="N163" s="110"/>
      <c r="O163" s="110"/>
      <c r="P163" s="110"/>
    </row>
    <row r="164" spans="1:16" x14ac:dyDescent="0.2">
      <c r="A164" s="110"/>
      <c r="B164" s="110"/>
      <c r="C164" s="110"/>
      <c r="D164" s="110"/>
      <c r="E164" s="110"/>
      <c r="F164" s="110"/>
      <c r="G164" s="110"/>
      <c r="H164" s="110"/>
      <c r="I164" s="110"/>
      <c r="J164" s="110"/>
      <c r="K164" s="110"/>
      <c r="L164" s="110"/>
      <c r="M164" s="110"/>
      <c r="N164" s="110"/>
      <c r="O164" s="110"/>
      <c r="P164" s="110"/>
    </row>
    <row r="165" spans="1:16" x14ac:dyDescent="0.2">
      <c r="A165" s="110"/>
      <c r="B165" s="110"/>
      <c r="C165" s="110"/>
      <c r="D165" s="110"/>
      <c r="E165" s="110"/>
      <c r="F165" s="110"/>
      <c r="G165" s="110"/>
      <c r="H165" s="110"/>
      <c r="I165" s="110"/>
      <c r="J165" s="110"/>
      <c r="K165" s="110"/>
      <c r="L165" s="110"/>
      <c r="M165" s="110"/>
      <c r="N165" s="110"/>
      <c r="O165" s="110"/>
      <c r="P165" s="110"/>
    </row>
    <row r="166" spans="1:16" x14ac:dyDescent="0.2">
      <c r="A166" s="110"/>
      <c r="B166" s="110"/>
      <c r="C166" s="110"/>
      <c r="D166" s="110"/>
      <c r="E166" s="110"/>
      <c r="F166" s="110"/>
      <c r="G166" s="110"/>
      <c r="H166" s="110"/>
      <c r="I166" s="110"/>
      <c r="J166" s="110"/>
      <c r="K166" s="110"/>
      <c r="L166" s="110"/>
      <c r="M166" s="110"/>
      <c r="N166" s="110"/>
      <c r="O166" s="110"/>
      <c r="P166" s="110"/>
    </row>
    <row r="167" spans="1:16" x14ac:dyDescent="0.2">
      <c r="A167" s="110"/>
      <c r="B167" s="110"/>
      <c r="C167" s="110"/>
      <c r="D167" s="110"/>
      <c r="E167" s="110"/>
      <c r="F167" s="110"/>
      <c r="G167" s="110"/>
      <c r="H167" s="110"/>
      <c r="I167" s="110"/>
      <c r="J167" s="110"/>
      <c r="K167" s="110"/>
      <c r="L167" s="110"/>
      <c r="M167" s="110"/>
      <c r="N167" s="110"/>
      <c r="O167" s="110"/>
      <c r="P167" s="110"/>
    </row>
    <row r="168" spans="1:16" x14ac:dyDescent="0.2">
      <c r="A168" s="110"/>
      <c r="B168" s="110"/>
      <c r="C168" s="110"/>
      <c r="D168" s="110"/>
      <c r="E168" s="110"/>
      <c r="F168" s="110"/>
      <c r="G168" s="110"/>
      <c r="H168" s="110"/>
      <c r="I168" s="110"/>
      <c r="J168" s="110"/>
      <c r="K168" s="110"/>
      <c r="L168" s="110"/>
      <c r="M168" s="110"/>
      <c r="N168" s="110"/>
      <c r="O168" s="110"/>
      <c r="P168" s="110"/>
    </row>
    <row r="169" spans="1:16" x14ac:dyDescent="0.2">
      <c r="A169" s="110"/>
      <c r="B169" s="110"/>
      <c r="C169" s="110"/>
      <c r="D169" s="110"/>
      <c r="E169" s="110"/>
      <c r="F169" s="110"/>
      <c r="G169" s="110"/>
      <c r="H169" s="110"/>
      <c r="I169" s="110"/>
      <c r="J169" s="110"/>
      <c r="K169" s="110"/>
      <c r="L169" s="110"/>
      <c r="M169" s="110"/>
      <c r="N169" s="110"/>
      <c r="O169" s="110"/>
      <c r="P169" s="110"/>
    </row>
    <row r="170" spans="1:16" x14ac:dyDescent="0.2">
      <c r="A170" s="110"/>
      <c r="B170" s="110"/>
      <c r="C170" s="110"/>
      <c r="D170" s="110"/>
      <c r="E170" s="110"/>
      <c r="F170" s="110"/>
      <c r="G170" s="110"/>
      <c r="H170" s="110"/>
      <c r="I170" s="110"/>
      <c r="J170" s="110"/>
      <c r="K170" s="110"/>
      <c r="L170" s="110"/>
      <c r="M170" s="110"/>
      <c r="N170" s="110"/>
      <c r="O170" s="110"/>
      <c r="P170" s="110"/>
    </row>
    <row r="171" spans="1:16" x14ac:dyDescent="0.2">
      <c r="A171" s="110"/>
      <c r="B171" s="110"/>
      <c r="C171" s="110"/>
      <c r="D171" s="110"/>
      <c r="E171" s="110"/>
      <c r="F171" s="110"/>
      <c r="G171" s="110"/>
      <c r="H171" s="110"/>
      <c r="I171" s="110"/>
      <c r="J171" s="110"/>
      <c r="K171" s="110"/>
      <c r="L171" s="110"/>
      <c r="M171" s="110"/>
      <c r="N171" s="110"/>
      <c r="O171" s="110"/>
      <c r="P171" s="110"/>
    </row>
    <row r="172" spans="1:16" x14ac:dyDescent="0.2">
      <c r="A172" s="110"/>
      <c r="B172" s="110"/>
      <c r="C172" s="110"/>
      <c r="D172" s="110"/>
      <c r="E172" s="110"/>
      <c r="F172" s="110"/>
      <c r="G172" s="110"/>
      <c r="H172" s="110"/>
      <c r="I172" s="110"/>
      <c r="J172" s="110"/>
      <c r="K172" s="110"/>
      <c r="L172" s="110"/>
      <c r="M172" s="110"/>
      <c r="N172" s="110"/>
      <c r="O172" s="110"/>
      <c r="P172" s="110"/>
    </row>
    <row r="173" spans="1:16" x14ac:dyDescent="0.2">
      <c r="A173" s="110"/>
      <c r="B173" s="110"/>
      <c r="C173" s="110"/>
      <c r="D173" s="110"/>
      <c r="E173" s="110"/>
      <c r="F173" s="110"/>
      <c r="G173" s="110"/>
      <c r="H173" s="110"/>
      <c r="I173" s="110"/>
      <c r="J173" s="110"/>
      <c r="K173" s="110"/>
      <c r="L173" s="110"/>
      <c r="M173" s="110"/>
      <c r="N173" s="110"/>
      <c r="O173" s="110"/>
      <c r="P173" s="110"/>
    </row>
    <row r="174" spans="1:16" x14ac:dyDescent="0.2">
      <c r="A174" s="110"/>
      <c r="B174" s="110"/>
      <c r="C174" s="110"/>
      <c r="D174" s="110"/>
      <c r="E174" s="110"/>
      <c r="F174" s="110"/>
      <c r="G174" s="110"/>
      <c r="H174" s="110"/>
      <c r="I174" s="110"/>
      <c r="J174" s="110"/>
      <c r="K174" s="110"/>
      <c r="L174" s="110"/>
      <c r="M174" s="110"/>
      <c r="N174" s="110"/>
      <c r="O174" s="110"/>
      <c r="P174" s="110"/>
    </row>
    <row r="175" spans="1:16" x14ac:dyDescent="0.2">
      <c r="A175" s="110"/>
      <c r="B175" s="110"/>
      <c r="C175" s="110"/>
      <c r="D175" s="110"/>
      <c r="E175" s="110"/>
      <c r="F175" s="110"/>
      <c r="G175" s="110"/>
      <c r="H175" s="110"/>
      <c r="I175" s="110"/>
      <c r="J175" s="110"/>
      <c r="K175" s="110"/>
      <c r="L175" s="110"/>
      <c r="M175" s="110"/>
      <c r="N175" s="110"/>
      <c r="O175" s="110"/>
      <c r="P175" s="110"/>
    </row>
    <row r="176" spans="1:16" x14ac:dyDescent="0.2">
      <c r="A176" s="110"/>
      <c r="B176" s="110"/>
      <c r="C176" s="110"/>
      <c r="D176" s="110"/>
      <c r="E176" s="110"/>
      <c r="F176" s="110"/>
      <c r="G176" s="110"/>
      <c r="H176" s="110"/>
      <c r="I176" s="110"/>
      <c r="J176" s="110"/>
      <c r="K176" s="110"/>
      <c r="L176" s="110"/>
      <c r="M176" s="110"/>
      <c r="N176" s="110"/>
      <c r="O176" s="110"/>
      <c r="P176" s="110"/>
    </row>
    <row r="177" spans="1:16" x14ac:dyDescent="0.2">
      <c r="A177" s="110"/>
      <c r="B177" s="110"/>
      <c r="C177" s="110"/>
      <c r="D177" s="110"/>
      <c r="E177" s="110"/>
      <c r="F177" s="110"/>
      <c r="G177" s="110"/>
      <c r="H177" s="110"/>
      <c r="I177" s="110"/>
      <c r="J177" s="110"/>
      <c r="K177" s="110"/>
      <c r="L177" s="110"/>
      <c r="M177" s="110"/>
      <c r="N177" s="110"/>
      <c r="O177" s="110"/>
      <c r="P177" s="110"/>
    </row>
    <row r="178" spans="1:16" x14ac:dyDescent="0.2">
      <c r="A178" s="110"/>
      <c r="B178" s="110"/>
      <c r="C178" s="110"/>
      <c r="D178" s="110"/>
      <c r="E178" s="110"/>
      <c r="F178" s="110"/>
      <c r="G178" s="110"/>
      <c r="H178" s="110"/>
      <c r="I178" s="110"/>
      <c r="J178" s="110"/>
      <c r="K178" s="110"/>
      <c r="L178" s="110"/>
      <c r="M178" s="110"/>
      <c r="N178" s="110"/>
      <c r="O178" s="110"/>
      <c r="P178" s="110"/>
    </row>
    <row r="179" spans="1:16" x14ac:dyDescent="0.2">
      <c r="A179" s="110"/>
      <c r="B179" s="110"/>
      <c r="C179" s="110"/>
      <c r="D179" s="110"/>
      <c r="E179" s="110"/>
      <c r="F179" s="110"/>
      <c r="G179" s="110"/>
      <c r="H179" s="110"/>
      <c r="I179" s="110"/>
      <c r="J179" s="110"/>
      <c r="K179" s="110"/>
      <c r="L179" s="110"/>
      <c r="M179" s="110"/>
      <c r="N179" s="110"/>
      <c r="O179" s="110"/>
      <c r="P179" s="110"/>
    </row>
    <row r="180" spans="1:16" x14ac:dyDescent="0.2">
      <c r="A180" s="110"/>
      <c r="B180" s="110"/>
      <c r="C180" s="110"/>
      <c r="D180" s="110"/>
      <c r="E180" s="110"/>
      <c r="F180" s="110"/>
      <c r="G180" s="110"/>
      <c r="H180" s="110"/>
      <c r="I180" s="110"/>
      <c r="J180" s="110"/>
      <c r="K180" s="110"/>
      <c r="L180" s="110"/>
      <c r="M180" s="110"/>
      <c r="N180" s="110"/>
      <c r="O180" s="110"/>
      <c r="P180" s="110"/>
    </row>
    <row r="181" spans="1:16" x14ac:dyDescent="0.2">
      <c r="A181" s="110"/>
      <c r="B181" s="110"/>
      <c r="C181" s="110"/>
      <c r="D181" s="110"/>
      <c r="E181" s="110"/>
      <c r="F181" s="110"/>
      <c r="G181" s="110"/>
      <c r="H181" s="110"/>
      <c r="I181" s="110"/>
      <c r="J181" s="110"/>
      <c r="K181" s="110"/>
      <c r="L181" s="110"/>
      <c r="M181" s="110"/>
      <c r="N181" s="110"/>
      <c r="O181" s="110"/>
      <c r="P181" s="110"/>
    </row>
    <row r="182" spans="1:16" x14ac:dyDescent="0.2">
      <c r="A182" s="110"/>
      <c r="B182" s="110"/>
      <c r="C182" s="110"/>
      <c r="D182" s="110"/>
      <c r="E182" s="110"/>
      <c r="F182" s="110"/>
      <c r="G182" s="110"/>
      <c r="H182" s="110"/>
      <c r="I182" s="110"/>
      <c r="J182" s="110"/>
      <c r="K182" s="110"/>
      <c r="L182" s="110"/>
      <c r="M182" s="110"/>
      <c r="N182" s="110"/>
      <c r="O182" s="110"/>
      <c r="P182" s="110"/>
    </row>
    <row r="183" spans="1:16" x14ac:dyDescent="0.2">
      <c r="A183" s="110"/>
      <c r="B183" s="110"/>
      <c r="C183" s="110"/>
      <c r="D183" s="110"/>
      <c r="E183" s="110"/>
      <c r="F183" s="110"/>
      <c r="G183" s="110"/>
      <c r="H183" s="110"/>
      <c r="I183" s="110"/>
      <c r="J183" s="110"/>
      <c r="K183" s="110"/>
      <c r="L183" s="110"/>
      <c r="M183" s="110"/>
      <c r="N183" s="110"/>
      <c r="O183" s="110"/>
      <c r="P183" s="110"/>
    </row>
    <row r="184" spans="1:16" x14ac:dyDescent="0.2">
      <c r="A184" s="110"/>
      <c r="B184" s="110"/>
      <c r="C184" s="110"/>
      <c r="D184" s="110"/>
      <c r="E184" s="110"/>
      <c r="F184" s="110"/>
      <c r="G184" s="110"/>
      <c r="H184" s="110"/>
      <c r="I184" s="110"/>
      <c r="J184" s="110"/>
      <c r="K184" s="110"/>
      <c r="L184" s="110"/>
      <c r="M184" s="110"/>
      <c r="N184" s="110"/>
      <c r="O184" s="110"/>
      <c r="P184" s="110"/>
    </row>
    <row r="185" spans="1:16" x14ac:dyDescent="0.2">
      <c r="A185" s="110"/>
      <c r="B185" s="110"/>
      <c r="C185" s="110"/>
      <c r="D185" s="110"/>
      <c r="E185" s="110"/>
      <c r="F185" s="110"/>
      <c r="G185" s="110"/>
      <c r="H185" s="110"/>
      <c r="I185" s="110"/>
      <c r="J185" s="110"/>
      <c r="K185" s="110"/>
      <c r="L185" s="110"/>
      <c r="M185" s="110"/>
      <c r="N185" s="110"/>
      <c r="O185" s="110"/>
      <c r="P185" s="110"/>
    </row>
    <row r="186" spans="1:16" x14ac:dyDescent="0.2">
      <c r="A186" s="110"/>
      <c r="B186" s="110"/>
      <c r="C186" s="110"/>
      <c r="D186" s="110"/>
      <c r="E186" s="110"/>
      <c r="F186" s="110"/>
      <c r="G186" s="110"/>
      <c r="H186" s="110"/>
      <c r="I186" s="110"/>
      <c r="J186" s="110"/>
      <c r="K186" s="110"/>
      <c r="L186" s="110"/>
      <c r="M186" s="110"/>
      <c r="N186" s="110"/>
      <c r="O186" s="110"/>
      <c r="P186" s="110"/>
    </row>
    <row r="187" spans="1:16" x14ac:dyDescent="0.2">
      <c r="A187" s="110"/>
      <c r="B187" s="110"/>
      <c r="C187" s="110"/>
      <c r="D187" s="110"/>
      <c r="E187" s="110"/>
      <c r="F187" s="110"/>
      <c r="G187" s="110"/>
      <c r="H187" s="110"/>
      <c r="I187" s="110"/>
      <c r="J187" s="110"/>
      <c r="K187" s="110"/>
      <c r="L187" s="110"/>
      <c r="M187" s="110"/>
      <c r="N187" s="110"/>
      <c r="O187" s="110"/>
      <c r="P187" s="110"/>
    </row>
    <row r="188" spans="1:16" x14ac:dyDescent="0.2">
      <c r="A188" s="110"/>
      <c r="B188" s="110"/>
      <c r="C188" s="110"/>
      <c r="D188" s="110"/>
      <c r="E188" s="110"/>
      <c r="F188" s="110"/>
      <c r="G188" s="110"/>
      <c r="H188" s="110"/>
      <c r="I188" s="110"/>
      <c r="J188" s="110"/>
      <c r="K188" s="110"/>
      <c r="L188" s="110"/>
      <c r="M188" s="110"/>
      <c r="N188" s="110"/>
      <c r="O188" s="110"/>
      <c r="P188" s="110"/>
    </row>
    <row r="189" spans="1:16" x14ac:dyDescent="0.2">
      <c r="A189" s="110"/>
      <c r="B189" s="110"/>
      <c r="C189" s="110"/>
      <c r="D189" s="110"/>
      <c r="E189" s="110"/>
      <c r="F189" s="110"/>
      <c r="G189" s="110"/>
      <c r="H189" s="110"/>
      <c r="I189" s="110"/>
      <c r="J189" s="110"/>
      <c r="K189" s="110"/>
      <c r="L189" s="110"/>
      <c r="M189" s="110"/>
      <c r="N189" s="110"/>
      <c r="O189" s="110"/>
      <c r="P189" s="110"/>
    </row>
    <row r="190" spans="1:16" x14ac:dyDescent="0.2">
      <c r="A190" s="110"/>
      <c r="B190" s="110"/>
      <c r="C190" s="110"/>
      <c r="D190" s="110"/>
      <c r="E190" s="110"/>
      <c r="F190" s="110"/>
      <c r="G190" s="110"/>
      <c r="H190" s="110"/>
      <c r="I190" s="110"/>
      <c r="J190" s="110"/>
      <c r="K190" s="110"/>
      <c r="L190" s="110"/>
      <c r="M190" s="110"/>
      <c r="N190" s="110"/>
      <c r="O190" s="110"/>
      <c r="P190" s="110"/>
    </row>
    <row r="191" spans="1:16" x14ac:dyDescent="0.2">
      <c r="A191" s="110"/>
      <c r="B191" s="110"/>
      <c r="C191" s="110"/>
      <c r="D191" s="110"/>
      <c r="E191" s="110"/>
      <c r="F191" s="110"/>
      <c r="G191" s="110"/>
      <c r="H191" s="110"/>
      <c r="I191" s="110"/>
      <c r="J191" s="110"/>
      <c r="K191" s="110"/>
      <c r="L191" s="110"/>
      <c r="M191" s="110"/>
      <c r="N191" s="110"/>
      <c r="O191" s="110"/>
      <c r="P191" s="110"/>
    </row>
    <row r="192" spans="1:16" x14ac:dyDescent="0.2">
      <c r="A192" s="110"/>
      <c r="B192" s="110"/>
      <c r="C192" s="110"/>
      <c r="D192" s="110"/>
      <c r="E192" s="110"/>
      <c r="F192" s="110"/>
      <c r="G192" s="110"/>
      <c r="H192" s="110"/>
      <c r="I192" s="110"/>
      <c r="J192" s="110"/>
      <c r="K192" s="110"/>
      <c r="L192" s="110"/>
      <c r="M192" s="110"/>
      <c r="N192" s="110"/>
      <c r="O192" s="110"/>
      <c r="P192" s="110"/>
    </row>
    <row r="193" spans="1:16" x14ac:dyDescent="0.2">
      <c r="A193" s="110"/>
      <c r="B193" s="110"/>
      <c r="C193" s="110"/>
      <c r="D193" s="110"/>
      <c r="E193" s="110"/>
      <c r="F193" s="110"/>
      <c r="G193" s="110"/>
      <c r="H193" s="110"/>
      <c r="I193" s="110"/>
      <c r="J193" s="110"/>
      <c r="K193" s="110"/>
      <c r="L193" s="110"/>
      <c r="M193" s="110"/>
      <c r="N193" s="110"/>
      <c r="O193" s="110"/>
      <c r="P193" s="110"/>
    </row>
    <row r="194" spans="1:16" x14ac:dyDescent="0.2">
      <c r="A194" s="110"/>
      <c r="B194" s="110"/>
      <c r="C194" s="110"/>
      <c r="D194" s="110"/>
      <c r="E194" s="110"/>
      <c r="F194" s="110"/>
      <c r="G194" s="110"/>
      <c r="H194" s="110"/>
      <c r="I194" s="110"/>
      <c r="J194" s="110"/>
      <c r="K194" s="110"/>
      <c r="L194" s="110"/>
      <c r="M194" s="110"/>
      <c r="N194" s="110"/>
      <c r="O194" s="110"/>
      <c r="P194" s="110"/>
    </row>
    <row r="195" spans="1:16" x14ac:dyDescent="0.2">
      <c r="A195" s="110"/>
      <c r="B195" s="110"/>
      <c r="C195" s="110"/>
      <c r="D195" s="110"/>
      <c r="E195" s="110"/>
      <c r="F195" s="110"/>
      <c r="G195" s="110"/>
      <c r="H195" s="110"/>
      <c r="I195" s="110"/>
      <c r="J195" s="110"/>
      <c r="K195" s="110"/>
      <c r="L195" s="110"/>
      <c r="M195" s="110"/>
      <c r="N195" s="110"/>
      <c r="O195" s="110"/>
      <c r="P195" s="110"/>
    </row>
    <row r="196" spans="1:16" x14ac:dyDescent="0.2">
      <c r="A196" s="110"/>
      <c r="B196" s="110"/>
      <c r="C196" s="110"/>
      <c r="D196" s="110"/>
      <c r="E196" s="110"/>
      <c r="F196" s="110"/>
      <c r="G196" s="110"/>
      <c r="H196" s="110"/>
      <c r="I196" s="110"/>
      <c r="J196" s="110"/>
      <c r="K196" s="110"/>
      <c r="L196" s="110"/>
      <c r="M196" s="110"/>
      <c r="N196" s="110"/>
      <c r="O196" s="110"/>
      <c r="P196" s="110"/>
    </row>
    <row r="197" spans="1:16" x14ac:dyDescent="0.2">
      <c r="A197" s="110"/>
      <c r="B197" s="110"/>
      <c r="C197" s="110"/>
      <c r="D197" s="110"/>
      <c r="E197" s="110"/>
      <c r="F197" s="110"/>
      <c r="G197" s="110"/>
      <c r="H197" s="110"/>
      <c r="I197" s="110"/>
      <c r="J197" s="110"/>
      <c r="K197" s="110"/>
      <c r="L197" s="110"/>
      <c r="M197" s="110"/>
      <c r="N197" s="110"/>
      <c r="O197" s="110"/>
      <c r="P197" s="110"/>
    </row>
    <row r="198" spans="1:16" x14ac:dyDescent="0.2">
      <c r="A198" s="110"/>
      <c r="B198" s="110"/>
      <c r="C198" s="110"/>
      <c r="D198" s="110"/>
      <c r="E198" s="110"/>
      <c r="F198" s="110"/>
      <c r="G198" s="110"/>
      <c r="H198" s="110"/>
      <c r="I198" s="110"/>
      <c r="J198" s="110"/>
      <c r="K198" s="110"/>
      <c r="L198" s="110"/>
      <c r="M198" s="110"/>
      <c r="N198" s="110"/>
      <c r="O198" s="110"/>
      <c r="P198" s="110"/>
    </row>
    <row r="199" spans="1:16" x14ac:dyDescent="0.2">
      <c r="A199" s="110"/>
      <c r="B199" s="110"/>
      <c r="C199" s="110"/>
      <c r="D199" s="110"/>
      <c r="E199" s="110"/>
      <c r="F199" s="110"/>
      <c r="G199" s="110"/>
      <c r="H199" s="110"/>
      <c r="I199" s="110"/>
      <c r="J199" s="110"/>
      <c r="K199" s="110"/>
      <c r="L199" s="110"/>
      <c r="M199" s="110"/>
      <c r="N199" s="110"/>
      <c r="O199" s="110"/>
      <c r="P199" s="110"/>
    </row>
    <row r="200" spans="1:16" x14ac:dyDescent="0.2">
      <c r="A200" s="110"/>
      <c r="B200" s="110"/>
      <c r="C200" s="110"/>
      <c r="D200" s="110"/>
      <c r="E200" s="110"/>
      <c r="F200" s="110"/>
      <c r="G200" s="110"/>
      <c r="H200" s="110"/>
      <c r="I200" s="110"/>
      <c r="J200" s="110"/>
      <c r="K200" s="110"/>
      <c r="L200" s="110"/>
      <c r="M200" s="110"/>
      <c r="N200" s="110"/>
      <c r="O200" s="110"/>
      <c r="P200" s="110"/>
    </row>
    <row r="201" spans="1:16" x14ac:dyDescent="0.2">
      <c r="A201" s="110"/>
      <c r="B201" s="110"/>
      <c r="C201" s="110"/>
      <c r="D201" s="110"/>
      <c r="E201" s="110"/>
      <c r="F201" s="110"/>
      <c r="G201" s="110"/>
      <c r="H201" s="110"/>
      <c r="I201" s="110"/>
      <c r="J201" s="110"/>
      <c r="K201" s="110"/>
      <c r="L201" s="110"/>
      <c r="M201" s="110"/>
      <c r="N201" s="110"/>
      <c r="O201" s="110"/>
      <c r="P201" s="110"/>
    </row>
    <row r="202" spans="1:16" x14ac:dyDescent="0.2">
      <c r="A202" s="110"/>
      <c r="B202" s="110"/>
      <c r="C202" s="110"/>
      <c r="D202" s="110"/>
      <c r="E202" s="110"/>
      <c r="F202" s="110"/>
      <c r="G202" s="110"/>
      <c r="H202" s="110"/>
      <c r="I202" s="110"/>
      <c r="J202" s="110"/>
      <c r="K202" s="110"/>
      <c r="L202" s="110"/>
      <c r="M202" s="110"/>
      <c r="N202" s="110"/>
      <c r="O202" s="110"/>
      <c r="P202" s="110"/>
    </row>
    <row r="203" spans="1:16" x14ac:dyDescent="0.2">
      <c r="A203" s="110"/>
      <c r="B203" s="110"/>
      <c r="C203" s="110"/>
      <c r="D203" s="110"/>
      <c r="E203" s="110"/>
      <c r="F203" s="110"/>
      <c r="G203" s="110"/>
      <c r="H203" s="110"/>
      <c r="I203" s="110"/>
      <c r="J203" s="110"/>
      <c r="K203" s="110"/>
      <c r="L203" s="110"/>
      <c r="M203" s="110"/>
      <c r="N203" s="110"/>
      <c r="O203" s="110"/>
      <c r="P203" s="110"/>
    </row>
    <row r="204" spans="1:16" x14ac:dyDescent="0.2">
      <c r="A204" s="110"/>
      <c r="B204" s="110"/>
      <c r="C204" s="110"/>
      <c r="D204" s="110"/>
      <c r="E204" s="110"/>
      <c r="F204" s="110"/>
      <c r="G204" s="110"/>
      <c r="H204" s="110"/>
      <c r="I204" s="110"/>
      <c r="J204" s="110"/>
      <c r="K204" s="110"/>
      <c r="L204" s="110"/>
      <c r="M204" s="110"/>
      <c r="N204" s="110"/>
      <c r="O204" s="110"/>
      <c r="P204" s="110"/>
    </row>
    <row r="205" spans="1:16" x14ac:dyDescent="0.2">
      <c r="A205" s="110"/>
      <c r="B205" s="110"/>
      <c r="C205" s="110"/>
      <c r="D205" s="110"/>
      <c r="E205" s="110"/>
      <c r="F205" s="110"/>
      <c r="G205" s="110"/>
      <c r="H205" s="110"/>
      <c r="I205" s="110"/>
      <c r="J205" s="110"/>
      <c r="K205" s="110"/>
      <c r="L205" s="110"/>
      <c r="M205" s="110"/>
      <c r="N205" s="110"/>
      <c r="O205" s="110"/>
      <c r="P205" s="110"/>
    </row>
    <row r="206" spans="1:16" x14ac:dyDescent="0.2">
      <c r="A206" s="110"/>
      <c r="B206" s="110"/>
      <c r="C206" s="110"/>
      <c r="D206" s="110"/>
      <c r="E206" s="110"/>
      <c r="F206" s="110"/>
      <c r="G206" s="110"/>
      <c r="H206" s="110"/>
      <c r="I206" s="110"/>
      <c r="J206" s="110"/>
      <c r="K206" s="110"/>
      <c r="L206" s="110"/>
      <c r="M206" s="110"/>
      <c r="N206" s="110"/>
      <c r="O206" s="110"/>
      <c r="P206" s="110"/>
    </row>
    <row r="207" spans="1:16" x14ac:dyDescent="0.2">
      <c r="A207" s="110"/>
      <c r="B207" s="110"/>
      <c r="C207" s="110"/>
      <c r="D207" s="110"/>
      <c r="E207" s="110"/>
      <c r="F207" s="110"/>
      <c r="G207" s="110"/>
      <c r="H207" s="110"/>
      <c r="I207" s="110"/>
      <c r="J207" s="110"/>
      <c r="K207" s="110"/>
      <c r="L207" s="110"/>
      <c r="M207" s="110"/>
      <c r="N207" s="110"/>
      <c r="O207" s="110"/>
      <c r="P207" s="110"/>
    </row>
    <row r="208" spans="1:16" x14ac:dyDescent="0.2">
      <c r="A208" s="110"/>
      <c r="B208" s="110"/>
      <c r="C208" s="110"/>
      <c r="D208" s="110"/>
      <c r="E208" s="110"/>
      <c r="F208" s="110"/>
      <c r="G208" s="110"/>
      <c r="H208" s="110"/>
      <c r="I208" s="110"/>
      <c r="J208" s="110"/>
      <c r="K208" s="110"/>
      <c r="L208" s="110"/>
      <c r="M208" s="110"/>
      <c r="N208" s="110"/>
      <c r="O208" s="110"/>
      <c r="P208" s="110"/>
    </row>
    <row r="209" spans="1:16" x14ac:dyDescent="0.2">
      <c r="A209" s="110"/>
      <c r="B209" s="110"/>
      <c r="C209" s="110"/>
      <c r="D209" s="110"/>
      <c r="E209" s="110"/>
      <c r="F209" s="110"/>
      <c r="G209" s="110"/>
      <c r="H209" s="110"/>
      <c r="I209" s="110"/>
      <c r="J209" s="110"/>
      <c r="K209" s="110"/>
      <c r="L209" s="110"/>
      <c r="M209" s="110"/>
      <c r="N209" s="110"/>
      <c r="O209" s="110"/>
      <c r="P209" s="110"/>
    </row>
    <row r="210" spans="1:16" x14ac:dyDescent="0.2">
      <c r="A210" s="110"/>
      <c r="B210" s="110"/>
      <c r="C210" s="110"/>
      <c r="D210" s="110"/>
      <c r="E210" s="110"/>
      <c r="F210" s="110"/>
      <c r="G210" s="110"/>
      <c r="H210" s="110"/>
      <c r="I210" s="110"/>
      <c r="J210" s="110"/>
      <c r="K210" s="110"/>
      <c r="L210" s="110"/>
      <c r="M210" s="110"/>
      <c r="N210" s="110"/>
      <c r="O210" s="110"/>
      <c r="P210" s="110"/>
    </row>
    <row r="211" spans="1:16" x14ac:dyDescent="0.2">
      <c r="A211" s="110"/>
      <c r="B211" s="110"/>
      <c r="C211" s="110"/>
      <c r="D211" s="110"/>
      <c r="E211" s="110"/>
      <c r="F211" s="110"/>
      <c r="G211" s="110"/>
      <c r="H211" s="110"/>
      <c r="I211" s="110"/>
      <c r="J211" s="110"/>
      <c r="K211" s="110"/>
      <c r="L211" s="110"/>
      <c r="M211" s="110"/>
      <c r="N211" s="110"/>
      <c r="O211" s="110"/>
      <c r="P211" s="110"/>
    </row>
    <row r="212" spans="1:16" x14ac:dyDescent="0.2">
      <c r="A212" s="110"/>
      <c r="B212" s="110"/>
      <c r="C212" s="110"/>
      <c r="D212" s="110"/>
      <c r="E212" s="110"/>
      <c r="F212" s="110"/>
      <c r="G212" s="110"/>
      <c r="H212" s="110"/>
      <c r="I212" s="110"/>
      <c r="J212" s="110"/>
      <c r="K212" s="110"/>
      <c r="L212" s="110"/>
      <c r="M212" s="110"/>
      <c r="N212" s="110"/>
      <c r="O212" s="110"/>
      <c r="P212" s="110"/>
    </row>
    <row r="213" spans="1:16" x14ac:dyDescent="0.2">
      <c r="A213" s="110"/>
      <c r="B213" s="110"/>
      <c r="C213" s="110"/>
      <c r="D213" s="110"/>
      <c r="E213" s="110"/>
      <c r="F213" s="110"/>
      <c r="G213" s="110"/>
      <c r="H213" s="110"/>
      <c r="I213" s="110"/>
      <c r="J213" s="110"/>
      <c r="K213" s="110"/>
      <c r="L213" s="110"/>
      <c r="M213" s="110"/>
      <c r="N213" s="110"/>
      <c r="O213" s="110"/>
      <c r="P213" s="110"/>
    </row>
    <row r="214" spans="1:16" x14ac:dyDescent="0.2">
      <c r="A214" s="110"/>
      <c r="B214" s="110"/>
      <c r="C214" s="110"/>
      <c r="D214" s="110"/>
      <c r="E214" s="110"/>
      <c r="F214" s="110"/>
      <c r="G214" s="110"/>
      <c r="H214" s="110"/>
      <c r="I214" s="110"/>
      <c r="J214" s="110"/>
      <c r="K214" s="110"/>
      <c r="L214" s="110"/>
      <c r="M214" s="110"/>
      <c r="N214" s="110"/>
      <c r="O214" s="110"/>
      <c r="P214" s="110"/>
    </row>
    <row r="215" spans="1:16" x14ac:dyDescent="0.2">
      <c r="A215" s="110"/>
      <c r="B215" s="110"/>
      <c r="C215" s="110"/>
      <c r="D215" s="110"/>
      <c r="E215" s="110"/>
      <c r="F215" s="110"/>
      <c r="G215" s="110"/>
      <c r="H215" s="110"/>
      <c r="I215" s="110"/>
      <c r="J215" s="110"/>
      <c r="K215" s="110"/>
      <c r="L215" s="110"/>
      <c r="M215" s="110"/>
      <c r="N215" s="110"/>
      <c r="O215" s="110"/>
      <c r="P215" s="110"/>
    </row>
    <row r="216" spans="1:16" x14ac:dyDescent="0.2">
      <c r="A216" s="110"/>
      <c r="B216" s="110"/>
      <c r="C216" s="110"/>
      <c r="D216" s="110"/>
      <c r="E216" s="110"/>
      <c r="F216" s="110"/>
      <c r="G216" s="110"/>
      <c r="H216" s="110"/>
      <c r="I216" s="110"/>
      <c r="J216" s="110"/>
      <c r="K216" s="110"/>
      <c r="L216" s="110"/>
      <c r="M216" s="110"/>
      <c r="N216" s="110"/>
      <c r="O216" s="110"/>
      <c r="P216" s="110"/>
    </row>
    <row r="217" spans="1:16" x14ac:dyDescent="0.2">
      <c r="A217" s="110"/>
      <c r="B217" s="110"/>
      <c r="C217" s="110"/>
      <c r="D217" s="110"/>
      <c r="E217" s="110"/>
      <c r="F217" s="110"/>
      <c r="G217" s="110"/>
      <c r="H217" s="110"/>
      <c r="I217" s="110"/>
      <c r="J217" s="110"/>
      <c r="K217" s="110"/>
      <c r="L217" s="110"/>
      <c r="M217" s="110"/>
      <c r="N217" s="110"/>
      <c r="O217" s="110"/>
      <c r="P217" s="110"/>
    </row>
    <row r="218" spans="1:16" x14ac:dyDescent="0.2">
      <c r="A218" s="110"/>
      <c r="B218" s="110"/>
      <c r="C218" s="110"/>
      <c r="D218" s="110"/>
      <c r="E218" s="110"/>
      <c r="F218" s="110"/>
      <c r="G218" s="110"/>
      <c r="H218" s="110"/>
      <c r="I218" s="110"/>
      <c r="J218" s="110"/>
      <c r="K218" s="110"/>
      <c r="L218" s="110"/>
      <c r="M218" s="110"/>
      <c r="N218" s="110"/>
      <c r="O218" s="110"/>
      <c r="P218" s="110"/>
    </row>
    <row r="219" spans="1:16" x14ac:dyDescent="0.2">
      <c r="A219" s="110"/>
      <c r="B219" s="110"/>
      <c r="C219" s="110"/>
      <c r="D219" s="110"/>
      <c r="E219" s="110"/>
      <c r="F219" s="110"/>
      <c r="G219" s="110"/>
      <c r="H219" s="110"/>
      <c r="I219" s="110"/>
      <c r="J219" s="110"/>
      <c r="K219" s="110"/>
      <c r="L219" s="110"/>
      <c r="M219" s="110"/>
      <c r="N219" s="110"/>
      <c r="O219" s="110"/>
      <c r="P219" s="110"/>
    </row>
    <row r="220" spans="1:16" x14ac:dyDescent="0.2">
      <c r="A220" s="110"/>
      <c r="B220" s="110"/>
      <c r="C220" s="110"/>
      <c r="D220" s="110"/>
      <c r="E220" s="110"/>
      <c r="F220" s="110"/>
      <c r="G220" s="110"/>
      <c r="H220" s="110"/>
      <c r="I220" s="110"/>
      <c r="J220" s="110"/>
      <c r="K220" s="110"/>
      <c r="L220" s="110"/>
      <c r="M220" s="110"/>
      <c r="N220" s="110"/>
      <c r="O220" s="110"/>
      <c r="P220" s="110"/>
    </row>
    <row r="221" spans="1:16" x14ac:dyDescent="0.2">
      <c r="A221" s="110"/>
      <c r="B221" s="110"/>
      <c r="C221" s="110"/>
      <c r="D221" s="110"/>
      <c r="E221" s="110"/>
      <c r="F221" s="110"/>
      <c r="G221" s="110"/>
      <c r="H221" s="110"/>
      <c r="I221" s="110"/>
      <c r="J221" s="110"/>
      <c r="K221" s="110"/>
      <c r="L221" s="110"/>
      <c r="M221" s="110"/>
      <c r="N221" s="110"/>
      <c r="O221" s="110"/>
      <c r="P221" s="110"/>
    </row>
    <row r="222" spans="1:16" x14ac:dyDescent="0.2">
      <c r="A222" s="110"/>
      <c r="B222" s="110"/>
      <c r="C222" s="110"/>
      <c r="D222" s="110"/>
      <c r="E222" s="110"/>
      <c r="F222" s="110"/>
      <c r="G222" s="110"/>
      <c r="H222" s="110"/>
      <c r="I222" s="110"/>
      <c r="J222" s="110"/>
      <c r="K222" s="110"/>
      <c r="L222" s="110"/>
      <c r="M222" s="110"/>
      <c r="N222" s="110"/>
      <c r="O222" s="110"/>
      <c r="P222" s="110"/>
    </row>
    <row r="223" spans="1:16" x14ac:dyDescent="0.2">
      <c r="A223" s="110"/>
      <c r="B223" s="110"/>
      <c r="C223" s="110"/>
      <c r="D223" s="110"/>
      <c r="E223" s="110"/>
      <c r="F223" s="110"/>
      <c r="G223" s="110"/>
      <c r="H223" s="110"/>
      <c r="I223" s="110"/>
      <c r="J223" s="110"/>
      <c r="K223" s="110"/>
      <c r="L223" s="110"/>
      <c r="M223" s="110"/>
      <c r="N223" s="110"/>
      <c r="O223" s="110"/>
      <c r="P223" s="110"/>
    </row>
    <row r="224" spans="1:16" x14ac:dyDescent="0.2">
      <c r="A224" s="110"/>
      <c r="B224" s="110"/>
      <c r="C224" s="110"/>
      <c r="D224" s="110"/>
      <c r="E224" s="110"/>
      <c r="F224" s="110"/>
      <c r="G224" s="110"/>
      <c r="H224" s="110"/>
      <c r="I224" s="110"/>
      <c r="J224" s="110"/>
      <c r="K224" s="110"/>
      <c r="L224" s="110"/>
      <c r="M224" s="110"/>
      <c r="N224" s="110"/>
      <c r="O224" s="110"/>
      <c r="P224" s="110"/>
    </row>
    <row r="225" spans="1:16" x14ac:dyDescent="0.2">
      <c r="A225" s="110"/>
      <c r="B225" s="110"/>
      <c r="C225" s="110"/>
      <c r="D225" s="110"/>
      <c r="E225" s="110"/>
      <c r="F225" s="110"/>
      <c r="G225" s="110"/>
      <c r="H225" s="110"/>
      <c r="I225" s="110"/>
      <c r="J225" s="110"/>
      <c r="K225" s="110"/>
      <c r="L225" s="110"/>
      <c r="M225" s="110"/>
      <c r="N225" s="110"/>
      <c r="O225" s="110"/>
      <c r="P225" s="110"/>
    </row>
    <row r="226" spans="1:16" x14ac:dyDescent="0.2">
      <c r="A226" s="110"/>
      <c r="B226" s="110"/>
      <c r="C226" s="110"/>
      <c r="D226" s="110"/>
      <c r="E226" s="110"/>
      <c r="F226" s="110"/>
      <c r="G226" s="110"/>
      <c r="H226" s="110"/>
      <c r="I226" s="110"/>
      <c r="J226" s="110"/>
      <c r="K226" s="110"/>
      <c r="L226" s="110"/>
      <c r="M226" s="110"/>
      <c r="N226" s="110"/>
      <c r="O226" s="110"/>
      <c r="P226" s="110"/>
    </row>
    <row r="227" spans="1:16" x14ac:dyDescent="0.2">
      <c r="A227" s="110"/>
      <c r="B227" s="110"/>
      <c r="C227" s="110"/>
      <c r="D227" s="110"/>
      <c r="E227" s="110"/>
      <c r="F227" s="110"/>
      <c r="G227" s="110"/>
      <c r="H227" s="110"/>
      <c r="I227" s="110"/>
      <c r="J227" s="110"/>
      <c r="K227" s="110"/>
      <c r="L227" s="110"/>
      <c r="M227" s="110"/>
      <c r="N227" s="110"/>
      <c r="O227" s="110"/>
      <c r="P227" s="110"/>
    </row>
    <row r="228" spans="1:16" x14ac:dyDescent="0.2">
      <c r="A228" s="110"/>
      <c r="B228" s="110"/>
      <c r="C228" s="110"/>
      <c r="D228" s="110"/>
      <c r="E228" s="110"/>
      <c r="F228" s="110"/>
      <c r="G228" s="110"/>
      <c r="H228" s="110"/>
      <c r="I228" s="110"/>
      <c r="J228" s="110"/>
      <c r="K228" s="110"/>
      <c r="L228" s="110"/>
      <c r="M228" s="110"/>
      <c r="N228" s="110"/>
      <c r="O228" s="110"/>
      <c r="P228" s="110"/>
    </row>
    <row r="229" spans="1:16" x14ac:dyDescent="0.2">
      <c r="A229" s="110"/>
      <c r="B229" s="110"/>
      <c r="C229" s="110"/>
      <c r="D229" s="110"/>
      <c r="E229" s="110"/>
      <c r="F229" s="110"/>
      <c r="G229" s="110"/>
      <c r="H229" s="110"/>
      <c r="I229" s="110"/>
      <c r="J229" s="110"/>
      <c r="K229" s="110"/>
      <c r="L229" s="110"/>
      <c r="M229" s="110"/>
      <c r="N229" s="110"/>
      <c r="O229" s="110"/>
      <c r="P229" s="110"/>
    </row>
    <row r="230" spans="1:16" x14ac:dyDescent="0.2">
      <c r="A230" s="110"/>
      <c r="B230" s="110"/>
      <c r="C230" s="110"/>
      <c r="D230" s="110"/>
      <c r="E230" s="110"/>
      <c r="F230" s="110"/>
      <c r="G230" s="110"/>
      <c r="H230" s="110"/>
      <c r="I230" s="110"/>
      <c r="J230" s="110"/>
      <c r="K230" s="110"/>
      <c r="L230" s="110"/>
      <c r="M230" s="110"/>
      <c r="N230" s="110"/>
      <c r="O230" s="110"/>
      <c r="P230" s="110"/>
    </row>
    <row r="231" spans="1:16" x14ac:dyDescent="0.2">
      <c r="A231" s="110"/>
      <c r="B231" s="110"/>
      <c r="C231" s="110"/>
      <c r="D231" s="110"/>
      <c r="E231" s="110"/>
      <c r="F231" s="110"/>
      <c r="G231" s="110"/>
      <c r="H231" s="110"/>
      <c r="I231" s="110"/>
      <c r="J231" s="110"/>
      <c r="K231" s="110"/>
      <c r="L231" s="110"/>
      <c r="M231" s="110"/>
      <c r="N231" s="110"/>
      <c r="O231" s="110"/>
      <c r="P231" s="110"/>
    </row>
    <row r="232" spans="1:16" x14ac:dyDescent="0.2">
      <c r="A232" s="110"/>
      <c r="B232" s="110"/>
      <c r="C232" s="110"/>
      <c r="D232" s="110"/>
      <c r="E232" s="110"/>
      <c r="F232" s="110"/>
      <c r="G232" s="110"/>
      <c r="H232" s="110"/>
      <c r="I232" s="110"/>
      <c r="J232" s="110"/>
      <c r="K232" s="110"/>
      <c r="L232" s="110"/>
      <c r="M232" s="110"/>
      <c r="N232" s="110"/>
      <c r="O232" s="110"/>
      <c r="P232" s="110"/>
    </row>
    <row r="233" spans="1:16" x14ac:dyDescent="0.2">
      <c r="A233" s="110"/>
      <c r="B233" s="110"/>
      <c r="C233" s="110"/>
      <c r="D233" s="110"/>
      <c r="E233" s="110"/>
      <c r="F233" s="110"/>
      <c r="G233" s="110"/>
      <c r="H233" s="110"/>
      <c r="I233" s="110"/>
      <c r="J233" s="110"/>
      <c r="K233" s="110"/>
      <c r="L233" s="110"/>
      <c r="M233" s="110"/>
      <c r="N233" s="110"/>
      <c r="O233" s="110"/>
      <c r="P233" s="110"/>
    </row>
    <row r="234" spans="1:16" x14ac:dyDescent="0.2">
      <c r="A234" s="110"/>
      <c r="B234" s="110"/>
      <c r="C234" s="110"/>
      <c r="D234" s="110"/>
      <c r="E234" s="110"/>
      <c r="F234" s="110"/>
      <c r="G234" s="110"/>
      <c r="H234" s="110"/>
      <c r="I234" s="110"/>
      <c r="J234" s="110"/>
      <c r="K234" s="110"/>
      <c r="L234" s="110"/>
      <c r="M234" s="110"/>
      <c r="N234" s="110"/>
      <c r="O234" s="110"/>
      <c r="P234" s="110"/>
    </row>
    <row r="235" spans="1:16" x14ac:dyDescent="0.2">
      <c r="A235" s="110"/>
      <c r="B235" s="110"/>
      <c r="C235" s="110"/>
      <c r="D235" s="110"/>
      <c r="E235" s="110"/>
      <c r="F235" s="110"/>
      <c r="G235" s="110"/>
      <c r="H235" s="110"/>
      <c r="I235" s="110"/>
      <c r="J235" s="110"/>
      <c r="K235" s="110"/>
      <c r="L235" s="110"/>
      <c r="M235" s="110"/>
      <c r="N235" s="110"/>
      <c r="O235" s="110"/>
      <c r="P235" s="110"/>
    </row>
    <row r="236" spans="1:16" x14ac:dyDescent="0.2">
      <c r="A236" s="110"/>
      <c r="B236" s="110"/>
      <c r="C236" s="110"/>
      <c r="D236" s="110"/>
      <c r="E236" s="110"/>
      <c r="F236" s="110"/>
      <c r="G236" s="110"/>
      <c r="H236" s="110"/>
      <c r="I236" s="110"/>
      <c r="J236" s="110"/>
      <c r="K236" s="110"/>
      <c r="L236" s="110"/>
      <c r="M236" s="110"/>
      <c r="N236" s="110"/>
      <c r="O236" s="110"/>
      <c r="P236" s="110"/>
    </row>
    <row r="237" spans="1:16" x14ac:dyDescent="0.2">
      <c r="A237" s="110"/>
      <c r="B237" s="110"/>
      <c r="C237" s="110"/>
      <c r="D237" s="110"/>
      <c r="E237" s="110"/>
      <c r="F237" s="110"/>
      <c r="G237" s="110"/>
      <c r="H237" s="110"/>
      <c r="I237" s="110"/>
      <c r="J237" s="110"/>
      <c r="K237" s="110"/>
      <c r="L237" s="110"/>
      <c r="M237" s="110"/>
      <c r="N237" s="110"/>
      <c r="O237" s="110"/>
      <c r="P237" s="110"/>
    </row>
    <row r="238" spans="1:16" x14ac:dyDescent="0.2">
      <c r="A238" s="110"/>
      <c r="B238" s="110"/>
      <c r="C238" s="110"/>
      <c r="D238" s="110"/>
      <c r="E238" s="110"/>
      <c r="F238" s="110"/>
      <c r="G238" s="110"/>
      <c r="H238" s="110"/>
      <c r="I238" s="110"/>
      <c r="J238" s="110"/>
      <c r="K238" s="110"/>
      <c r="L238" s="110"/>
      <c r="M238" s="110"/>
      <c r="N238" s="110"/>
      <c r="O238" s="110"/>
      <c r="P238" s="110"/>
    </row>
    <row r="239" spans="1:16" x14ac:dyDescent="0.2">
      <c r="A239" s="110"/>
      <c r="B239" s="110"/>
      <c r="C239" s="110"/>
      <c r="D239" s="110"/>
      <c r="E239" s="110"/>
      <c r="F239" s="110"/>
      <c r="G239" s="110"/>
      <c r="H239" s="110"/>
      <c r="I239" s="110"/>
      <c r="J239" s="110"/>
      <c r="K239" s="110"/>
      <c r="L239" s="110"/>
      <c r="M239" s="110"/>
      <c r="N239" s="110"/>
      <c r="O239" s="110"/>
      <c r="P239" s="110"/>
    </row>
    <row r="240" spans="1:16" x14ac:dyDescent="0.2">
      <c r="A240" s="110"/>
      <c r="B240" s="110"/>
      <c r="C240" s="110"/>
      <c r="D240" s="110"/>
      <c r="E240" s="110"/>
      <c r="F240" s="110"/>
      <c r="G240" s="110"/>
      <c r="H240" s="110"/>
      <c r="I240" s="110"/>
      <c r="J240" s="110"/>
      <c r="K240" s="110"/>
      <c r="L240" s="110"/>
      <c r="M240" s="110"/>
      <c r="N240" s="110"/>
      <c r="O240" s="110"/>
      <c r="P240" s="110"/>
    </row>
    <row r="241" spans="1:16" x14ac:dyDescent="0.2">
      <c r="A241" s="110"/>
      <c r="B241" s="110"/>
      <c r="C241" s="110"/>
      <c r="D241" s="110"/>
      <c r="E241" s="110"/>
      <c r="F241" s="110"/>
      <c r="G241" s="110"/>
      <c r="H241" s="110"/>
      <c r="I241" s="110"/>
      <c r="J241" s="110"/>
      <c r="K241" s="110"/>
      <c r="L241" s="110"/>
      <c r="M241" s="110"/>
      <c r="N241" s="110"/>
      <c r="O241" s="110"/>
      <c r="P241" s="110"/>
    </row>
    <row r="242" spans="1:16" x14ac:dyDescent="0.2">
      <c r="A242" s="110"/>
      <c r="B242" s="110"/>
      <c r="C242" s="110"/>
      <c r="D242" s="110"/>
      <c r="E242" s="110"/>
      <c r="F242" s="110"/>
      <c r="G242" s="110"/>
      <c r="H242" s="110"/>
      <c r="I242" s="110"/>
      <c r="J242" s="110"/>
      <c r="K242" s="110"/>
      <c r="L242" s="110"/>
      <c r="M242" s="110"/>
      <c r="N242" s="110"/>
      <c r="O242" s="110"/>
      <c r="P242" s="110"/>
    </row>
    <row r="243" spans="1:16" x14ac:dyDescent="0.2">
      <c r="A243" s="110"/>
      <c r="B243" s="110"/>
      <c r="C243" s="110"/>
      <c r="D243" s="110"/>
      <c r="E243" s="110"/>
      <c r="F243" s="110"/>
      <c r="G243" s="110"/>
      <c r="H243" s="110"/>
      <c r="I243" s="110"/>
      <c r="J243" s="110"/>
      <c r="K243" s="110"/>
      <c r="L243" s="110"/>
      <c r="M243" s="110"/>
      <c r="N243" s="110"/>
      <c r="O243" s="110"/>
      <c r="P243" s="110"/>
    </row>
    <row r="244" spans="1:16" x14ac:dyDescent="0.2">
      <c r="A244" s="110"/>
      <c r="B244" s="110"/>
      <c r="C244" s="110"/>
      <c r="D244" s="110"/>
      <c r="E244" s="110"/>
      <c r="F244" s="110"/>
      <c r="G244" s="110"/>
      <c r="H244" s="110"/>
      <c r="I244" s="110"/>
      <c r="J244" s="110"/>
      <c r="K244" s="110"/>
      <c r="L244" s="110"/>
      <c r="M244" s="110"/>
      <c r="N244" s="110"/>
      <c r="O244" s="110"/>
      <c r="P244" s="110"/>
    </row>
    <row r="245" spans="1:16" x14ac:dyDescent="0.2">
      <c r="A245" s="110"/>
      <c r="B245" s="110"/>
      <c r="C245" s="110"/>
      <c r="D245" s="110"/>
      <c r="E245" s="110"/>
      <c r="F245" s="110"/>
      <c r="G245" s="110"/>
      <c r="H245" s="110"/>
      <c r="I245" s="110"/>
      <c r="J245" s="110"/>
      <c r="K245" s="110"/>
      <c r="L245" s="110"/>
      <c r="M245" s="110"/>
      <c r="N245" s="110"/>
      <c r="O245" s="110"/>
      <c r="P245" s="110"/>
    </row>
    <row r="246" spans="1:16" x14ac:dyDescent="0.2">
      <c r="A246" s="110"/>
      <c r="B246" s="110"/>
      <c r="C246" s="110"/>
      <c r="D246" s="110"/>
      <c r="E246" s="110"/>
      <c r="F246" s="110"/>
      <c r="G246" s="110"/>
      <c r="H246" s="110"/>
      <c r="I246" s="110"/>
      <c r="J246" s="110"/>
      <c r="K246" s="110"/>
      <c r="L246" s="110"/>
      <c r="M246" s="110"/>
      <c r="N246" s="110"/>
      <c r="O246" s="110"/>
      <c r="P246" s="110"/>
    </row>
    <row r="247" spans="1:16" x14ac:dyDescent="0.2">
      <c r="A247" s="110"/>
      <c r="B247" s="110"/>
      <c r="C247" s="110"/>
      <c r="D247" s="110"/>
      <c r="E247" s="110"/>
      <c r="F247" s="110"/>
      <c r="G247" s="110"/>
      <c r="H247" s="110"/>
      <c r="I247" s="110"/>
      <c r="J247" s="110"/>
      <c r="K247" s="110"/>
      <c r="L247" s="110"/>
      <c r="M247" s="110"/>
      <c r="N247" s="110"/>
      <c r="O247" s="110"/>
      <c r="P247" s="110"/>
    </row>
    <row r="248" spans="1:16" x14ac:dyDescent="0.2">
      <c r="A248" s="110"/>
      <c r="B248" s="110"/>
      <c r="C248" s="110"/>
      <c r="D248" s="110"/>
      <c r="E248" s="110"/>
      <c r="F248" s="110"/>
      <c r="G248" s="110"/>
      <c r="H248" s="110"/>
      <c r="I248" s="110"/>
      <c r="J248" s="110"/>
      <c r="K248" s="110"/>
      <c r="L248" s="110"/>
      <c r="M248" s="110"/>
      <c r="N248" s="110"/>
      <c r="O248" s="110"/>
      <c r="P248" s="110"/>
    </row>
    <row r="249" spans="1:16" x14ac:dyDescent="0.2">
      <c r="A249" s="110"/>
      <c r="B249" s="110"/>
      <c r="C249" s="110"/>
      <c r="D249" s="110"/>
      <c r="E249" s="110"/>
      <c r="F249" s="110"/>
      <c r="G249" s="110"/>
      <c r="H249" s="110"/>
      <c r="I249" s="110"/>
      <c r="J249" s="110"/>
      <c r="K249" s="110"/>
      <c r="L249" s="110"/>
      <c r="M249" s="110"/>
      <c r="N249" s="110"/>
      <c r="O249" s="110"/>
      <c r="P249" s="110"/>
    </row>
    <row r="250" spans="1:16" x14ac:dyDescent="0.2">
      <c r="A250" s="110"/>
      <c r="B250" s="110"/>
      <c r="C250" s="110"/>
      <c r="D250" s="110"/>
      <c r="E250" s="110"/>
      <c r="F250" s="110"/>
      <c r="G250" s="110"/>
      <c r="H250" s="110"/>
      <c r="I250" s="110"/>
      <c r="J250" s="110"/>
      <c r="K250" s="110"/>
      <c r="L250" s="110"/>
      <c r="M250" s="110"/>
      <c r="N250" s="110"/>
      <c r="O250" s="110"/>
      <c r="P250" s="110"/>
    </row>
    <row r="251" spans="1:16" x14ac:dyDescent="0.2">
      <c r="A251" s="110"/>
      <c r="B251" s="110"/>
      <c r="C251" s="110"/>
      <c r="D251" s="110"/>
      <c r="E251" s="110"/>
      <c r="F251" s="110"/>
      <c r="G251" s="110"/>
      <c r="H251" s="110"/>
      <c r="I251" s="110"/>
      <c r="J251" s="110"/>
      <c r="K251" s="110"/>
      <c r="L251" s="110"/>
      <c r="M251" s="110"/>
      <c r="N251" s="110"/>
      <c r="O251" s="110"/>
      <c r="P251" s="110"/>
    </row>
    <row r="252" spans="1:16" x14ac:dyDescent="0.2">
      <c r="A252" s="110"/>
      <c r="B252" s="110"/>
      <c r="C252" s="110"/>
      <c r="D252" s="110"/>
      <c r="E252" s="110"/>
      <c r="F252" s="110"/>
      <c r="G252" s="110"/>
      <c r="H252" s="110"/>
      <c r="I252" s="110"/>
      <c r="J252" s="110"/>
      <c r="K252" s="110"/>
      <c r="L252" s="110"/>
      <c r="M252" s="110"/>
      <c r="N252" s="110"/>
      <c r="O252" s="110"/>
      <c r="P252" s="110"/>
    </row>
    <row r="253" spans="1:16" x14ac:dyDescent="0.2">
      <c r="A253" s="110"/>
      <c r="B253" s="110"/>
      <c r="C253" s="110"/>
      <c r="D253" s="110"/>
      <c r="E253" s="110"/>
      <c r="F253" s="110"/>
      <c r="G253" s="110"/>
      <c r="H253" s="110"/>
      <c r="I253" s="110"/>
      <c r="J253" s="110"/>
      <c r="K253" s="110"/>
      <c r="L253" s="110"/>
      <c r="M253" s="110"/>
      <c r="N253" s="110"/>
      <c r="O253" s="110"/>
      <c r="P253" s="110"/>
    </row>
    <row r="254" spans="1:16" x14ac:dyDescent="0.2">
      <c r="A254" s="110"/>
      <c r="B254" s="110"/>
      <c r="C254" s="110"/>
      <c r="D254" s="110"/>
      <c r="E254" s="110"/>
      <c r="F254" s="110"/>
      <c r="G254" s="110"/>
      <c r="H254" s="110"/>
      <c r="I254" s="110"/>
      <c r="J254" s="110"/>
      <c r="K254" s="110"/>
      <c r="L254" s="110"/>
      <c r="M254" s="110"/>
      <c r="N254" s="110"/>
      <c r="O254" s="110"/>
      <c r="P254" s="110"/>
    </row>
    <row r="255" spans="1:16" x14ac:dyDescent="0.2">
      <c r="A255" s="110"/>
      <c r="B255" s="110"/>
      <c r="C255" s="110"/>
      <c r="D255" s="110"/>
      <c r="E255" s="110"/>
      <c r="F255" s="110"/>
      <c r="G255" s="110"/>
      <c r="H255" s="110"/>
      <c r="I255" s="110"/>
      <c r="J255" s="110"/>
      <c r="K255" s="110"/>
      <c r="L255" s="110"/>
      <c r="M255" s="110"/>
      <c r="N255" s="110"/>
      <c r="O255" s="110"/>
      <c r="P255" s="110"/>
    </row>
    <row r="256" spans="1:16" x14ac:dyDescent="0.2">
      <c r="A256" s="110"/>
      <c r="B256" s="110"/>
      <c r="C256" s="110"/>
      <c r="D256" s="110"/>
      <c r="E256" s="110"/>
      <c r="F256" s="110"/>
      <c r="G256" s="110"/>
      <c r="H256" s="110"/>
      <c r="I256" s="110"/>
      <c r="J256" s="110"/>
      <c r="K256" s="110"/>
      <c r="L256" s="110"/>
      <c r="M256" s="110"/>
      <c r="N256" s="110"/>
      <c r="O256" s="110"/>
      <c r="P256" s="110"/>
    </row>
    <row r="257" spans="1:16" x14ac:dyDescent="0.2">
      <c r="A257" s="110"/>
      <c r="B257" s="110"/>
      <c r="C257" s="110"/>
      <c r="D257" s="110"/>
      <c r="E257" s="110"/>
      <c r="F257" s="110"/>
      <c r="G257" s="110"/>
      <c r="H257" s="110"/>
      <c r="I257" s="110"/>
      <c r="J257" s="110"/>
      <c r="K257" s="110"/>
      <c r="L257" s="110"/>
      <c r="M257" s="110"/>
      <c r="N257" s="110"/>
      <c r="O257" s="110"/>
      <c r="P257" s="110"/>
    </row>
    <row r="258" spans="1:16" x14ac:dyDescent="0.2">
      <c r="A258" s="110"/>
      <c r="B258" s="110"/>
      <c r="C258" s="110"/>
      <c r="D258" s="110"/>
      <c r="E258" s="110"/>
      <c r="F258" s="110"/>
      <c r="G258" s="110"/>
      <c r="H258" s="110"/>
      <c r="I258" s="110"/>
      <c r="J258" s="110"/>
      <c r="K258" s="110"/>
      <c r="L258" s="110"/>
      <c r="M258" s="110"/>
      <c r="N258" s="110"/>
      <c r="O258" s="110"/>
      <c r="P258" s="110"/>
    </row>
    <row r="259" spans="1:16" x14ac:dyDescent="0.2">
      <c r="A259" s="110"/>
      <c r="B259" s="110"/>
      <c r="C259" s="110"/>
      <c r="D259" s="110"/>
      <c r="E259" s="110"/>
      <c r="F259" s="110"/>
      <c r="G259" s="110"/>
      <c r="H259" s="110"/>
      <c r="I259" s="110"/>
      <c r="J259" s="110"/>
      <c r="K259" s="110"/>
      <c r="L259" s="110"/>
      <c r="M259" s="110"/>
      <c r="N259" s="110"/>
      <c r="O259" s="110"/>
      <c r="P259" s="110"/>
    </row>
    <row r="260" spans="1:16" x14ac:dyDescent="0.2">
      <c r="A260" s="110"/>
      <c r="B260" s="110"/>
      <c r="C260" s="110"/>
      <c r="D260" s="110"/>
      <c r="E260" s="110"/>
      <c r="F260" s="110"/>
      <c r="G260" s="110"/>
      <c r="H260" s="110"/>
      <c r="I260" s="110"/>
      <c r="J260" s="110"/>
      <c r="K260" s="110"/>
      <c r="L260" s="110"/>
      <c r="M260" s="110"/>
      <c r="N260" s="110"/>
      <c r="O260" s="110"/>
      <c r="P260" s="110"/>
    </row>
    <row r="261" spans="1:16" x14ac:dyDescent="0.2">
      <c r="A261" s="110"/>
      <c r="B261" s="110"/>
      <c r="C261" s="110"/>
      <c r="D261" s="110"/>
      <c r="E261" s="110"/>
      <c r="F261" s="110"/>
      <c r="G261" s="110"/>
      <c r="H261" s="110"/>
      <c r="I261" s="110"/>
      <c r="J261" s="110"/>
      <c r="K261" s="110"/>
      <c r="L261" s="110"/>
      <c r="M261" s="110"/>
      <c r="N261" s="110"/>
      <c r="O261" s="110"/>
      <c r="P261" s="110"/>
    </row>
    <row r="262" spans="1:16" x14ac:dyDescent="0.2">
      <c r="A262" s="110"/>
      <c r="B262" s="110"/>
      <c r="C262" s="110"/>
      <c r="D262" s="110"/>
      <c r="E262" s="110"/>
      <c r="F262" s="110"/>
      <c r="G262" s="110"/>
      <c r="H262" s="110"/>
      <c r="I262" s="110"/>
      <c r="J262" s="110"/>
      <c r="K262" s="110"/>
      <c r="L262" s="110"/>
      <c r="M262" s="110"/>
      <c r="N262" s="110"/>
      <c r="O262" s="110"/>
      <c r="P262" s="110"/>
    </row>
    <row r="263" spans="1:16" x14ac:dyDescent="0.2">
      <c r="A263" s="110"/>
      <c r="B263" s="110"/>
      <c r="C263" s="110"/>
      <c r="D263" s="110"/>
      <c r="E263" s="110"/>
      <c r="F263" s="110"/>
      <c r="G263" s="110"/>
      <c r="H263" s="110"/>
      <c r="I263" s="110"/>
      <c r="J263" s="110"/>
      <c r="K263" s="110"/>
      <c r="L263" s="110"/>
      <c r="M263" s="110"/>
      <c r="N263" s="110"/>
      <c r="O263" s="110"/>
      <c r="P263" s="110"/>
    </row>
    <row r="264" spans="1:16" x14ac:dyDescent="0.2">
      <c r="A264" s="110"/>
      <c r="B264" s="110"/>
      <c r="C264" s="110"/>
      <c r="D264" s="110"/>
      <c r="E264" s="110"/>
      <c r="F264" s="110"/>
      <c r="G264" s="110"/>
      <c r="H264" s="110"/>
      <c r="I264" s="110"/>
      <c r="J264" s="110"/>
      <c r="K264" s="110"/>
      <c r="L264" s="110"/>
      <c r="M264" s="110"/>
      <c r="N264" s="110"/>
      <c r="O264" s="110"/>
      <c r="P264" s="110"/>
    </row>
    <row r="265" spans="1:16" x14ac:dyDescent="0.2">
      <c r="A265" s="110"/>
      <c r="B265" s="110"/>
      <c r="C265" s="110"/>
      <c r="D265" s="110"/>
      <c r="E265" s="110"/>
      <c r="F265" s="110"/>
      <c r="G265" s="110"/>
      <c r="H265" s="110"/>
      <c r="I265" s="110"/>
      <c r="J265" s="110"/>
      <c r="K265" s="110"/>
      <c r="L265" s="110"/>
      <c r="M265" s="110"/>
      <c r="N265" s="110"/>
      <c r="O265" s="110"/>
      <c r="P265" s="110"/>
    </row>
    <row r="266" spans="1:16" x14ac:dyDescent="0.2">
      <c r="A266" s="110"/>
      <c r="B266" s="110"/>
      <c r="C266" s="110"/>
      <c r="D266" s="110"/>
      <c r="E266" s="110"/>
      <c r="F266" s="110"/>
      <c r="G266" s="110"/>
      <c r="H266" s="110"/>
      <c r="I266" s="110"/>
      <c r="J266" s="110"/>
      <c r="K266" s="110"/>
      <c r="L266" s="110"/>
      <c r="M266" s="110"/>
      <c r="N266" s="110"/>
      <c r="O266" s="110"/>
      <c r="P266" s="110"/>
    </row>
    <row r="267" spans="1:16" x14ac:dyDescent="0.2">
      <c r="A267" s="110"/>
      <c r="B267" s="110"/>
      <c r="C267" s="110"/>
      <c r="D267" s="110"/>
      <c r="E267" s="110"/>
      <c r="F267" s="110"/>
      <c r="G267" s="110"/>
      <c r="H267" s="110"/>
      <c r="I267" s="110"/>
      <c r="J267" s="110"/>
      <c r="K267" s="110"/>
      <c r="L267" s="110"/>
      <c r="M267" s="110"/>
      <c r="N267" s="110"/>
      <c r="O267" s="110"/>
      <c r="P267" s="110"/>
    </row>
    <row r="268" spans="1:16" x14ac:dyDescent="0.2">
      <c r="A268" s="110"/>
      <c r="B268" s="110"/>
      <c r="C268" s="110"/>
      <c r="D268" s="110"/>
      <c r="E268" s="110"/>
      <c r="F268" s="110"/>
      <c r="G268" s="110"/>
      <c r="H268" s="110"/>
      <c r="I268" s="110"/>
      <c r="J268" s="110"/>
      <c r="K268" s="110"/>
      <c r="L268" s="110"/>
      <c r="M268" s="110"/>
      <c r="N268" s="110"/>
      <c r="O268" s="110"/>
      <c r="P268" s="110"/>
    </row>
    <row r="269" spans="1:16" x14ac:dyDescent="0.2">
      <c r="A269" s="110"/>
      <c r="B269" s="110"/>
      <c r="C269" s="110"/>
      <c r="D269" s="110"/>
      <c r="E269" s="110"/>
      <c r="F269" s="110"/>
      <c r="G269" s="110"/>
      <c r="H269" s="110"/>
      <c r="I269" s="110"/>
      <c r="J269" s="110"/>
      <c r="K269" s="110"/>
      <c r="L269" s="110"/>
      <c r="M269" s="110"/>
      <c r="N269" s="110"/>
      <c r="O269" s="110"/>
      <c r="P269" s="110"/>
    </row>
    <row r="270" spans="1:16" x14ac:dyDescent="0.2">
      <c r="A270" s="110"/>
      <c r="B270" s="110"/>
      <c r="C270" s="110"/>
      <c r="D270" s="110"/>
      <c r="E270" s="110"/>
      <c r="F270" s="110"/>
      <c r="G270" s="110"/>
      <c r="H270" s="110"/>
      <c r="I270" s="110"/>
      <c r="J270" s="110"/>
      <c r="K270" s="110"/>
      <c r="L270" s="110"/>
      <c r="M270" s="110"/>
      <c r="N270" s="110"/>
      <c r="O270" s="110"/>
      <c r="P270" s="110"/>
    </row>
    <row r="271" spans="1:16" x14ac:dyDescent="0.2">
      <c r="A271" s="110"/>
      <c r="B271" s="110"/>
      <c r="C271" s="110"/>
      <c r="D271" s="110"/>
      <c r="E271" s="110"/>
      <c r="F271" s="110"/>
      <c r="G271" s="110"/>
      <c r="H271" s="110"/>
      <c r="I271" s="110"/>
      <c r="J271" s="110"/>
      <c r="K271" s="110"/>
      <c r="L271" s="110"/>
      <c r="M271" s="110"/>
      <c r="N271" s="110"/>
      <c r="O271" s="110"/>
      <c r="P271" s="110"/>
    </row>
    <row r="272" spans="1:16" x14ac:dyDescent="0.2">
      <c r="A272" s="110"/>
      <c r="B272" s="110"/>
      <c r="C272" s="110"/>
      <c r="D272" s="110"/>
      <c r="E272" s="110"/>
      <c r="F272" s="110"/>
      <c r="G272" s="110"/>
      <c r="H272" s="110"/>
      <c r="I272" s="110"/>
      <c r="J272" s="110"/>
      <c r="K272" s="110"/>
      <c r="L272" s="110"/>
      <c r="M272" s="110"/>
      <c r="N272" s="110"/>
      <c r="O272" s="110"/>
      <c r="P272" s="110"/>
    </row>
    <row r="273" spans="1:16" x14ac:dyDescent="0.2">
      <c r="A273" s="110"/>
      <c r="B273" s="110"/>
      <c r="C273" s="110"/>
      <c r="D273" s="110"/>
      <c r="E273" s="110"/>
      <c r="F273" s="110"/>
      <c r="G273" s="110"/>
      <c r="H273" s="110"/>
      <c r="I273" s="110"/>
      <c r="J273" s="110"/>
      <c r="K273" s="110"/>
      <c r="L273" s="110"/>
      <c r="M273" s="110"/>
      <c r="N273" s="110"/>
      <c r="O273" s="110"/>
      <c r="P273" s="110"/>
    </row>
    <row r="274" spans="1:16" x14ac:dyDescent="0.2">
      <c r="A274" s="110"/>
      <c r="B274" s="110"/>
      <c r="C274" s="110"/>
      <c r="D274" s="110"/>
      <c r="E274" s="110"/>
      <c r="F274" s="110"/>
      <c r="G274" s="110"/>
      <c r="H274" s="110"/>
      <c r="I274" s="110"/>
      <c r="J274" s="110"/>
      <c r="K274" s="110"/>
      <c r="L274" s="110"/>
      <c r="M274" s="110"/>
      <c r="N274" s="110"/>
      <c r="O274" s="110"/>
      <c r="P274" s="110"/>
    </row>
    <row r="275" spans="1:16" x14ac:dyDescent="0.2">
      <c r="A275" s="110"/>
      <c r="B275" s="110"/>
      <c r="C275" s="110"/>
      <c r="D275" s="110"/>
      <c r="E275" s="110"/>
      <c r="F275" s="110"/>
      <c r="G275" s="110"/>
      <c r="H275" s="110"/>
      <c r="I275" s="110"/>
      <c r="J275" s="110"/>
      <c r="K275" s="110"/>
      <c r="L275" s="110"/>
      <c r="M275" s="110"/>
      <c r="N275" s="110"/>
      <c r="O275" s="110"/>
      <c r="P275" s="110"/>
    </row>
    <row r="276" spans="1:16" x14ac:dyDescent="0.2">
      <c r="A276" s="110"/>
      <c r="B276" s="110"/>
      <c r="C276" s="110"/>
      <c r="D276" s="110"/>
      <c r="E276" s="110"/>
      <c r="F276" s="110"/>
      <c r="G276" s="110"/>
      <c r="H276" s="110"/>
      <c r="I276" s="110"/>
      <c r="J276" s="110"/>
      <c r="K276" s="110"/>
      <c r="L276" s="110"/>
      <c r="M276" s="110"/>
      <c r="N276" s="110"/>
      <c r="O276" s="110"/>
      <c r="P276" s="110"/>
    </row>
    <row r="277" spans="1:16" x14ac:dyDescent="0.2">
      <c r="A277" s="110"/>
      <c r="B277" s="110"/>
      <c r="C277" s="110"/>
      <c r="D277" s="110"/>
      <c r="E277" s="110"/>
      <c r="F277" s="110"/>
      <c r="G277" s="110"/>
      <c r="H277" s="110"/>
      <c r="I277" s="110"/>
      <c r="J277" s="110"/>
      <c r="K277" s="110"/>
      <c r="L277" s="110"/>
      <c r="M277" s="110"/>
      <c r="N277" s="110"/>
      <c r="O277" s="110"/>
      <c r="P277" s="110"/>
    </row>
    <row r="278" spans="1:16" x14ac:dyDescent="0.2">
      <c r="A278" s="110"/>
      <c r="B278" s="110"/>
      <c r="C278" s="110"/>
      <c r="D278" s="110"/>
      <c r="E278" s="110"/>
      <c r="F278" s="110"/>
      <c r="G278" s="110"/>
      <c r="H278" s="110"/>
      <c r="I278" s="110"/>
      <c r="J278" s="110"/>
      <c r="K278" s="110"/>
      <c r="L278" s="110"/>
      <c r="M278" s="110"/>
      <c r="N278" s="110"/>
      <c r="O278" s="110"/>
      <c r="P278" s="110"/>
    </row>
    <row r="279" spans="1:16" x14ac:dyDescent="0.2">
      <c r="A279" s="110"/>
      <c r="B279" s="110"/>
      <c r="C279" s="110"/>
      <c r="D279" s="110"/>
      <c r="E279" s="110"/>
      <c r="F279" s="110"/>
      <c r="G279" s="110"/>
      <c r="H279" s="110"/>
      <c r="I279" s="110"/>
      <c r="J279" s="110"/>
      <c r="K279" s="110"/>
      <c r="L279" s="110"/>
      <c r="M279" s="110"/>
      <c r="N279" s="110"/>
      <c r="O279" s="110"/>
      <c r="P279" s="110"/>
    </row>
    <row r="280" spans="1:16" x14ac:dyDescent="0.2">
      <c r="A280" s="110"/>
      <c r="B280" s="110"/>
      <c r="C280" s="110"/>
      <c r="D280" s="110"/>
      <c r="E280" s="110"/>
      <c r="F280" s="110"/>
      <c r="G280" s="110"/>
      <c r="H280" s="110"/>
      <c r="I280" s="110"/>
      <c r="J280" s="110"/>
      <c r="K280" s="110"/>
      <c r="L280" s="110"/>
      <c r="M280" s="110"/>
      <c r="N280" s="110"/>
      <c r="O280" s="110"/>
      <c r="P280" s="110"/>
    </row>
    <row r="281" spans="1:16" x14ac:dyDescent="0.2">
      <c r="A281" s="110"/>
      <c r="B281" s="110"/>
      <c r="C281" s="110"/>
      <c r="D281" s="110"/>
      <c r="E281" s="110"/>
      <c r="F281" s="110"/>
      <c r="G281" s="110"/>
      <c r="H281" s="110"/>
      <c r="I281" s="110"/>
      <c r="J281" s="110"/>
      <c r="K281" s="110"/>
      <c r="L281" s="110"/>
      <c r="M281" s="110"/>
      <c r="N281" s="110"/>
      <c r="O281" s="110"/>
      <c r="P281" s="110"/>
    </row>
    <row r="282" spans="1:16" x14ac:dyDescent="0.2">
      <c r="A282" s="110"/>
      <c r="B282" s="110"/>
      <c r="C282" s="110"/>
      <c r="D282" s="110"/>
      <c r="E282" s="110"/>
      <c r="F282" s="110"/>
      <c r="G282" s="110"/>
      <c r="H282" s="110"/>
      <c r="I282" s="110"/>
      <c r="J282" s="110"/>
      <c r="K282" s="110"/>
      <c r="L282" s="110"/>
      <c r="M282" s="110"/>
      <c r="N282" s="110"/>
      <c r="O282" s="110"/>
      <c r="P282" s="110"/>
    </row>
    <row r="283" spans="1:16" x14ac:dyDescent="0.2">
      <c r="A283" s="110"/>
      <c r="B283" s="110"/>
      <c r="C283" s="110"/>
      <c r="D283" s="110"/>
      <c r="E283" s="110"/>
      <c r="F283" s="110"/>
      <c r="G283" s="110"/>
      <c r="H283" s="110"/>
      <c r="I283" s="110"/>
      <c r="J283" s="110"/>
      <c r="K283" s="110"/>
      <c r="L283" s="110"/>
      <c r="M283" s="110"/>
      <c r="N283" s="110"/>
      <c r="O283" s="110"/>
      <c r="P283" s="110"/>
    </row>
    <row r="284" spans="1:16" x14ac:dyDescent="0.2">
      <c r="A284" s="110"/>
      <c r="B284" s="110"/>
      <c r="C284" s="110"/>
      <c r="D284" s="110"/>
      <c r="E284" s="110"/>
      <c r="F284" s="110"/>
      <c r="G284" s="110"/>
      <c r="H284" s="110"/>
      <c r="I284" s="110"/>
      <c r="J284" s="110"/>
      <c r="K284" s="110"/>
      <c r="L284" s="110"/>
      <c r="M284" s="110"/>
      <c r="N284" s="110"/>
      <c r="O284" s="110"/>
      <c r="P284" s="110"/>
    </row>
    <row r="285" spans="1:16" x14ac:dyDescent="0.2">
      <c r="A285" s="110"/>
      <c r="B285" s="110"/>
      <c r="C285" s="110"/>
      <c r="D285" s="110"/>
      <c r="E285" s="110"/>
      <c r="F285" s="110"/>
      <c r="G285" s="110"/>
      <c r="H285" s="110"/>
      <c r="I285" s="110"/>
      <c r="J285" s="110"/>
      <c r="K285" s="110"/>
      <c r="L285" s="110"/>
      <c r="M285" s="110"/>
      <c r="N285" s="110"/>
      <c r="O285" s="110"/>
      <c r="P285" s="110"/>
    </row>
    <row r="286" spans="1:16" x14ac:dyDescent="0.2">
      <c r="A286" s="110"/>
      <c r="B286" s="110"/>
      <c r="C286" s="110"/>
      <c r="D286" s="110"/>
      <c r="E286" s="110"/>
      <c r="F286" s="110"/>
      <c r="G286" s="110"/>
      <c r="H286" s="110"/>
      <c r="I286" s="110"/>
      <c r="J286" s="110"/>
      <c r="K286" s="110"/>
      <c r="L286" s="110"/>
      <c r="M286" s="110"/>
      <c r="N286" s="110"/>
      <c r="O286" s="110"/>
      <c r="P286" s="110"/>
    </row>
    <row r="287" spans="1:16" x14ac:dyDescent="0.2">
      <c r="A287" s="110"/>
      <c r="B287" s="110"/>
      <c r="C287" s="110"/>
      <c r="D287" s="110"/>
      <c r="E287" s="110"/>
      <c r="F287" s="110"/>
      <c r="G287" s="110"/>
      <c r="H287" s="110"/>
      <c r="I287" s="110"/>
      <c r="J287" s="110"/>
      <c r="K287" s="110"/>
      <c r="L287" s="110"/>
      <c r="M287" s="110"/>
      <c r="N287" s="110"/>
      <c r="O287" s="110"/>
      <c r="P287" s="110"/>
    </row>
    <row r="288" spans="1:16" x14ac:dyDescent="0.2">
      <c r="A288" s="110"/>
      <c r="B288" s="110"/>
      <c r="C288" s="110"/>
      <c r="D288" s="110"/>
      <c r="E288" s="110"/>
      <c r="F288" s="110"/>
      <c r="G288" s="110"/>
      <c r="H288" s="110"/>
      <c r="I288" s="110"/>
      <c r="J288" s="110"/>
      <c r="K288" s="110"/>
      <c r="L288" s="110"/>
      <c r="M288" s="110"/>
      <c r="N288" s="110"/>
      <c r="O288" s="110"/>
      <c r="P288" s="110"/>
    </row>
    <row r="289" spans="1:16" x14ac:dyDescent="0.2">
      <c r="A289" s="110"/>
      <c r="B289" s="110"/>
      <c r="C289" s="110"/>
      <c r="D289" s="110"/>
      <c r="E289" s="110"/>
      <c r="F289" s="110"/>
      <c r="G289" s="110"/>
      <c r="H289" s="110"/>
      <c r="I289" s="110"/>
      <c r="J289" s="110"/>
      <c r="K289" s="110"/>
      <c r="L289" s="110"/>
      <c r="M289" s="110"/>
      <c r="N289" s="110"/>
      <c r="O289" s="110"/>
      <c r="P289" s="110"/>
    </row>
    <row r="290" spans="1:16" x14ac:dyDescent="0.2">
      <c r="A290" s="110"/>
      <c r="B290" s="110"/>
      <c r="C290" s="110"/>
      <c r="D290" s="110"/>
      <c r="E290" s="110"/>
      <c r="F290" s="110"/>
      <c r="G290" s="110"/>
      <c r="H290" s="110"/>
      <c r="I290" s="110"/>
      <c r="J290" s="110"/>
      <c r="K290" s="110"/>
      <c r="L290" s="110"/>
      <c r="M290" s="110"/>
      <c r="N290" s="110"/>
      <c r="O290" s="110"/>
      <c r="P290" s="110"/>
    </row>
    <row r="291" spans="1:16" x14ac:dyDescent="0.2">
      <c r="A291" s="110"/>
      <c r="B291" s="110"/>
      <c r="C291" s="110"/>
      <c r="D291" s="110"/>
      <c r="E291" s="110"/>
      <c r="F291" s="110"/>
      <c r="G291" s="110"/>
      <c r="H291" s="110"/>
      <c r="I291" s="110"/>
      <c r="J291" s="110"/>
      <c r="K291" s="110"/>
      <c r="L291" s="110"/>
      <c r="M291" s="110"/>
      <c r="N291" s="110"/>
      <c r="O291" s="110"/>
      <c r="P291" s="110"/>
    </row>
    <row r="292" spans="1:16" x14ac:dyDescent="0.2">
      <c r="A292" s="110"/>
      <c r="B292" s="110"/>
      <c r="C292" s="110"/>
      <c r="D292" s="110"/>
      <c r="E292" s="110"/>
      <c r="F292" s="110"/>
      <c r="G292" s="110"/>
      <c r="H292" s="110"/>
      <c r="I292" s="110"/>
      <c r="J292" s="110"/>
      <c r="K292" s="110"/>
      <c r="L292" s="110"/>
      <c r="M292" s="110"/>
      <c r="N292" s="110"/>
      <c r="O292" s="110"/>
      <c r="P292" s="110"/>
    </row>
    <row r="293" spans="1:16" x14ac:dyDescent="0.2">
      <c r="A293" s="110"/>
      <c r="B293" s="110"/>
      <c r="C293" s="110"/>
      <c r="D293" s="110"/>
      <c r="E293" s="110"/>
      <c r="F293" s="110"/>
      <c r="G293" s="110"/>
      <c r="H293" s="110"/>
      <c r="I293" s="110"/>
      <c r="J293" s="110"/>
      <c r="K293" s="110"/>
      <c r="L293" s="110"/>
      <c r="M293" s="110"/>
      <c r="N293" s="110"/>
      <c r="O293" s="110"/>
      <c r="P293" s="110"/>
    </row>
    <row r="294" spans="1:16" x14ac:dyDescent="0.2">
      <c r="A294" s="110"/>
      <c r="B294" s="110"/>
      <c r="C294" s="110"/>
      <c r="D294" s="110"/>
      <c r="E294" s="110"/>
      <c r="F294" s="110"/>
      <c r="G294" s="110"/>
      <c r="H294" s="110"/>
      <c r="I294" s="110"/>
      <c r="J294" s="110"/>
      <c r="K294" s="110"/>
      <c r="L294" s="110"/>
      <c r="M294" s="110"/>
      <c r="N294" s="110"/>
      <c r="O294" s="110"/>
      <c r="P294" s="110"/>
    </row>
    <row r="295" spans="1:16" x14ac:dyDescent="0.2">
      <c r="A295" s="110"/>
      <c r="B295" s="110"/>
      <c r="C295" s="110"/>
      <c r="D295" s="110"/>
      <c r="E295" s="110"/>
      <c r="F295" s="110"/>
      <c r="G295" s="110"/>
      <c r="H295" s="110"/>
      <c r="I295" s="110"/>
      <c r="J295" s="110"/>
      <c r="K295" s="110"/>
      <c r="L295" s="110"/>
      <c r="M295" s="110"/>
      <c r="N295" s="110"/>
      <c r="O295" s="110"/>
      <c r="P295" s="110"/>
    </row>
    <row r="296" spans="1:16" x14ac:dyDescent="0.2">
      <c r="A296" s="110"/>
      <c r="B296" s="110"/>
      <c r="C296" s="110"/>
      <c r="D296" s="110"/>
      <c r="E296" s="110"/>
      <c r="F296" s="110"/>
      <c r="G296" s="110"/>
      <c r="H296" s="110"/>
      <c r="I296" s="110"/>
      <c r="J296" s="110"/>
      <c r="K296" s="110"/>
      <c r="L296" s="110"/>
      <c r="M296" s="110"/>
      <c r="N296" s="110"/>
      <c r="O296" s="110"/>
      <c r="P296" s="110"/>
    </row>
    <row r="297" spans="1:16" x14ac:dyDescent="0.2">
      <c r="A297" s="110"/>
      <c r="B297" s="110"/>
      <c r="C297" s="110"/>
      <c r="D297" s="110"/>
      <c r="E297" s="110"/>
      <c r="F297" s="110"/>
      <c r="G297" s="110"/>
      <c r="H297" s="110"/>
      <c r="I297" s="110"/>
      <c r="J297" s="110"/>
      <c r="K297" s="110"/>
      <c r="L297" s="110"/>
      <c r="M297" s="110"/>
      <c r="N297" s="110"/>
      <c r="O297" s="110"/>
      <c r="P297" s="110"/>
    </row>
    <row r="298" spans="1:16" x14ac:dyDescent="0.2">
      <c r="A298" s="110"/>
      <c r="B298" s="110"/>
      <c r="C298" s="110"/>
      <c r="D298" s="110"/>
      <c r="E298" s="110"/>
      <c r="F298" s="110"/>
      <c r="G298" s="110"/>
      <c r="H298" s="110"/>
      <c r="I298" s="110"/>
      <c r="J298" s="110"/>
      <c r="K298" s="110"/>
      <c r="L298" s="110"/>
      <c r="M298" s="110"/>
      <c r="N298" s="110"/>
      <c r="O298" s="110"/>
      <c r="P298" s="110"/>
    </row>
    <row r="299" spans="1:16" x14ac:dyDescent="0.2">
      <c r="A299" s="110"/>
      <c r="B299" s="110"/>
      <c r="C299" s="110"/>
      <c r="D299" s="110"/>
      <c r="E299" s="110"/>
      <c r="F299" s="110"/>
      <c r="G299" s="110"/>
      <c r="H299" s="110"/>
      <c r="I299" s="110"/>
      <c r="J299" s="110"/>
      <c r="K299" s="110"/>
      <c r="L299" s="110"/>
      <c r="M299" s="110"/>
      <c r="N299" s="110"/>
      <c r="O299" s="110"/>
      <c r="P299" s="110"/>
    </row>
    <row r="300" spans="1:16" x14ac:dyDescent="0.2">
      <c r="A300" s="110"/>
      <c r="B300" s="110"/>
      <c r="C300" s="110"/>
      <c r="D300" s="110"/>
      <c r="E300" s="110"/>
      <c r="F300" s="110"/>
      <c r="G300" s="110"/>
      <c r="H300" s="110"/>
      <c r="I300" s="110"/>
      <c r="J300" s="110"/>
      <c r="K300" s="110"/>
      <c r="L300" s="110"/>
      <c r="M300" s="110"/>
      <c r="N300" s="110"/>
      <c r="O300" s="110"/>
      <c r="P300" s="110"/>
    </row>
    <row r="301" spans="1:16" x14ac:dyDescent="0.2">
      <c r="A301" s="110"/>
      <c r="B301" s="110"/>
      <c r="C301" s="110"/>
      <c r="D301" s="110"/>
      <c r="E301" s="110"/>
      <c r="F301" s="110"/>
      <c r="G301" s="110"/>
      <c r="H301" s="110"/>
      <c r="I301" s="110"/>
      <c r="J301" s="110"/>
      <c r="K301" s="110"/>
      <c r="L301" s="110"/>
      <c r="M301" s="110"/>
      <c r="N301" s="110"/>
      <c r="O301" s="110"/>
      <c r="P301" s="110"/>
    </row>
    <row r="302" spans="1:16" x14ac:dyDescent="0.2">
      <c r="A302" s="110"/>
      <c r="B302" s="110"/>
      <c r="C302" s="110"/>
      <c r="D302" s="110"/>
      <c r="E302" s="110"/>
      <c r="F302" s="110"/>
      <c r="G302" s="110"/>
      <c r="H302" s="110"/>
      <c r="I302" s="110"/>
      <c r="J302" s="110"/>
      <c r="K302" s="110"/>
      <c r="L302" s="110"/>
      <c r="M302" s="110"/>
      <c r="N302" s="110"/>
      <c r="O302" s="110"/>
      <c r="P302" s="110"/>
    </row>
    <row r="303" spans="1:16" x14ac:dyDescent="0.2">
      <c r="A303" s="110"/>
      <c r="B303" s="110"/>
      <c r="C303" s="110"/>
      <c r="D303" s="110"/>
      <c r="E303" s="110"/>
      <c r="F303" s="110"/>
      <c r="G303" s="110"/>
      <c r="H303" s="110"/>
      <c r="I303" s="110"/>
      <c r="J303" s="110"/>
      <c r="K303" s="110"/>
      <c r="L303" s="110"/>
      <c r="M303" s="110"/>
      <c r="N303" s="110"/>
      <c r="O303" s="110"/>
      <c r="P303" s="110"/>
    </row>
    <row r="304" spans="1:16" x14ac:dyDescent="0.2">
      <c r="A304" s="110"/>
      <c r="B304" s="110"/>
      <c r="C304" s="110"/>
      <c r="D304" s="110"/>
      <c r="E304" s="110"/>
      <c r="F304" s="110"/>
      <c r="G304" s="110"/>
      <c r="H304" s="110"/>
      <c r="I304" s="110"/>
      <c r="J304" s="110"/>
      <c r="K304" s="110"/>
      <c r="L304" s="110"/>
      <c r="M304" s="110"/>
      <c r="N304" s="110"/>
      <c r="O304" s="110"/>
      <c r="P304" s="110"/>
    </row>
    <row r="305" spans="1:16" x14ac:dyDescent="0.2">
      <c r="A305" s="110"/>
      <c r="B305" s="110"/>
      <c r="C305" s="110"/>
      <c r="D305" s="110"/>
      <c r="E305" s="110"/>
      <c r="F305" s="110"/>
      <c r="G305" s="110"/>
      <c r="H305" s="110"/>
      <c r="I305" s="110"/>
      <c r="J305" s="110"/>
      <c r="K305" s="110"/>
      <c r="L305" s="110"/>
      <c r="M305" s="110"/>
      <c r="N305" s="110"/>
      <c r="O305" s="110"/>
      <c r="P305" s="110"/>
    </row>
    <row r="306" spans="1:16" x14ac:dyDescent="0.2">
      <c r="A306" s="110"/>
      <c r="B306" s="110"/>
      <c r="C306" s="110"/>
      <c r="D306" s="110"/>
      <c r="E306" s="110"/>
      <c r="F306" s="110"/>
      <c r="G306" s="110"/>
      <c r="H306" s="110"/>
      <c r="I306" s="110"/>
      <c r="J306" s="110"/>
      <c r="K306" s="110"/>
      <c r="L306" s="110"/>
      <c r="M306" s="110"/>
      <c r="N306" s="110"/>
      <c r="O306" s="110"/>
      <c r="P306" s="110"/>
    </row>
    <row r="307" spans="1:16" x14ac:dyDescent="0.2">
      <c r="A307" s="110"/>
      <c r="B307" s="110"/>
      <c r="C307" s="110"/>
      <c r="D307" s="110"/>
      <c r="E307" s="110"/>
      <c r="F307" s="110"/>
      <c r="G307" s="110"/>
      <c r="H307" s="110"/>
      <c r="I307" s="110"/>
      <c r="J307" s="110"/>
      <c r="K307" s="110"/>
      <c r="L307" s="110"/>
      <c r="M307" s="110"/>
      <c r="N307" s="110"/>
      <c r="O307" s="110"/>
      <c r="P307" s="110"/>
    </row>
    <row r="308" spans="1:16" x14ac:dyDescent="0.2">
      <c r="A308" s="110"/>
      <c r="B308" s="110"/>
      <c r="C308" s="110"/>
      <c r="D308" s="110"/>
      <c r="E308" s="110"/>
      <c r="F308" s="110"/>
      <c r="G308" s="110"/>
      <c r="H308" s="110"/>
      <c r="I308" s="110"/>
      <c r="J308" s="110"/>
      <c r="K308" s="110"/>
      <c r="L308" s="110"/>
      <c r="M308" s="110"/>
      <c r="N308" s="110"/>
      <c r="O308" s="110"/>
      <c r="P308" s="110"/>
    </row>
    <row r="309" spans="1:16" x14ac:dyDescent="0.2">
      <c r="A309" s="110"/>
      <c r="B309" s="110"/>
      <c r="C309" s="110"/>
      <c r="D309" s="110"/>
      <c r="E309" s="110"/>
      <c r="F309" s="110"/>
      <c r="G309" s="110"/>
      <c r="H309" s="110"/>
      <c r="I309" s="110"/>
      <c r="J309" s="110"/>
      <c r="K309" s="110"/>
      <c r="L309" s="110"/>
      <c r="M309" s="110"/>
      <c r="N309" s="110"/>
      <c r="O309" s="110"/>
      <c r="P309" s="110"/>
    </row>
    <row r="310" spans="1:16" x14ac:dyDescent="0.2">
      <c r="A310" s="110"/>
      <c r="B310" s="110"/>
      <c r="C310" s="110"/>
      <c r="D310" s="110"/>
      <c r="E310" s="110"/>
      <c r="F310" s="110"/>
      <c r="G310" s="110"/>
      <c r="H310" s="110"/>
      <c r="I310" s="110"/>
      <c r="J310" s="110"/>
      <c r="K310" s="110"/>
      <c r="L310" s="110"/>
      <c r="M310" s="110"/>
      <c r="N310" s="110"/>
      <c r="O310" s="110"/>
      <c r="P310" s="110"/>
    </row>
    <row r="311" spans="1:16" x14ac:dyDescent="0.2">
      <c r="A311" s="110"/>
      <c r="B311" s="110"/>
      <c r="C311" s="110"/>
      <c r="D311" s="110"/>
      <c r="E311" s="110"/>
      <c r="F311" s="110"/>
      <c r="G311" s="110"/>
      <c r="H311" s="110"/>
      <c r="I311" s="110"/>
      <c r="J311" s="110"/>
      <c r="K311" s="110"/>
      <c r="L311" s="110"/>
      <c r="M311" s="110"/>
      <c r="N311" s="110"/>
      <c r="O311" s="110"/>
      <c r="P311" s="110"/>
    </row>
    <row r="312" spans="1:16" x14ac:dyDescent="0.2">
      <c r="A312" s="110"/>
      <c r="B312" s="110"/>
      <c r="C312" s="110"/>
      <c r="D312" s="110"/>
      <c r="E312" s="110"/>
      <c r="F312" s="110"/>
      <c r="G312" s="110"/>
      <c r="H312" s="110"/>
      <c r="I312" s="110"/>
      <c r="J312" s="110"/>
      <c r="K312" s="110"/>
      <c r="L312" s="110"/>
      <c r="M312" s="110"/>
      <c r="N312" s="110"/>
      <c r="O312" s="110"/>
      <c r="P312" s="110"/>
    </row>
    <row r="313" spans="1:16" x14ac:dyDescent="0.2">
      <c r="A313" s="110"/>
      <c r="B313" s="110"/>
      <c r="C313" s="110"/>
      <c r="D313" s="110"/>
      <c r="E313" s="110"/>
      <c r="F313" s="110"/>
      <c r="G313" s="110"/>
      <c r="H313" s="110"/>
      <c r="I313" s="110"/>
      <c r="J313" s="110"/>
      <c r="K313" s="110"/>
      <c r="L313" s="110"/>
      <c r="M313" s="110"/>
      <c r="N313" s="110"/>
      <c r="O313" s="110"/>
      <c r="P313" s="110"/>
    </row>
    <row r="314" spans="1:16" x14ac:dyDescent="0.2">
      <c r="A314" s="110"/>
      <c r="B314" s="110"/>
      <c r="C314" s="110"/>
      <c r="D314" s="110"/>
      <c r="E314" s="110"/>
      <c r="F314" s="110"/>
      <c r="G314" s="110"/>
      <c r="H314" s="110"/>
      <c r="I314" s="110"/>
      <c r="J314" s="110"/>
      <c r="K314" s="110"/>
      <c r="L314" s="110"/>
      <c r="M314" s="110"/>
      <c r="N314" s="110"/>
      <c r="O314" s="110"/>
      <c r="P314" s="110"/>
    </row>
    <row r="315" spans="1:16" x14ac:dyDescent="0.2">
      <c r="A315" s="110"/>
      <c r="B315" s="110"/>
      <c r="C315" s="110"/>
      <c r="D315" s="110"/>
      <c r="E315" s="110"/>
      <c r="F315" s="110"/>
      <c r="G315" s="110"/>
      <c r="H315" s="110"/>
      <c r="I315" s="110"/>
      <c r="J315" s="110"/>
      <c r="K315" s="110"/>
      <c r="L315" s="110"/>
      <c r="M315" s="110"/>
      <c r="N315" s="110"/>
      <c r="O315" s="110"/>
      <c r="P315" s="110"/>
    </row>
    <row r="316" spans="1:16" x14ac:dyDescent="0.2">
      <c r="A316" s="110"/>
      <c r="B316" s="110"/>
      <c r="C316" s="110"/>
      <c r="D316" s="110"/>
      <c r="E316" s="110"/>
      <c r="F316" s="110"/>
      <c r="G316" s="110"/>
      <c r="H316" s="110"/>
      <c r="I316" s="110"/>
      <c r="J316" s="110"/>
      <c r="K316" s="110"/>
      <c r="L316" s="110"/>
      <c r="M316" s="110"/>
      <c r="N316" s="110"/>
      <c r="O316" s="110"/>
      <c r="P316" s="110"/>
    </row>
    <row r="317" spans="1:16" x14ac:dyDescent="0.2">
      <c r="A317" s="110"/>
      <c r="B317" s="110"/>
      <c r="C317" s="110"/>
      <c r="D317" s="110"/>
      <c r="E317" s="110"/>
      <c r="F317" s="110"/>
      <c r="G317" s="110"/>
      <c r="H317" s="110"/>
      <c r="I317" s="110"/>
      <c r="J317" s="110"/>
      <c r="K317" s="110"/>
      <c r="L317" s="110"/>
      <c r="M317" s="110"/>
      <c r="N317" s="110"/>
      <c r="O317" s="110"/>
      <c r="P317" s="110"/>
    </row>
    <row r="318" spans="1:16" x14ac:dyDescent="0.2">
      <c r="A318" s="110"/>
      <c r="B318" s="110"/>
      <c r="C318" s="110"/>
      <c r="D318" s="110"/>
      <c r="E318" s="110"/>
      <c r="F318" s="110"/>
      <c r="G318" s="110"/>
      <c r="H318" s="110"/>
      <c r="I318" s="110"/>
      <c r="J318" s="110"/>
      <c r="K318" s="110"/>
      <c r="L318" s="110"/>
      <c r="M318" s="110"/>
      <c r="N318" s="110"/>
      <c r="O318" s="110"/>
      <c r="P318" s="110"/>
    </row>
    <row r="319" spans="1:16" x14ac:dyDescent="0.2">
      <c r="A319" s="110"/>
      <c r="B319" s="110"/>
      <c r="C319" s="110"/>
      <c r="D319" s="110"/>
      <c r="E319" s="110"/>
      <c r="F319" s="110"/>
      <c r="G319" s="110"/>
      <c r="H319" s="110"/>
      <c r="I319" s="110"/>
      <c r="J319" s="110"/>
      <c r="K319" s="110"/>
      <c r="L319" s="110"/>
      <c r="M319" s="110"/>
      <c r="N319" s="110"/>
      <c r="O319" s="110"/>
      <c r="P319" s="110"/>
    </row>
    <row r="320" spans="1:16" x14ac:dyDescent="0.2">
      <c r="A320" s="110"/>
      <c r="B320" s="110"/>
      <c r="C320" s="110"/>
      <c r="D320" s="110"/>
      <c r="E320" s="110"/>
      <c r="F320" s="110"/>
      <c r="G320" s="110"/>
      <c r="H320" s="110"/>
      <c r="I320" s="110"/>
      <c r="J320" s="110"/>
      <c r="K320" s="110"/>
      <c r="L320" s="110"/>
      <c r="M320" s="110"/>
      <c r="N320" s="110"/>
      <c r="O320" s="110"/>
      <c r="P320" s="110"/>
    </row>
    <row r="321" spans="1:16" x14ac:dyDescent="0.2">
      <c r="A321" s="110"/>
      <c r="B321" s="110"/>
      <c r="C321" s="110"/>
      <c r="D321" s="110"/>
      <c r="E321" s="110"/>
      <c r="F321" s="110"/>
      <c r="G321" s="110"/>
      <c r="H321" s="110"/>
      <c r="I321" s="110"/>
      <c r="J321" s="110"/>
      <c r="K321" s="110"/>
      <c r="L321" s="110"/>
      <c r="M321" s="110"/>
      <c r="N321" s="110"/>
      <c r="O321" s="110"/>
      <c r="P321" s="110"/>
    </row>
    <row r="322" spans="1:16" x14ac:dyDescent="0.2">
      <c r="A322" s="110"/>
      <c r="B322" s="110"/>
      <c r="C322" s="110"/>
      <c r="D322" s="110"/>
      <c r="E322" s="110"/>
      <c r="F322" s="110"/>
      <c r="G322" s="110"/>
      <c r="H322" s="110"/>
      <c r="I322" s="110"/>
      <c r="J322" s="110"/>
      <c r="K322" s="110"/>
      <c r="L322" s="110"/>
      <c r="M322" s="110"/>
      <c r="N322" s="110"/>
      <c r="O322" s="110"/>
      <c r="P322" s="110"/>
    </row>
    <row r="323" spans="1:16" x14ac:dyDescent="0.2">
      <c r="A323" s="110"/>
      <c r="B323" s="110"/>
      <c r="C323" s="110"/>
      <c r="D323" s="110"/>
      <c r="E323" s="110"/>
      <c r="F323" s="110"/>
      <c r="G323" s="110"/>
      <c r="H323" s="110"/>
      <c r="I323" s="110"/>
      <c r="J323" s="110"/>
      <c r="K323" s="110"/>
      <c r="L323" s="110"/>
      <c r="M323" s="110"/>
      <c r="N323" s="110"/>
      <c r="O323" s="110"/>
      <c r="P323" s="110"/>
    </row>
    <row r="324" spans="1:16" x14ac:dyDescent="0.2">
      <c r="A324" s="110"/>
      <c r="B324" s="110"/>
      <c r="C324" s="110"/>
      <c r="D324" s="110"/>
      <c r="E324" s="110"/>
      <c r="F324" s="110"/>
      <c r="G324" s="110"/>
      <c r="H324" s="110"/>
      <c r="I324" s="110"/>
      <c r="J324" s="110"/>
      <c r="K324" s="110"/>
      <c r="L324" s="110"/>
      <c r="M324" s="110"/>
      <c r="N324" s="110"/>
      <c r="O324" s="110"/>
      <c r="P324" s="110"/>
    </row>
    <row r="325" spans="1:16" x14ac:dyDescent="0.2">
      <c r="A325" s="110"/>
      <c r="B325" s="110"/>
      <c r="C325" s="110"/>
      <c r="D325" s="110"/>
      <c r="E325" s="110"/>
      <c r="F325" s="110"/>
      <c r="G325" s="110"/>
      <c r="H325" s="110"/>
      <c r="I325" s="110"/>
      <c r="J325" s="110"/>
      <c r="K325" s="110"/>
      <c r="L325" s="110"/>
      <c r="M325" s="110"/>
      <c r="N325" s="110"/>
      <c r="O325" s="110"/>
      <c r="P325" s="110"/>
    </row>
    <row r="326" spans="1:16" x14ac:dyDescent="0.2">
      <c r="A326" s="110"/>
      <c r="B326" s="110"/>
      <c r="C326" s="110"/>
      <c r="D326" s="110"/>
      <c r="E326" s="110"/>
      <c r="F326" s="110"/>
      <c r="G326" s="110"/>
      <c r="H326" s="110"/>
      <c r="I326" s="110"/>
      <c r="J326" s="110"/>
      <c r="K326" s="110"/>
      <c r="L326" s="110"/>
      <c r="M326" s="110"/>
      <c r="N326" s="110"/>
      <c r="O326" s="110"/>
      <c r="P326" s="110"/>
    </row>
    <row r="327" spans="1:16" x14ac:dyDescent="0.2">
      <c r="A327" s="110"/>
      <c r="B327" s="110"/>
      <c r="C327" s="110"/>
      <c r="D327" s="110"/>
      <c r="E327" s="110"/>
      <c r="F327" s="110"/>
      <c r="G327" s="110"/>
      <c r="H327" s="110"/>
      <c r="I327" s="110"/>
      <c r="J327" s="110"/>
      <c r="K327" s="110"/>
      <c r="L327" s="110"/>
      <c r="M327" s="110"/>
      <c r="N327" s="110"/>
      <c r="O327" s="110"/>
      <c r="P327" s="110"/>
    </row>
    <row r="328" spans="1:16" x14ac:dyDescent="0.2">
      <c r="A328" s="110"/>
      <c r="B328" s="110"/>
      <c r="C328" s="110"/>
      <c r="D328" s="110"/>
      <c r="E328" s="110"/>
      <c r="F328" s="110"/>
      <c r="G328" s="110"/>
      <c r="H328" s="110"/>
      <c r="I328" s="110"/>
      <c r="J328" s="110"/>
      <c r="K328" s="110"/>
      <c r="L328" s="110"/>
      <c r="M328" s="110"/>
      <c r="N328" s="110"/>
      <c r="O328" s="110"/>
      <c r="P328" s="110"/>
    </row>
    <row r="329" spans="1:16" x14ac:dyDescent="0.2">
      <c r="A329" s="110"/>
      <c r="B329" s="110"/>
      <c r="C329" s="110"/>
      <c r="D329" s="110"/>
      <c r="E329" s="110"/>
      <c r="F329" s="110"/>
      <c r="G329" s="110"/>
      <c r="H329" s="110"/>
      <c r="I329" s="110"/>
      <c r="J329" s="110"/>
      <c r="K329" s="110"/>
      <c r="L329" s="110"/>
      <c r="M329" s="110"/>
      <c r="N329" s="110"/>
      <c r="O329" s="110"/>
      <c r="P329" s="110"/>
    </row>
    <row r="330" spans="1:16" x14ac:dyDescent="0.2">
      <c r="A330" s="110"/>
      <c r="B330" s="110"/>
      <c r="C330" s="110"/>
      <c r="D330" s="110"/>
      <c r="E330" s="110"/>
      <c r="F330" s="110"/>
      <c r="G330" s="110"/>
      <c r="H330" s="110"/>
      <c r="I330" s="110"/>
      <c r="J330" s="110"/>
      <c r="K330" s="110"/>
      <c r="L330" s="110"/>
      <c r="M330" s="110"/>
      <c r="N330" s="110"/>
      <c r="O330" s="110"/>
      <c r="P330" s="110"/>
    </row>
    <row r="331" spans="1:16" x14ac:dyDescent="0.2">
      <c r="A331" s="110"/>
      <c r="B331" s="110"/>
      <c r="C331" s="110"/>
      <c r="D331" s="110"/>
      <c r="E331" s="110"/>
      <c r="F331" s="110"/>
      <c r="G331" s="110"/>
      <c r="H331" s="110"/>
      <c r="I331" s="110"/>
      <c r="J331" s="110"/>
      <c r="K331" s="110"/>
      <c r="L331" s="110"/>
      <c r="M331" s="110"/>
      <c r="N331" s="110"/>
      <c r="O331" s="110"/>
      <c r="P331" s="110"/>
    </row>
    <row r="332" spans="1:16" x14ac:dyDescent="0.2">
      <c r="A332" s="110"/>
      <c r="B332" s="110"/>
      <c r="C332" s="110"/>
      <c r="D332" s="110"/>
      <c r="E332" s="110"/>
      <c r="F332" s="110"/>
      <c r="G332" s="110"/>
      <c r="H332" s="110"/>
      <c r="I332" s="110"/>
      <c r="J332" s="110"/>
      <c r="K332" s="110"/>
      <c r="L332" s="110"/>
      <c r="M332" s="110"/>
      <c r="N332" s="110"/>
      <c r="O332" s="110"/>
      <c r="P332" s="110"/>
    </row>
    <row r="333" spans="1:16" x14ac:dyDescent="0.2">
      <c r="A333" s="110"/>
      <c r="B333" s="110"/>
      <c r="C333" s="110"/>
      <c r="D333" s="110"/>
      <c r="E333" s="110"/>
      <c r="F333" s="110"/>
      <c r="G333" s="110"/>
      <c r="H333" s="110"/>
      <c r="I333" s="110"/>
      <c r="J333" s="110"/>
      <c r="K333" s="110"/>
      <c r="L333" s="110"/>
      <c r="M333" s="110"/>
      <c r="N333" s="110"/>
      <c r="O333" s="110"/>
      <c r="P333" s="110"/>
    </row>
    <row r="334" spans="1:16" x14ac:dyDescent="0.2">
      <c r="A334" s="110"/>
      <c r="B334" s="110"/>
      <c r="C334" s="110"/>
      <c r="D334" s="110"/>
      <c r="E334" s="110"/>
      <c r="F334" s="110"/>
      <c r="G334" s="110"/>
      <c r="H334" s="110"/>
      <c r="I334" s="110"/>
      <c r="J334" s="110"/>
      <c r="K334" s="110"/>
      <c r="L334" s="110"/>
      <c r="M334" s="110"/>
      <c r="N334" s="110"/>
      <c r="O334" s="110"/>
      <c r="P334" s="110"/>
    </row>
    <row r="335" spans="1:16" x14ac:dyDescent="0.2">
      <c r="A335" s="110"/>
      <c r="B335" s="110"/>
      <c r="C335" s="110"/>
      <c r="D335" s="110"/>
      <c r="E335" s="110"/>
      <c r="F335" s="110"/>
      <c r="G335" s="110"/>
      <c r="H335" s="110"/>
      <c r="I335" s="110"/>
      <c r="J335" s="110"/>
      <c r="K335" s="110"/>
      <c r="L335" s="110"/>
      <c r="M335" s="110"/>
      <c r="N335" s="110"/>
      <c r="O335" s="110"/>
      <c r="P335" s="110"/>
    </row>
    <row r="336" spans="1:16" x14ac:dyDescent="0.2">
      <c r="A336" s="110"/>
      <c r="B336" s="110"/>
      <c r="C336" s="110"/>
      <c r="D336" s="110"/>
      <c r="E336" s="110"/>
      <c r="F336" s="110"/>
      <c r="G336" s="110"/>
      <c r="H336" s="110"/>
      <c r="I336" s="110"/>
      <c r="J336" s="110"/>
      <c r="K336" s="110"/>
      <c r="L336" s="110"/>
      <c r="M336" s="110"/>
      <c r="N336" s="110"/>
      <c r="O336" s="110"/>
      <c r="P336" s="110"/>
    </row>
    <row r="337" spans="1:16" x14ac:dyDescent="0.2">
      <c r="A337" s="110"/>
      <c r="B337" s="110"/>
      <c r="C337" s="110"/>
      <c r="D337" s="110"/>
      <c r="E337" s="110"/>
      <c r="F337" s="110"/>
      <c r="G337" s="110"/>
      <c r="H337" s="110"/>
      <c r="I337" s="110"/>
      <c r="J337" s="110"/>
      <c r="K337" s="110"/>
      <c r="L337" s="110"/>
      <c r="M337" s="110"/>
      <c r="N337" s="110"/>
      <c r="O337" s="110"/>
      <c r="P337" s="110"/>
    </row>
    <row r="338" spans="1:16" x14ac:dyDescent="0.2">
      <c r="A338" s="110"/>
      <c r="B338" s="110"/>
      <c r="C338" s="110"/>
      <c r="D338" s="110"/>
      <c r="E338" s="110"/>
      <c r="F338" s="110"/>
      <c r="G338" s="110"/>
      <c r="H338" s="110"/>
      <c r="I338" s="110"/>
      <c r="J338" s="110"/>
      <c r="K338" s="110"/>
      <c r="L338" s="110"/>
      <c r="M338" s="110"/>
      <c r="N338" s="110"/>
      <c r="O338" s="110"/>
      <c r="P338" s="110"/>
    </row>
    <row r="339" spans="1:16" x14ac:dyDescent="0.2">
      <c r="A339" s="110"/>
      <c r="B339" s="110"/>
      <c r="C339" s="110"/>
      <c r="D339" s="110"/>
      <c r="E339" s="110"/>
      <c r="F339" s="110"/>
      <c r="G339" s="110"/>
      <c r="H339" s="110"/>
      <c r="I339" s="110"/>
      <c r="J339" s="110"/>
      <c r="K339" s="110"/>
      <c r="L339" s="110"/>
      <c r="M339" s="110"/>
      <c r="N339" s="110"/>
      <c r="O339" s="110"/>
      <c r="P339" s="110"/>
    </row>
    <row r="340" spans="1:16" x14ac:dyDescent="0.2">
      <c r="A340" s="110"/>
      <c r="B340" s="110"/>
      <c r="C340" s="110"/>
      <c r="D340" s="110"/>
      <c r="E340" s="110"/>
      <c r="F340" s="110"/>
      <c r="G340" s="110"/>
      <c r="H340" s="110"/>
      <c r="I340" s="110"/>
      <c r="J340" s="110"/>
      <c r="K340" s="110"/>
      <c r="L340" s="110"/>
      <c r="M340" s="110"/>
      <c r="N340" s="110"/>
      <c r="O340" s="110"/>
      <c r="P340" s="110"/>
    </row>
    <row r="341" spans="1:16" x14ac:dyDescent="0.2">
      <c r="A341" s="110"/>
      <c r="B341" s="110"/>
      <c r="C341" s="110"/>
      <c r="D341" s="110"/>
      <c r="E341" s="110"/>
      <c r="F341" s="110"/>
      <c r="G341" s="110"/>
      <c r="H341" s="110"/>
      <c r="I341" s="110"/>
      <c r="J341" s="110"/>
      <c r="K341" s="110"/>
      <c r="L341" s="110"/>
      <c r="M341" s="110"/>
      <c r="N341" s="110"/>
      <c r="O341" s="110"/>
      <c r="P341" s="110"/>
    </row>
    <row r="342" spans="1:16" x14ac:dyDescent="0.2">
      <c r="A342" s="110"/>
      <c r="B342" s="110"/>
      <c r="C342" s="110"/>
      <c r="D342" s="110"/>
      <c r="E342" s="110"/>
      <c r="F342" s="110"/>
      <c r="G342" s="110"/>
      <c r="H342" s="110"/>
      <c r="I342" s="110"/>
      <c r="J342" s="110"/>
      <c r="K342" s="110"/>
      <c r="L342" s="110"/>
      <c r="M342" s="110"/>
      <c r="N342" s="110"/>
      <c r="O342" s="110"/>
      <c r="P342" s="110"/>
    </row>
    <row r="343" spans="1:16" x14ac:dyDescent="0.2">
      <c r="A343" s="110"/>
      <c r="B343" s="110"/>
      <c r="C343" s="110"/>
      <c r="D343" s="110"/>
      <c r="E343" s="110"/>
      <c r="F343" s="110"/>
      <c r="G343" s="110"/>
      <c r="H343" s="110"/>
      <c r="I343" s="110"/>
      <c r="J343" s="110"/>
      <c r="K343" s="110"/>
      <c r="L343" s="110"/>
      <c r="M343" s="110"/>
      <c r="N343" s="110"/>
      <c r="O343" s="110"/>
      <c r="P343" s="110"/>
    </row>
    <row r="344" spans="1:16" x14ac:dyDescent="0.2">
      <c r="A344" s="110"/>
      <c r="B344" s="110"/>
      <c r="C344" s="110"/>
      <c r="D344" s="110"/>
      <c r="E344" s="110"/>
      <c r="F344" s="110"/>
      <c r="G344" s="110"/>
      <c r="H344" s="110"/>
      <c r="I344" s="110"/>
      <c r="J344" s="110"/>
      <c r="K344" s="110"/>
      <c r="L344" s="110"/>
      <c r="M344" s="110"/>
      <c r="N344" s="110"/>
      <c r="O344" s="110"/>
      <c r="P344" s="110"/>
    </row>
    <row r="345" spans="1:16" x14ac:dyDescent="0.2">
      <c r="A345" s="110"/>
      <c r="B345" s="110"/>
      <c r="C345" s="110"/>
      <c r="D345" s="110"/>
      <c r="E345" s="110"/>
      <c r="F345" s="110"/>
      <c r="G345" s="110"/>
      <c r="H345" s="110"/>
      <c r="I345" s="110"/>
      <c r="J345" s="110"/>
      <c r="K345" s="110"/>
      <c r="L345" s="110"/>
      <c r="M345" s="110"/>
      <c r="N345" s="110"/>
      <c r="O345" s="110"/>
      <c r="P345" s="110"/>
    </row>
    <row r="346" spans="1:16" x14ac:dyDescent="0.2">
      <c r="A346" s="110"/>
      <c r="B346" s="110"/>
      <c r="C346" s="110"/>
      <c r="D346" s="110"/>
      <c r="E346" s="110"/>
      <c r="F346" s="110"/>
      <c r="G346" s="110"/>
      <c r="H346" s="110"/>
      <c r="I346" s="110"/>
      <c r="J346" s="110"/>
      <c r="K346" s="110"/>
      <c r="L346" s="110"/>
      <c r="M346" s="110"/>
      <c r="N346" s="110"/>
      <c r="O346" s="110"/>
      <c r="P346" s="110"/>
    </row>
    <row r="347" spans="1:16" x14ac:dyDescent="0.2">
      <c r="A347" s="110"/>
      <c r="B347" s="110"/>
      <c r="C347" s="110"/>
      <c r="D347" s="110"/>
      <c r="E347" s="110"/>
      <c r="F347" s="110"/>
      <c r="G347" s="110"/>
      <c r="H347" s="110"/>
      <c r="I347" s="110"/>
      <c r="J347" s="110"/>
      <c r="K347" s="110"/>
      <c r="L347" s="110"/>
      <c r="M347" s="110"/>
      <c r="N347" s="110"/>
      <c r="O347" s="110"/>
      <c r="P347" s="110"/>
    </row>
    <row r="348" spans="1:16" x14ac:dyDescent="0.2">
      <c r="A348" s="110"/>
      <c r="B348" s="110"/>
      <c r="C348" s="110"/>
      <c r="D348" s="110"/>
      <c r="E348" s="110"/>
      <c r="F348" s="110"/>
      <c r="G348" s="110"/>
      <c r="H348" s="110"/>
      <c r="I348" s="110"/>
      <c r="J348" s="110"/>
      <c r="K348" s="110"/>
      <c r="L348" s="110"/>
      <c r="M348" s="110"/>
      <c r="N348" s="110"/>
      <c r="O348" s="110"/>
      <c r="P348" s="110"/>
    </row>
    <row r="349" spans="1:16" x14ac:dyDescent="0.2">
      <c r="A349" s="110"/>
      <c r="B349" s="110"/>
      <c r="C349" s="110"/>
      <c r="D349" s="110"/>
      <c r="E349" s="110"/>
      <c r="F349" s="110"/>
      <c r="G349" s="110"/>
      <c r="H349" s="110"/>
      <c r="I349" s="110"/>
      <c r="J349" s="110"/>
      <c r="K349" s="110"/>
      <c r="L349" s="110"/>
      <c r="M349" s="110"/>
      <c r="N349" s="110"/>
      <c r="O349" s="110"/>
      <c r="P349" s="110"/>
    </row>
    <row r="350" spans="1:16" x14ac:dyDescent="0.2">
      <c r="A350" s="110"/>
      <c r="B350" s="110"/>
      <c r="C350" s="110"/>
      <c r="D350" s="110"/>
      <c r="E350" s="110"/>
      <c r="F350" s="110"/>
      <c r="G350" s="110"/>
      <c r="H350" s="110"/>
      <c r="I350" s="110"/>
      <c r="J350" s="110"/>
      <c r="K350" s="110"/>
      <c r="L350" s="110"/>
      <c r="M350" s="110"/>
      <c r="N350" s="110"/>
      <c r="O350" s="110"/>
      <c r="P350" s="110"/>
    </row>
    <row r="351" spans="1:16" x14ac:dyDescent="0.2">
      <c r="A351" s="110"/>
      <c r="B351" s="110"/>
      <c r="C351" s="110"/>
      <c r="D351" s="110"/>
      <c r="E351" s="110"/>
      <c r="F351" s="110"/>
      <c r="G351" s="110"/>
      <c r="H351" s="110"/>
      <c r="I351" s="110"/>
      <c r="J351" s="110"/>
      <c r="K351" s="110"/>
      <c r="L351" s="110"/>
      <c r="M351" s="110"/>
      <c r="N351" s="110"/>
      <c r="O351" s="110"/>
      <c r="P351" s="110"/>
    </row>
    <row r="352" spans="1:16" x14ac:dyDescent="0.2">
      <c r="A352" s="110"/>
      <c r="B352" s="110"/>
      <c r="C352" s="110"/>
      <c r="D352" s="110"/>
      <c r="E352" s="110"/>
      <c r="F352" s="110"/>
      <c r="G352" s="110"/>
      <c r="H352" s="110"/>
      <c r="I352" s="110"/>
      <c r="J352" s="110"/>
      <c r="K352" s="110"/>
      <c r="L352" s="110"/>
      <c r="M352" s="110"/>
      <c r="N352" s="110"/>
      <c r="O352" s="110"/>
      <c r="P352" s="110"/>
    </row>
    <row r="353" spans="1:16" x14ac:dyDescent="0.2">
      <c r="A353" s="110"/>
      <c r="B353" s="110"/>
      <c r="C353" s="110"/>
      <c r="D353" s="110"/>
      <c r="E353" s="110"/>
      <c r="F353" s="110"/>
      <c r="G353" s="110"/>
      <c r="H353" s="110"/>
      <c r="I353" s="110"/>
      <c r="J353" s="110"/>
      <c r="K353" s="110"/>
      <c r="L353" s="110"/>
      <c r="M353" s="110"/>
      <c r="N353" s="110"/>
      <c r="O353" s="110"/>
      <c r="P353" s="110"/>
    </row>
    <row r="354" spans="1:16" x14ac:dyDescent="0.2">
      <c r="A354" s="110"/>
      <c r="B354" s="110"/>
      <c r="C354" s="110"/>
      <c r="D354" s="110"/>
      <c r="E354" s="110"/>
      <c r="F354" s="110"/>
      <c r="G354" s="110"/>
      <c r="H354" s="110"/>
      <c r="I354" s="110"/>
      <c r="J354" s="110"/>
      <c r="K354" s="110"/>
      <c r="L354" s="110"/>
      <c r="M354" s="110"/>
      <c r="N354" s="110"/>
      <c r="O354" s="110"/>
      <c r="P354" s="110"/>
    </row>
    <row r="355" spans="1:16" x14ac:dyDescent="0.2">
      <c r="A355" s="110"/>
      <c r="B355" s="110"/>
      <c r="C355" s="110"/>
      <c r="D355" s="110"/>
      <c r="E355" s="110"/>
      <c r="F355" s="110"/>
      <c r="G355" s="110"/>
      <c r="H355" s="110"/>
      <c r="I355" s="110"/>
      <c r="J355" s="110"/>
      <c r="K355" s="110"/>
      <c r="L355" s="110"/>
      <c r="M355" s="110"/>
      <c r="N355" s="110"/>
      <c r="O355" s="110"/>
      <c r="P355" s="110"/>
    </row>
    <row r="356" spans="1:16" x14ac:dyDescent="0.2">
      <c r="A356" s="110"/>
      <c r="B356" s="110"/>
      <c r="C356" s="110"/>
      <c r="D356" s="110"/>
      <c r="E356" s="110"/>
      <c r="F356" s="110"/>
      <c r="G356" s="110"/>
      <c r="H356" s="110"/>
      <c r="I356" s="110"/>
      <c r="J356" s="110"/>
      <c r="K356" s="110"/>
      <c r="L356" s="110"/>
      <c r="M356" s="110"/>
      <c r="N356" s="110"/>
      <c r="O356" s="110"/>
      <c r="P356" s="110"/>
    </row>
    <row r="357" spans="1:16" x14ac:dyDescent="0.2">
      <c r="A357" s="110"/>
      <c r="B357" s="110"/>
      <c r="C357" s="110"/>
      <c r="D357" s="110"/>
      <c r="E357" s="110"/>
      <c r="F357" s="110"/>
      <c r="G357" s="110"/>
      <c r="H357" s="110"/>
      <c r="I357" s="110"/>
      <c r="J357" s="110"/>
      <c r="K357" s="110"/>
      <c r="L357" s="110"/>
      <c r="M357" s="110"/>
      <c r="N357" s="110"/>
      <c r="O357" s="110"/>
      <c r="P357" s="110"/>
    </row>
    <row r="358" spans="1:16" x14ac:dyDescent="0.2">
      <c r="A358" s="110"/>
      <c r="B358" s="110"/>
      <c r="C358" s="110"/>
      <c r="D358" s="110"/>
      <c r="E358" s="110"/>
      <c r="F358" s="110"/>
      <c r="G358" s="110"/>
      <c r="H358" s="110"/>
      <c r="I358" s="110"/>
      <c r="J358" s="110"/>
      <c r="K358" s="110"/>
      <c r="L358" s="110"/>
      <c r="M358" s="110"/>
      <c r="N358" s="110"/>
      <c r="O358" s="110"/>
      <c r="P358" s="110"/>
    </row>
    <row r="359" spans="1:16" x14ac:dyDescent="0.2">
      <c r="A359" s="110"/>
      <c r="B359" s="110"/>
      <c r="C359" s="110"/>
      <c r="D359" s="110"/>
      <c r="E359" s="110"/>
      <c r="F359" s="110"/>
      <c r="G359" s="110"/>
      <c r="H359" s="110"/>
      <c r="I359" s="110"/>
      <c r="J359" s="110"/>
      <c r="K359" s="110"/>
      <c r="L359" s="110"/>
      <c r="M359" s="110"/>
      <c r="N359" s="110"/>
      <c r="O359" s="110"/>
      <c r="P359" s="110"/>
    </row>
    <row r="360" spans="1:16" x14ac:dyDescent="0.2">
      <c r="A360" s="110"/>
      <c r="B360" s="110"/>
      <c r="C360" s="110"/>
      <c r="D360" s="110"/>
      <c r="E360" s="110"/>
      <c r="F360" s="110"/>
      <c r="G360" s="110"/>
      <c r="H360" s="110"/>
      <c r="I360" s="110"/>
      <c r="J360" s="110"/>
      <c r="K360" s="110"/>
      <c r="L360" s="110"/>
      <c r="M360" s="110"/>
      <c r="N360" s="110"/>
      <c r="O360" s="110"/>
      <c r="P360" s="110"/>
    </row>
    <row r="361" spans="1:16" x14ac:dyDescent="0.2">
      <c r="A361" s="110"/>
      <c r="B361" s="110"/>
      <c r="C361" s="110"/>
      <c r="D361" s="110"/>
      <c r="E361" s="110"/>
      <c r="F361" s="110"/>
      <c r="G361" s="110"/>
      <c r="H361" s="110"/>
      <c r="I361" s="110"/>
      <c r="J361" s="110"/>
      <c r="K361" s="110"/>
      <c r="L361" s="110"/>
      <c r="M361" s="110"/>
      <c r="N361" s="110"/>
      <c r="O361" s="110"/>
      <c r="P361" s="110"/>
    </row>
    <row r="362" spans="1:16" x14ac:dyDescent="0.2">
      <c r="A362" s="110"/>
      <c r="B362" s="110"/>
      <c r="C362" s="110"/>
      <c r="D362" s="110"/>
      <c r="E362" s="110"/>
      <c r="F362" s="110"/>
      <c r="G362" s="110"/>
      <c r="H362" s="110"/>
      <c r="I362" s="110"/>
      <c r="J362" s="110"/>
      <c r="K362" s="110"/>
      <c r="L362" s="110"/>
      <c r="M362" s="110"/>
      <c r="N362" s="110"/>
      <c r="O362" s="110"/>
      <c r="P362" s="110"/>
    </row>
    <row r="363" spans="1:16" x14ac:dyDescent="0.2">
      <c r="A363" s="110"/>
      <c r="B363" s="110"/>
      <c r="C363" s="110"/>
      <c r="D363" s="110"/>
      <c r="E363" s="110"/>
      <c r="F363" s="110"/>
      <c r="G363" s="110"/>
      <c r="H363" s="110"/>
      <c r="I363" s="110"/>
      <c r="J363" s="110"/>
      <c r="K363" s="110"/>
      <c r="L363" s="110"/>
      <c r="M363" s="110"/>
      <c r="N363" s="110"/>
      <c r="O363" s="110"/>
      <c r="P363" s="110"/>
    </row>
    <row r="364" spans="1:16" x14ac:dyDescent="0.2">
      <c r="A364" s="110"/>
      <c r="B364" s="110"/>
      <c r="C364" s="110"/>
      <c r="D364" s="110"/>
      <c r="E364" s="110"/>
      <c r="F364" s="110"/>
      <c r="G364" s="110"/>
      <c r="H364" s="110"/>
      <c r="I364" s="110"/>
      <c r="J364" s="110"/>
      <c r="K364" s="110"/>
      <c r="L364" s="110"/>
      <c r="M364" s="110"/>
      <c r="N364" s="110"/>
      <c r="O364" s="110"/>
      <c r="P364" s="110"/>
    </row>
    <row r="365" spans="1:16" x14ac:dyDescent="0.2">
      <c r="A365" s="110"/>
      <c r="B365" s="110"/>
      <c r="C365" s="110"/>
      <c r="D365" s="110"/>
      <c r="E365" s="110"/>
      <c r="F365" s="110"/>
      <c r="G365" s="110"/>
      <c r="H365" s="110"/>
      <c r="I365" s="110"/>
      <c r="J365" s="110"/>
      <c r="K365" s="110"/>
      <c r="L365" s="110"/>
      <c r="M365" s="110"/>
      <c r="N365" s="110"/>
      <c r="O365" s="110"/>
      <c r="P365" s="110"/>
    </row>
    <row r="366" spans="1:16" x14ac:dyDescent="0.2">
      <c r="A366" s="110"/>
      <c r="B366" s="110"/>
      <c r="C366" s="110"/>
      <c r="D366" s="110"/>
      <c r="E366" s="110"/>
      <c r="F366" s="110"/>
      <c r="G366" s="110"/>
      <c r="H366" s="110"/>
      <c r="I366" s="110"/>
      <c r="J366" s="110"/>
      <c r="K366" s="110"/>
      <c r="L366" s="110"/>
      <c r="M366" s="110"/>
      <c r="N366" s="110"/>
      <c r="O366" s="110"/>
      <c r="P366" s="110"/>
    </row>
    <row r="367" spans="1:16" x14ac:dyDescent="0.2">
      <c r="A367" s="110"/>
      <c r="B367" s="110"/>
      <c r="C367" s="110"/>
      <c r="D367" s="110"/>
      <c r="E367" s="110"/>
      <c r="F367" s="110"/>
      <c r="G367" s="110"/>
      <c r="H367" s="110"/>
      <c r="I367" s="110"/>
      <c r="J367" s="110"/>
      <c r="K367" s="110"/>
      <c r="L367" s="110"/>
      <c r="M367" s="110"/>
      <c r="N367" s="110"/>
      <c r="O367" s="110"/>
      <c r="P367" s="110"/>
    </row>
    <row r="368" spans="1:16" x14ac:dyDescent="0.2">
      <c r="A368" s="110"/>
      <c r="B368" s="110"/>
      <c r="C368" s="110"/>
      <c r="D368" s="110"/>
      <c r="E368" s="110"/>
      <c r="F368" s="110"/>
      <c r="G368" s="110"/>
      <c r="H368" s="110"/>
      <c r="I368" s="110"/>
      <c r="J368" s="110"/>
      <c r="K368" s="110"/>
      <c r="L368" s="110"/>
      <c r="M368" s="110"/>
      <c r="N368" s="110"/>
      <c r="O368" s="110"/>
      <c r="P368" s="110"/>
    </row>
    <row r="369" spans="1:16" x14ac:dyDescent="0.2">
      <c r="A369" s="110"/>
      <c r="B369" s="110"/>
      <c r="C369" s="110"/>
      <c r="D369" s="110"/>
      <c r="E369" s="110"/>
      <c r="F369" s="110"/>
      <c r="G369" s="110"/>
      <c r="H369" s="110"/>
      <c r="I369" s="110"/>
      <c r="J369" s="110"/>
      <c r="K369" s="110"/>
      <c r="L369" s="110"/>
      <c r="M369" s="110"/>
      <c r="N369" s="110"/>
      <c r="O369" s="110"/>
      <c r="P369" s="110"/>
    </row>
    <row r="370" spans="1:16" x14ac:dyDescent="0.2">
      <c r="A370" s="110"/>
      <c r="B370" s="110"/>
      <c r="C370" s="110"/>
      <c r="D370" s="110"/>
      <c r="E370" s="110"/>
      <c r="F370" s="110"/>
      <c r="G370" s="110"/>
      <c r="H370" s="110"/>
      <c r="I370" s="110"/>
      <c r="J370" s="110"/>
      <c r="K370" s="110"/>
      <c r="L370" s="110"/>
      <c r="M370" s="110"/>
      <c r="N370" s="110"/>
      <c r="O370" s="110"/>
      <c r="P370" s="110"/>
    </row>
    <row r="371" spans="1:16" x14ac:dyDescent="0.2">
      <c r="A371" s="110"/>
      <c r="B371" s="110"/>
      <c r="C371" s="110"/>
      <c r="D371" s="110"/>
      <c r="E371" s="110"/>
      <c r="F371" s="110"/>
      <c r="G371" s="110"/>
      <c r="H371" s="110"/>
      <c r="I371" s="110"/>
      <c r="J371" s="110"/>
      <c r="K371" s="110"/>
      <c r="L371" s="110"/>
      <c r="M371" s="110"/>
      <c r="N371" s="110"/>
      <c r="O371" s="110"/>
      <c r="P371" s="110"/>
    </row>
    <row r="372" spans="1:16" x14ac:dyDescent="0.2">
      <c r="A372" s="110"/>
      <c r="B372" s="110"/>
      <c r="C372" s="110"/>
      <c r="D372" s="110"/>
      <c r="E372" s="110"/>
      <c r="F372" s="110"/>
      <c r="G372" s="110"/>
      <c r="H372" s="110"/>
      <c r="I372" s="110"/>
      <c r="J372" s="110"/>
      <c r="K372" s="110"/>
      <c r="L372" s="110"/>
      <c r="M372" s="110"/>
      <c r="N372" s="110"/>
      <c r="O372" s="110"/>
      <c r="P372" s="110"/>
    </row>
    <row r="373" spans="1:16" x14ac:dyDescent="0.2">
      <c r="A373" s="110"/>
      <c r="B373" s="110"/>
      <c r="C373" s="110"/>
      <c r="D373" s="110"/>
      <c r="E373" s="110"/>
      <c r="F373" s="110"/>
      <c r="G373" s="110"/>
      <c r="H373" s="110"/>
      <c r="I373" s="110"/>
      <c r="J373" s="110"/>
      <c r="K373" s="110"/>
      <c r="L373" s="110"/>
      <c r="M373" s="110"/>
      <c r="N373" s="110"/>
      <c r="O373" s="110"/>
      <c r="P373" s="110"/>
    </row>
    <row r="374" spans="1:16" x14ac:dyDescent="0.2">
      <c r="A374" s="110"/>
      <c r="B374" s="110"/>
      <c r="C374" s="110"/>
      <c r="D374" s="110"/>
      <c r="E374" s="110"/>
      <c r="F374" s="110"/>
      <c r="G374" s="110"/>
      <c r="H374" s="110"/>
      <c r="I374" s="110"/>
      <c r="J374" s="110"/>
      <c r="K374" s="110"/>
      <c r="L374" s="110"/>
      <c r="M374" s="110"/>
      <c r="N374" s="110"/>
      <c r="O374" s="110"/>
      <c r="P374" s="110"/>
    </row>
    <row r="375" spans="1:16" x14ac:dyDescent="0.2">
      <c r="A375" s="110"/>
      <c r="B375" s="110"/>
      <c r="C375" s="110"/>
      <c r="D375" s="110"/>
      <c r="E375" s="110"/>
      <c r="F375" s="110"/>
      <c r="G375" s="110"/>
      <c r="H375" s="110"/>
      <c r="I375" s="110"/>
      <c r="J375" s="110"/>
      <c r="K375" s="110"/>
      <c r="L375" s="110"/>
      <c r="M375" s="110"/>
      <c r="N375" s="110"/>
      <c r="O375" s="110"/>
      <c r="P375" s="110"/>
    </row>
    <row r="376" spans="1:16" x14ac:dyDescent="0.2">
      <c r="A376" s="110"/>
      <c r="B376" s="110"/>
      <c r="C376" s="110"/>
      <c r="D376" s="110"/>
      <c r="E376" s="110"/>
      <c r="F376" s="110"/>
      <c r="G376" s="110"/>
      <c r="H376" s="110"/>
      <c r="I376" s="110"/>
      <c r="J376" s="110"/>
      <c r="K376" s="110"/>
      <c r="L376" s="110"/>
      <c r="M376" s="110"/>
      <c r="N376" s="110"/>
      <c r="O376" s="110"/>
      <c r="P376" s="110"/>
    </row>
    <row r="377" spans="1:16" x14ac:dyDescent="0.2">
      <c r="A377" s="110"/>
      <c r="B377" s="110"/>
      <c r="C377" s="110"/>
      <c r="D377" s="110"/>
      <c r="E377" s="110"/>
      <c r="F377" s="110"/>
      <c r="G377" s="110"/>
      <c r="H377" s="110"/>
      <c r="I377" s="110"/>
      <c r="J377" s="110"/>
      <c r="K377" s="110"/>
      <c r="L377" s="110"/>
      <c r="M377" s="110"/>
      <c r="N377" s="110"/>
      <c r="O377" s="110"/>
      <c r="P377" s="110"/>
    </row>
    <row r="378" spans="1:16" x14ac:dyDescent="0.2">
      <c r="A378" s="110"/>
      <c r="B378" s="110"/>
      <c r="C378" s="110"/>
      <c r="D378" s="110"/>
      <c r="E378" s="110"/>
      <c r="F378" s="110"/>
      <c r="G378" s="110"/>
      <c r="H378" s="110"/>
      <c r="I378" s="110"/>
      <c r="J378" s="110"/>
      <c r="K378" s="110"/>
      <c r="L378" s="110"/>
      <c r="M378" s="110"/>
      <c r="N378" s="110"/>
      <c r="O378" s="110"/>
      <c r="P378" s="110"/>
    </row>
    <row r="379" spans="1:16" x14ac:dyDescent="0.2">
      <c r="A379" s="110"/>
      <c r="B379" s="110"/>
      <c r="C379" s="110"/>
      <c r="D379" s="110"/>
      <c r="E379" s="110"/>
      <c r="F379" s="110"/>
      <c r="G379" s="110"/>
      <c r="H379" s="110"/>
      <c r="I379" s="110"/>
      <c r="J379" s="110"/>
      <c r="K379" s="110"/>
      <c r="L379" s="110"/>
      <c r="M379" s="110"/>
      <c r="N379" s="110"/>
      <c r="O379" s="110"/>
      <c r="P379" s="110"/>
    </row>
    <row r="380" spans="1:16" x14ac:dyDescent="0.2">
      <c r="A380" s="110"/>
      <c r="B380" s="110"/>
      <c r="C380" s="110"/>
      <c r="D380" s="110"/>
      <c r="E380" s="110"/>
      <c r="F380" s="110"/>
      <c r="G380" s="110"/>
      <c r="H380" s="110"/>
      <c r="I380" s="110"/>
      <c r="J380" s="110"/>
      <c r="K380" s="110"/>
      <c r="L380" s="110"/>
      <c r="M380" s="110"/>
      <c r="N380" s="110"/>
      <c r="O380" s="110"/>
      <c r="P380" s="110"/>
    </row>
    <row r="381" spans="1:16" x14ac:dyDescent="0.2">
      <c r="A381" s="110"/>
      <c r="B381" s="110"/>
      <c r="C381" s="110"/>
      <c r="D381" s="110"/>
      <c r="E381" s="110"/>
      <c r="F381" s="110"/>
      <c r="G381" s="110"/>
      <c r="H381" s="110"/>
      <c r="I381" s="110"/>
      <c r="J381" s="110"/>
      <c r="K381" s="110"/>
      <c r="L381" s="110"/>
      <c r="M381" s="110"/>
      <c r="N381" s="110"/>
      <c r="O381" s="110"/>
      <c r="P381" s="110"/>
    </row>
    <row r="382" spans="1:16" x14ac:dyDescent="0.2">
      <c r="A382" s="110"/>
      <c r="B382" s="110"/>
      <c r="C382" s="110"/>
      <c r="D382" s="110"/>
      <c r="E382" s="110"/>
      <c r="F382" s="110"/>
      <c r="G382" s="110"/>
      <c r="H382" s="110"/>
      <c r="I382" s="110"/>
      <c r="J382" s="110"/>
      <c r="K382" s="110"/>
      <c r="L382" s="110"/>
      <c r="M382" s="110"/>
      <c r="N382" s="110"/>
      <c r="O382" s="110"/>
      <c r="P382" s="110"/>
    </row>
    <row r="383" spans="1:16" x14ac:dyDescent="0.2">
      <c r="A383" s="110"/>
      <c r="B383" s="110"/>
      <c r="C383" s="110"/>
      <c r="D383" s="110"/>
      <c r="E383" s="110"/>
      <c r="F383" s="110"/>
      <c r="G383" s="110"/>
      <c r="H383" s="110"/>
      <c r="I383" s="110"/>
      <c r="J383" s="110"/>
      <c r="K383" s="110"/>
      <c r="L383" s="110"/>
      <c r="M383" s="110"/>
      <c r="N383" s="110"/>
      <c r="O383" s="110"/>
      <c r="P383" s="110"/>
    </row>
    <row r="384" spans="1:16" x14ac:dyDescent="0.2">
      <c r="A384" s="110"/>
      <c r="B384" s="110"/>
      <c r="C384" s="110"/>
      <c r="D384" s="110"/>
      <c r="E384" s="110"/>
      <c r="F384" s="110"/>
      <c r="G384" s="110"/>
      <c r="H384" s="110"/>
      <c r="I384" s="110"/>
      <c r="J384" s="110"/>
      <c r="K384" s="110"/>
      <c r="L384" s="110"/>
      <c r="M384" s="110"/>
      <c r="N384" s="110"/>
      <c r="O384" s="110"/>
      <c r="P384" s="110"/>
    </row>
    <row r="385" spans="1:16" x14ac:dyDescent="0.2">
      <c r="A385" s="110"/>
      <c r="B385" s="110"/>
      <c r="C385" s="110"/>
      <c r="D385" s="110"/>
      <c r="E385" s="110"/>
      <c r="F385" s="110"/>
      <c r="G385" s="110"/>
      <c r="H385" s="110"/>
      <c r="I385" s="110"/>
      <c r="J385" s="110"/>
      <c r="K385" s="110"/>
      <c r="L385" s="110"/>
      <c r="M385" s="110"/>
      <c r="N385" s="110"/>
      <c r="O385" s="110"/>
      <c r="P385" s="110"/>
    </row>
    <row r="386" spans="1:16" x14ac:dyDescent="0.2">
      <c r="A386" s="110"/>
      <c r="B386" s="110"/>
      <c r="C386" s="110"/>
      <c r="D386" s="110"/>
      <c r="E386" s="110"/>
      <c r="F386" s="110"/>
      <c r="G386" s="110"/>
      <c r="H386" s="110"/>
      <c r="I386" s="110"/>
      <c r="J386" s="110"/>
      <c r="K386" s="110"/>
      <c r="L386" s="110"/>
      <c r="M386" s="110"/>
      <c r="N386" s="110"/>
      <c r="O386" s="110"/>
      <c r="P386" s="110"/>
    </row>
    <row r="387" spans="1:16" x14ac:dyDescent="0.2">
      <c r="A387" s="110"/>
      <c r="B387" s="110"/>
      <c r="C387" s="110"/>
      <c r="D387" s="110"/>
      <c r="E387" s="110"/>
      <c r="F387" s="110"/>
      <c r="G387" s="110"/>
      <c r="H387" s="110"/>
      <c r="I387" s="110"/>
      <c r="J387" s="110"/>
      <c r="K387" s="110"/>
      <c r="L387" s="110"/>
      <c r="M387" s="110"/>
      <c r="N387" s="110"/>
      <c r="O387" s="110"/>
      <c r="P387" s="110"/>
    </row>
    <row r="388" spans="1:16" x14ac:dyDescent="0.2">
      <c r="A388" s="110"/>
      <c r="B388" s="110"/>
      <c r="C388" s="110"/>
      <c r="D388" s="110"/>
      <c r="E388" s="110"/>
      <c r="F388" s="110"/>
      <c r="G388" s="110"/>
      <c r="H388" s="110"/>
      <c r="I388" s="110"/>
      <c r="J388" s="110"/>
      <c r="K388" s="110"/>
      <c r="L388" s="110"/>
      <c r="M388" s="110"/>
      <c r="N388" s="110"/>
      <c r="O388" s="110"/>
      <c r="P388" s="110"/>
    </row>
    <row r="389" spans="1:16" x14ac:dyDescent="0.2">
      <c r="A389" s="110"/>
      <c r="B389" s="110"/>
      <c r="C389" s="110"/>
      <c r="D389" s="110"/>
      <c r="E389" s="110"/>
      <c r="F389" s="110"/>
      <c r="G389" s="110"/>
      <c r="H389" s="110"/>
      <c r="I389" s="110"/>
      <c r="J389" s="110"/>
      <c r="K389" s="110"/>
      <c r="L389" s="110"/>
      <c r="M389" s="110"/>
      <c r="N389" s="110"/>
      <c r="O389" s="110"/>
      <c r="P389" s="110"/>
    </row>
    <row r="390" spans="1:16" x14ac:dyDescent="0.2">
      <c r="A390" s="110"/>
      <c r="B390" s="110"/>
      <c r="C390" s="110"/>
      <c r="D390" s="110"/>
      <c r="E390" s="110"/>
      <c r="F390" s="110"/>
      <c r="G390" s="110"/>
      <c r="H390" s="110"/>
      <c r="I390" s="110"/>
      <c r="J390" s="110"/>
      <c r="K390" s="110"/>
      <c r="L390" s="110"/>
      <c r="M390" s="110"/>
      <c r="N390" s="110"/>
      <c r="O390" s="110"/>
      <c r="P390" s="110"/>
    </row>
    <row r="391" spans="1:16" x14ac:dyDescent="0.2">
      <c r="A391" s="110"/>
      <c r="B391" s="110"/>
      <c r="C391" s="110"/>
      <c r="D391" s="110"/>
      <c r="E391" s="110"/>
      <c r="F391" s="110"/>
      <c r="G391" s="110"/>
      <c r="H391" s="110"/>
      <c r="I391" s="110"/>
      <c r="J391" s="110"/>
      <c r="K391" s="110"/>
      <c r="L391" s="110"/>
      <c r="M391" s="110"/>
      <c r="N391" s="110"/>
      <c r="O391" s="110"/>
      <c r="P391" s="110"/>
    </row>
    <row r="392" spans="1:16" x14ac:dyDescent="0.2">
      <c r="A392" s="110"/>
      <c r="B392" s="110"/>
      <c r="C392" s="110"/>
      <c r="D392" s="110"/>
      <c r="E392" s="110"/>
      <c r="F392" s="110"/>
      <c r="G392" s="110"/>
      <c r="H392" s="110"/>
      <c r="I392" s="110"/>
      <c r="J392" s="110"/>
      <c r="K392" s="110"/>
      <c r="L392" s="110"/>
      <c r="M392" s="110"/>
      <c r="N392" s="110"/>
      <c r="O392" s="110"/>
      <c r="P392" s="110"/>
    </row>
    <row r="393" spans="1:16" x14ac:dyDescent="0.2">
      <c r="A393" s="110"/>
      <c r="B393" s="110"/>
      <c r="C393" s="110"/>
      <c r="D393" s="110"/>
      <c r="E393" s="110"/>
      <c r="F393" s="110"/>
      <c r="G393" s="110"/>
      <c r="H393" s="110"/>
      <c r="I393" s="110"/>
      <c r="J393" s="110"/>
      <c r="K393" s="110"/>
      <c r="L393" s="110"/>
      <c r="M393" s="110"/>
      <c r="N393" s="110"/>
      <c r="O393" s="110"/>
      <c r="P393" s="110"/>
    </row>
    <row r="394" spans="1:16" x14ac:dyDescent="0.2">
      <c r="A394" s="110"/>
      <c r="B394" s="110"/>
      <c r="C394" s="110"/>
      <c r="D394" s="110"/>
      <c r="E394" s="110"/>
      <c r="F394" s="110"/>
      <c r="G394" s="110"/>
      <c r="H394" s="110"/>
      <c r="I394" s="110"/>
      <c r="J394" s="110"/>
      <c r="K394" s="110"/>
      <c r="L394" s="110"/>
      <c r="M394" s="110"/>
      <c r="N394" s="110"/>
      <c r="O394" s="110"/>
      <c r="P394" s="110"/>
    </row>
    <row r="395" spans="1:16" x14ac:dyDescent="0.2">
      <c r="A395" s="110"/>
      <c r="B395" s="110"/>
      <c r="C395" s="110"/>
      <c r="D395" s="110"/>
      <c r="E395" s="110"/>
      <c r="F395" s="110"/>
      <c r="G395" s="110"/>
      <c r="H395" s="110"/>
      <c r="I395" s="110"/>
      <c r="J395" s="110"/>
      <c r="K395" s="110"/>
      <c r="L395" s="110"/>
      <c r="M395" s="110"/>
      <c r="N395" s="110"/>
      <c r="O395" s="110"/>
      <c r="P395" s="110"/>
    </row>
    <row r="396" spans="1:16" x14ac:dyDescent="0.2">
      <c r="A396" s="110"/>
      <c r="B396" s="110"/>
      <c r="C396" s="110"/>
      <c r="D396" s="110"/>
      <c r="E396" s="110"/>
      <c r="F396" s="110"/>
      <c r="G396" s="110"/>
      <c r="H396" s="110"/>
      <c r="I396" s="110"/>
      <c r="J396" s="110"/>
      <c r="K396" s="110"/>
      <c r="L396" s="110"/>
      <c r="M396" s="110"/>
      <c r="N396" s="110"/>
      <c r="O396" s="110"/>
      <c r="P396" s="110"/>
    </row>
    <row r="397" spans="1:16" x14ac:dyDescent="0.2">
      <c r="A397" s="110"/>
      <c r="B397" s="110"/>
      <c r="C397" s="110"/>
      <c r="D397" s="110"/>
      <c r="E397" s="110"/>
      <c r="F397" s="110"/>
      <c r="G397" s="110"/>
      <c r="H397" s="110"/>
      <c r="I397" s="110"/>
      <c r="J397" s="110"/>
      <c r="K397" s="110"/>
      <c r="L397" s="110"/>
      <c r="M397" s="110"/>
      <c r="N397" s="110"/>
      <c r="O397" s="110"/>
      <c r="P397" s="110"/>
    </row>
    <row r="398" spans="1:16" x14ac:dyDescent="0.2">
      <c r="A398" s="110"/>
      <c r="B398" s="110"/>
      <c r="C398" s="110"/>
      <c r="D398" s="110"/>
      <c r="E398" s="110"/>
      <c r="F398" s="110"/>
      <c r="G398" s="110"/>
      <c r="H398" s="110"/>
      <c r="I398" s="110"/>
      <c r="J398" s="110"/>
      <c r="K398" s="110"/>
      <c r="L398" s="110"/>
      <c r="M398" s="110"/>
      <c r="N398" s="110"/>
      <c r="O398" s="110"/>
      <c r="P398" s="110"/>
    </row>
    <row r="399" spans="1:16" x14ac:dyDescent="0.2">
      <c r="A399" s="110"/>
      <c r="B399" s="110"/>
      <c r="C399" s="110"/>
      <c r="D399" s="110"/>
      <c r="E399" s="110"/>
      <c r="F399" s="110"/>
      <c r="G399" s="110"/>
      <c r="H399" s="110"/>
      <c r="I399" s="110"/>
      <c r="J399" s="110"/>
      <c r="K399" s="110"/>
      <c r="L399" s="110"/>
      <c r="M399" s="110"/>
      <c r="N399" s="110"/>
      <c r="O399" s="110"/>
      <c r="P399" s="110"/>
    </row>
    <row r="400" spans="1:16" x14ac:dyDescent="0.2">
      <c r="A400" s="110"/>
      <c r="B400" s="110"/>
      <c r="C400" s="110"/>
      <c r="D400" s="110"/>
      <c r="E400" s="110"/>
      <c r="F400" s="110"/>
      <c r="G400" s="110"/>
      <c r="H400" s="110"/>
      <c r="I400" s="110"/>
      <c r="J400" s="110"/>
      <c r="K400" s="110"/>
      <c r="L400" s="110"/>
      <c r="M400" s="110"/>
      <c r="N400" s="110"/>
      <c r="O400" s="110"/>
      <c r="P400" s="110"/>
    </row>
    <row r="401" spans="1:16" x14ac:dyDescent="0.2">
      <c r="A401" s="110"/>
      <c r="B401" s="110"/>
      <c r="C401" s="110"/>
      <c r="D401" s="110"/>
      <c r="E401" s="110"/>
      <c r="F401" s="110"/>
      <c r="G401" s="110"/>
      <c r="H401" s="110"/>
      <c r="I401" s="110"/>
      <c r="J401" s="110"/>
      <c r="K401" s="110"/>
      <c r="L401" s="110"/>
      <c r="M401" s="110"/>
      <c r="N401" s="110"/>
      <c r="O401" s="110"/>
      <c r="P401" s="110"/>
    </row>
    <row r="402" spans="1:16" x14ac:dyDescent="0.2">
      <c r="A402" s="110"/>
      <c r="B402" s="110"/>
      <c r="C402" s="110"/>
      <c r="D402" s="110"/>
      <c r="E402" s="110"/>
      <c r="F402" s="110"/>
      <c r="G402" s="110"/>
      <c r="H402" s="110"/>
      <c r="I402" s="110"/>
      <c r="J402" s="110"/>
      <c r="K402" s="110"/>
      <c r="L402" s="110"/>
      <c r="M402" s="110"/>
      <c r="N402" s="110"/>
      <c r="O402" s="110"/>
      <c r="P402" s="110"/>
    </row>
    <row r="403" spans="1:16" x14ac:dyDescent="0.2">
      <c r="A403" s="110"/>
      <c r="B403" s="110"/>
      <c r="C403" s="110"/>
      <c r="D403" s="110"/>
      <c r="E403" s="110"/>
      <c r="F403" s="110"/>
      <c r="G403" s="110"/>
      <c r="H403" s="110"/>
      <c r="I403" s="110"/>
      <c r="J403" s="110"/>
      <c r="K403" s="110"/>
      <c r="L403" s="110"/>
      <c r="M403" s="110"/>
      <c r="N403" s="110"/>
      <c r="O403" s="110"/>
      <c r="P403" s="110"/>
    </row>
    <row r="404" spans="1:16" x14ac:dyDescent="0.2">
      <c r="A404" s="110"/>
      <c r="B404" s="110"/>
      <c r="C404" s="110"/>
      <c r="D404" s="110"/>
      <c r="E404" s="110"/>
      <c r="F404" s="110"/>
      <c r="G404" s="110"/>
      <c r="H404" s="110"/>
      <c r="I404" s="110"/>
      <c r="J404" s="110"/>
      <c r="K404" s="110"/>
      <c r="L404" s="110"/>
      <c r="M404" s="110"/>
      <c r="N404" s="110"/>
      <c r="O404" s="110"/>
      <c r="P404" s="110"/>
    </row>
    <row r="405" spans="1:16" x14ac:dyDescent="0.2">
      <c r="A405" s="110"/>
      <c r="B405" s="110"/>
      <c r="C405" s="110"/>
      <c r="D405" s="110"/>
      <c r="E405" s="110"/>
      <c r="F405" s="110"/>
      <c r="G405" s="110"/>
      <c r="H405" s="110"/>
      <c r="I405" s="110"/>
      <c r="J405" s="110"/>
      <c r="K405" s="110"/>
      <c r="L405" s="110"/>
      <c r="M405" s="110"/>
      <c r="N405" s="110"/>
      <c r="O405" s="110"/>
      <c r="P405" s="110"/>
    </row>
    <row r="406" spans="1:16" x14ac:dyDescent="0.2">
      <c r="A406" s="110"/>
      <c r="B406" s="110"/>
      <c r="C406" s="110"/>
      <c r="D406" s="110"/>
      <c r="E406" s="110"/>
      <c r="F406" s="110"/>
      <c r="G406" s="110"/>
      <c r="H406" s="110"/>
      <c r="I406" s="110"/>
      <c r="J406" s="110"/>
      <c r="K406" s="110"/>
      <c r="L406" s="110"/>
      <c r="M406" s="110"/>
      <c r="N406" s="110"/>
      <c r="O406" s="110"/>
      <c r="P406" s="110"/>
    </row>
    <row r="407" spans="1:16" x14ac:dyDescent="0.2">
      <c r="A407" s="110"/>
      <c r="B407" s="110"/>
      <c r="C407" s="110"/>
      <c r="D407" s="110"/>
      <c r="E407" s="110"/>
      <c r="F407" s="110"/>
      <c r="G407" s="110"/>
      <c r="H407" s="110"/>
      <c r="I407" s="110"/>
      <c r="J407" s="110"/>
      <c r="K407" s="110"/>
      <c r="L407" s="110"/>
      <c r="M407" s="110"/>
      <c r="N407" s="110"/>
      <c r="O407" s="110"/>
      <c r="P407" s="110"/>
    </row>
    <row r="408" spans="1:16" x14ac:dyDescent="0.2">
      <c r="A408" s="110"/>
      <c r="B408" s="110"/>
      <c r="C408" s="110"/>
      <c r="D408" s="110"/>
      <c r="E408" s="110"/>
      <c r="F408" s="110"/>
      <c r="G408" s="110"/>
      <c r="H408" s="110"/>
      <c r="I408" s="110"/>
      <c r="J408" s="110"/>
      <c r="K408" s="110"/>
      <c r="L408" s="110"/>
      <c r="M408" s="110"/>
      <c r="N408" s="110"/>
      <c r="O408" s="110"/>
      <c r="P408" s="110"/>
    </row>
    <row r="409" spans="1:16" x14ac:dyDescent="0.2">
      <c r="A409" s="110"/>
      <c r="B409" s="110"/>
      <c r="C409" s="110"/>
      <c r="D409" s="110"/>
      <c r="E409" s="110"/>
      <c r="F409" s="110"/>
      <c r="G409" s="110"/>
      <c r="H409" s="110"/>
      <c r="I409" s="110"/>
      <c r="J409" s="110"/>
      <c r="K409" s="110"/>
      <c r="L409" s="110"/>
      <c r="M409" s="110"/>
      <c r="N409" s="110"/>
      <c r="O409" s="110"/>
      <c r="P409" s="110"/>
    </row>
    <row r="410" spans="1:16" x14ac:dyDescent="0.2">
      <c r="A410" s="110"/>
      <c r="B410" s="110"/>
      <c r="C410" s="110"/>
      <c r="D410" s="110"/>
      <c r="E410" s="110"/>
      <c r="F410" s="110"/>
      <c r="G410" s="110"/>
      <c r="H410" s="110"/>
      <c r="I410" s="110"/>
      <c r="J410" s="110"/>
      <c r="K410" s="110"/>
      <c r="L410" s="110"/>
      <c r="M410" s="110"/>
      <c r="N410" s="110"/>
      <c r="O410" s="110"/>
      <c r="P410" s="110"/>
    </row>
    <row r="411" spans="1:16" x14ac:dyDescent="0.2">
      <c r="A411" s="110"/>
      <c r="B411" s="110"/>
      <c r="C411" s="110"/>
      <c r="D411" s="110"/>
      <c r="E411" s="110"/>
      <c r="F411" s="110"/>
      <c r="G411" s="110"/>
      <c r="H411" s="110"/>
      <c r="I411" s="110"/>
      <c r="J411" s="110"/>
      <c r="K411" s="110"/>
      <c r="L411" s="110"/>
      <c r="M411" s="110"/>
      <c r="N411" s="110"/>
      <c r="O411" s="110"/>
      <c r="P411" s="110"/>
    </row>
    <row r="412" spans="1:16" x14ac:dyDescent="0.2">
      <c r="A412" s="110"/>
      <c r="B412" s="110"/>
      <c r="C412" s="110"/>
      <c r="D412" s="110"/>
      <c r="E412" s="110"/>
      <c r="F412" s="110"/>
      <c r="G412" s="110"/>
      <c r="H412" s="110"/>
      <c r="I412" s="110"/>
      <c r="J412" s="110"/>
      <c r="K412" s="110"/>
      <c r="L412" s="110"/>
      <c r="M412" s="110"/>
      <c r="N412" s="110"/>
      <c r="O412" s="110"/>
      <c r="P412" s="110"/>
    </row>
    <row r="413" spans="1:16" x14ac:dyDescent="0.2">
      <c r="A413" s="110"/>
      <c r="B413" s="110"/>
      <c r="C413" s="110"/>
      <c r="D413" s="110"/>
      <c r="E413" s="110"/>
      <c r="F413" s="110"/>
      <c r="G413" s="110"/>
      <c r="H413" s="110"/>
      <c r="I413" s="110"/>
      <c r="J413" s="110"/>
      <c r="K413" s="110"/>
      <c r="L413" s="110"/>
      <c r="M413" s="110"/>
      <c r="N413" s="110"/>
      <c r="O413" s="110"/>
      <c r="P413" s="110"/>
    </row>
    <row r="414" spans="1:16" x14ac:dyDescent="0.2">
      <c r="A414" s="110"/>
      <c r="B414" s="110"/>
      <c r="C414" s="110"/>
      <c r="D414" s="110"/>
      <c r="E414" s="110"/>
      <c r="F414" s="110"/>
      <c r="G414" s="110"/>
      <c r="H414" s="110"/>
      <c r="I414" s="110"/>
      <c r="J414" s="110"/>
      <c r="K414" s="110"/>
      <c r="L414" s="110"/>
      <c r="M414" s="110"/>
      <c r="N414" s="110"/>
      <c r="O414" s="110"/>
      <c r="P414" s="110"/>
    </row>
    <row r="415" spans="1:16" x14ac:dyDescent="0.2">
      <c r="A415" s="110"/>
      <c r="B415" s="110"/>
      <c r="C415" s="110"/>
      <c r="D415" s="110"/>
      <c r="E415" s="110"/>
      <c r="F415" s="110"/>
      <c r="G415" s="110"/>
      <c r="H415" s="110"/>
      <c r="I415" s="110"/>
      <c r="J415" s="110"/>
      <c r="K415" s="110"/>
      <c r="L415" s="110"/>
      <c r="M415" s="110"/>
      <c r="N415" s="110"/>
      <c r="O415" s="110"/>
      <c r="P415" s="110"/>
    </row>
    <row r="416" spans="1:16" x14ac:dyDescent="0.2">
      <c r="A416" s="110"/>
      <c r="B416" s="110"/>
      <c r="C416" s="110"/>
      <c r="D416" s="110"/>
      <c r="E416" s="110"/>
      <c r="F416" s="110"/>
      <c r="G416" s="110"/>
      <c r="H416" s="110"/>
      <c r="I416" s="110"/>
      <c r="J416" s="110"/>
      <c r="K416" s="110"/>
      <c r="L416" s="110"/>
      <c r="M416" s="110"/>
      <c r="N416" s="110"/>
      <c r="O416" s="110"/>
      <c r="P416" s="110"/>
    </row>
    <row r="417" spans="1:16" x14ac:dyDescent="0.2">
      <c r="A417" s="110"/>
      <c r="B417" s="110"/>
      <c r="C417" s="110"/>
      <c r="D417" s="110"/>
      <c r="E417" s="110"/>
      <c r="F417" s="110"/>
      <c r="G417" s="110"/>
      <c r="H417" s="110"/>
      <c r="I417" s="110"/>
      <c r="J417" s="110"/>
      <c r="K417" s="110"/>
      <c r="L417" s="110"/>
      <c r="M417" s="110"/>
      <c r="N417" s="110"/>
      <c r="O417" s="110"/>
      <c r="P417" s="110"/>
    </row>
    <row r="418" spans="1:16" x14ac:dyDescent="0.2">
      <c r="A418" s="110"/>
      <c r="B418" s="110"/>
      <c r="C418" s="110"/>
      <c r="D418" s="110"/>
      <c r="E418" s="110"/>
      <c r="F418" s="110"/>
      <c r="G418" s="110"/>
      <c r="H418" s="110"/>
      <c r="I418" s="110"/>
      <c r="J418" s="110"/>
      <c r="K418" s="110"/>
      <c r="L418" s="110"/>
      <c r="M418" s="110"/>
      <c r="N418" s="110"/>
      <c r="O418" s="110"/>
      <c r="P418" s="110"/>
    </row>
    <row r="419" spans="1:16" x14ac:dyDescent="0.2">
      <c r="A419" s="110"/>
      <c r="B419" s="110"/>
      <c r="C419" s="110"/>
      <c r="D419" s="110"/>
      <c r="E419" s="110"/>
      <c r="F419" s="110"/>
      <c r="G419" s="110"/>
      <c r="H419" s="110"/>
      <c r="I419" s="110"/>
      <c r="J419" s="110"/>
      <c r="K419" s="110"/>
      <c r="L419" s="110"/>
      <c r="M419" s="110"/>
      <c r="N419" s="110"/>
      <c r="O419" s="110"/>
      <c r="P419" s="110"/>
    </row>
    <row r="420" spans="1:16" x14ac:dyDescent="0.2">
      <c r="A420" s="110"/>
      <c r="B420" s="110"/>
      <c r="C420" s="110"/>
      <c r="D420" s="110"/>
      <c r="E420" s="110"/>
      <c r="F420" s="110"/>
      <c r="G420" s="110"/>
      <c r="H420" s="110"/>
      <c r="I420" s="110"/>
      <c r="J420" s="110"/>
      <c r="K420" s="110"/>
      <c r="L420" s="110"/>
      <c r="M420" s="110"/>
      <c r="N420" s="110"/>
      <c r="O420" s="110"/>
      <c r="P420" s="110"/>
    </row>
    <row r="421" spans="1:16" x14ac:dyDescent="0.2">
      <c r="A421" s="110"/>
      <c r="B421" s="110"/>
      <c r="C421" s="110"/>
      <c r="D421" s="110"/>
      <c r="E421" s="110"/>
      <c r="F421" s="110"/>
      <c r="G421" s="110"/>
      <c r="H421" s="110"/>
      <c r="I421" s="110"/>
      <c r="J421" s="110"/>
      <c r="K421" s="110"/>
      <c r="L421" s="110"/>
      <c r="M421" s="110"/>
      <c r="N421" s="110"/>
      <c r="O421" s="110"/>
      <c r="P421" s="110"/>
    </row>
    <row r="422" spans="1:16" x14ac:dyDescent="0.2">
      <c r="A422" s="110"/>
      <c r="B422" s="110"/>
      <c r="C422" s="110"/>
      <c r="D422" s="110"/>
      <c r="E422" s="110"/>
      <c r="F422" s="110"/>
      <c r="G422" s="110"/>
      <c r="H422" s="110"/>
      <c r="I422" s="110"/>
      <c r="J422" s="110"/>
      <c r="K422" s="110"/>
      <c r="L422" s="110"/>
      <c r="M422" s="110"/>
      <c r="N422" s="110"/>
      <c r="O422" s="110"/>
      <c r="P422" s="110"/>
    </row>
    <row r="423" spans="1:16" x14ac:dyDescent="0.2">
      <c r="A423" s="110"/>
      <c r="B423" s="110"/>
      <c r="C423" s="110"/>
      <c r="D423" s="110"/>
      <c r="E423" s="110"/>
      <c r="F423" s="110"/>
      <c r="G423" s="110"/>
      <c r="H423" s="110"/>
      <c r="I423" s="110"/>
      <c r="J423" s="110"/>
      <c r="K423" s="110"/>
      <c r="L423" s="110"/>
      <c r="M423" s="110"/>
      <c r="N423" s="110"/>
      <c r="O423" s="110"/>
      <c r="P423" s="110"/>
    </row>
    <row r="424" spans="1:16" x14ac:dyDescent="0.2">
      <c r="A424" s="110"/>
      <c r="B424" s="110"/>
      <c r="C424" s="110"/>
      <c r="D424" s="110"/>
      <c r="E424" s="110"/>
      <c r="F424" s="110"/>
      <c r="G424" s="110"/>
      <c r="H424" s="110"/>
      <c r="I424" s="110"/>
      <c r="J424" s="110"/>
      <c r="K424" s="110"/>
      <c r="L424" s="110"/>
      <c r="M424" s="110"/>
      <c r="N424" s="110"/>
      <c r="O424" s="110"/>
      <c r="P424" s="110"/>
    </row>
    <row r="425" spans="1:16" x14ac:dyDescent="0.2">
      <c r="A425" s="110"/>
      <c r="B425" s="110"/>
      <c r="C425" s="110"/>
      <c r="D425" s="110"/>
      <c r="E425" s="110"/>
      <c r="F425" s="110"/>
      <c r="G425" s="110"/>
      <c r="H425" s="110"/>
      <c r="I425" s="110"/>
      <c r="J425" s="110"/>
      <c r="K425" s="110"/>
      <c r="L425" s="110"/>
      <c r="M425" s="110"/>
      <c r="N425" s="110"/>
      <c r="O425" s="110"/>
      <c r="P425" s="110"/>
    </row>
    <row r="426" spans="1:16" x14ac:dyDescent="0.2">
      <c r="A426" s="110"/>
      <c r="B426" s="110"/>
      <c r="C426" s="110"/>
      <c r="D426" s="110"/>
      <c r="E426" s="110"/>
      <c r="F426" s="110"/>
      <c r="G426" s="110"/>
      <c r="H426" s="110"/>
      <c r="I426" s="110"/>
      <c r="J426" s="110"/>
      <c r="K426" s="110"/>
      <c r="L426" s="110"/>
      <c r="M426" s="110"/>
      <c r="N426" s="110"/>
      <c r="O426" s="110"/>
      <c r="P426" s="110"/>
    </row>
    <row r="427" spans="1:16" x14ac:dyDescent="0.2">
      <c r="A427" s="110"/>
      <c r="B427" s="110"/>
      <c r="C427" s="110"/>
      <c r="D427" s="110"/>
      <c r="E427" s="110"/>
      <c r="F427" s="110"/>
      <c r="G427" s="110"/>
      <c r="H427" s="110"/>
      <c r="I427" s="110"/>
      <c r="J427" s="110"/>
      <c r="K427" s="110"/>
      <c r="L427" s="110"/>
      <c r="M427" s="110"/>
      <c r="N427" s="110"/>
      <c r="O427" s="110"/>
      <c r="P427" s="110"/>
    </row>
    <row r="428" spans="1:16" x14ac:dyDescent="0.2">
      <c r="A428" s="110"/>
      <c r="B428" s="110"/>
      <c r="C428" s="110"/>
      <c r="D428" s="110"/>
      <c r="E428" s="110"/>
      <c r="F428" s="110"/>
      <c r="G428" s="110"/>
      <c r="H428" s="110"/>
      <c r="I428" s="110"/>
      <c r="J428" s="110"/>
      <c r="K428" s="110"/>
      <c r="L428" s="110"/>
      <c r="M428" s="110"/>
      <c r="N428" s="110"/>
      <c r="O428" s="110"/>
      <c r="P428" s="110"/>
    </row>
    <row r="429" spans="1:16" x14ac:dyDescent="0.2">
      <c r="A429" s="110"/>
      <c r="B429" s="110"/>
      <c r="C429" s="110"/>
      <c r="D429" s="110"/>
      <c r="E429" s="110"/>
      <c r="F429" s="110"/>
      <c r="G429" s="110"/>
      <c r="H429" s="110"/>
      <c r="I429" s="110"/>
      <c r="J429" s="110"/>
      <c r="K429" s="110"/>
      <c r="L429" s="110"/>
      <c r="M429" s="110"/>
      <c r="N429" s="110"/>
      <c r="O429" s="110"/>
      <c r="P429" s="110"/>
    </row>
    <row r="430" spans="1:16" x14ac:dyDescent="0.2">
      <c r="A430" s="110"/>
      <c r="B430" s="110"/>
      <c r="C430" s="110"/>
      <c r="D430" s="110"/>
      <c r="E430" s="110"/>
      <c r="F430" s="110"/>
      <c r="G430" s="110"/>
      <c r="H430" s="110"/>
      <c r="I430" s="110"/>
      <c r="J430" s="110"/>
      <c r="K430" s="110"/>
      <c r="L430" s="110"/>
      <c r="M430" s="110"/>
      <c r="N430" s="110"/>
      <c r="O430" s="110"/>
      <c r="P430" s="110"/>
    </row>
    <row r="431" spans="1:16" x14ac:dyDescent="0.2">
      <c r="A431" s="110"/>
      <c r="B431" s="110"/>
      <c r="C431" s="110"/>
      <c r="D431" s="110"/>
      <c r="E431" s="110"/>
      <c r="F431" s="110"/>
      <c r="G431" s="110"/>
      <c r="H431" s="110"/>
      <c r="I431" s="110"/>
      <c r="J431" s="110"/>
      <c r="K431" s="110"/>
      <c r="L431" s="110"/>
      <c r="M431" s="110"/>
      <c r="N431" s="110"/>
      <c r="O431" s="110"/>
      <c r="P431" s="110"/>
    </row>
    <row r="432" spans="1:16" x14ac:dyDescent="0.2">
      <c r="A432" s="110"/>
      <c r="B432" s="110"/>
      <c r="C432" s="110"/>
      <c r="D432" s="110"/>
      <c r="E432" s="110"/>
      <c r="F432" s="110"/>
      <c r="G432" s="110"/>
      <c r="H432" s="110"/>
      <c r="I432" s="110"/>
      <c r="J432" s="110"/>
      <c r="K432" s="110"/>
      <c r="L432" s="110"/>
      <c r="M432" s="110"/>
      <c r="N432" s="110"/>
      <c r="O432" s="110"/>
      <c r="P432" s="110"/>
    </row>
    <row r="433" spans="1:16" x14ac:dyDescent="0.2">
      <c r="A433" s="110"/>
      <c r="B433" s="110"/>
      <c r="C433" s="110"/>
      <c r="D433" s="110"/>
      <c r="E433" s="110"/>
      <c r="F433" s="110"/>
      <c r="G433" s="110"/>
      <c r="H433" s="110"/>
      <c r="I433" s="110"/>
      <c r="J433" s="110"/>
      <c r="K433" s="110"/>
      <c r="L433" s="110"/>
      <c r="M433" s="110"/>
      <c r="N433" s="110"/>
      <c r="O433" s="110"/>
      <c r="P433" s="110"/>
    </row>
    <row r="434" spans="1:16" x14ac:dyDescent="0.2">
      <c r="A434" s="110"/>
      <c r="B434" s="110"/>
      <c r="C434" s="110"/>
      <c r="D434" s="110"/>
      <c r="E434" s="110"/>
      <c r="F434" s="110"/>
      <c r="G434" s="110"/>
      <c r="H434" s="110"/>
      <c r="I434" s="110"/>
      <c r="J434" s="110"/>
      <c r="K434" s="110"/>
      <c r="L434" s="110"/>
      <c r="M434" s="110"/>
      <c r="N434" s="110"/>
      <c r="O434" s="110"/>
      <c r="P434" s="110"/>
    </row>
    <row r="435" spans="1:16" x14ac:dyDescent="0.2">
      <c r="A435" s="110"/>
      <c r="B435" s="110"/>
      <c r="C435" s="110"/>
      <c r="D435" s="110"/>
      <c r="E435" s="110"/>
      <c r="F435" s="110"/>
      <c r="G435" s="110"/>
      <c r="H435" s="110"/>
      <c r="I435" s="110"/>
      <c r="J435" s="110"/>
      <c r="K435" s="110"/>
      <c r="L435" s="110"/>
      <c r="M435" s="110"/>
      <c r="N435" s="110"/>
      <c r="O435" s="110"/>
      <c r="P435" s="110"/>
    </row>
    <row r="436" spans="1:16" x14ac:dyDescent="0.2">
      <c r="A436" s="110"/>
      <c r="B436" s="110"/>
      <c r="C436" s="110"/>
      <c r="D436" s="110"/>
      <c r="E436" s="110"/>
      <c r="F436" s="110"/>
      <c r="G436" s="110"/>
      <c r="H436" s="110"/>
      <c r="I436" s="110"/>
      <c r="J436" s="110"/>
      <c r="K436" s="110"/>
      <c r="L436" s="110"/>
      <c r="M436" s="110"/>
      <c r="N436" s="110"/>
      <c r="O436" s="110"/>
      <c r="P436" s="110"/>
    </row>
    <row r="437" spans="1:16" x14ac:dyDescent="0.2">
      <c r="A437" s="110"/>
      <c r="B437" s="110"/>
      <c r="C437" s="110"/>
      <c r="D437" s="110"/>
      <c r="E437" s="110"/>
      <c r="F437" s="110"/>
      <c r="G437" s="110"/>
      <c r="H437" s="110"/>
      <c r="I437" s="110"/>
      <c r="J437" s="110"/>
      <c r="K437" s="110"/>
      <c r="L437" s="110"/>
      <c r="M437" s="110"/>
      <c r="N437" s="110"/>
      <c r="O437" s="110"/>
      <c r="P437" s="110"/>
    </row>
    <row r="438" spans="1:16" x14ac:dyDescent="0.2">
      <c r="A438" s="110"/>
      <c r="B438" s="110"/>
      <c r="C438" s="110"/>
      <c r="D438" s="110"/>
      <c r="E438" s="110"/>
      <c r="F438" s="110"/>
      <c r="G438" s="110"/>
      <c r="H438" s="110"/>
      <c r="I438" s="110"/>
      <c r="J438" s="110"/>
      <c r="K438" s="110"/>
      <c r="L438" s="110"/>
      <c r="M438" s="110"/>
      <c r="N438" s="110"/>
      <c r="O438" s="110"/>
      <c r="P438" s="110"/>
    </row>
    <row r="439" spans="1:16" x14ac:dyDescent="0.2">
      <c r="A439" s="110"/>
      <c r="B439" s="110"/>
      <c r="C439" s="110"/>
      <c r="D439" s="110"/>
      <c r="E439" s="110"/>
      <c r="F439" s="110"/>
      <c r="G439" s="110"/>
      <c r="H439" s="110"/>
      <c r="I439" s="110"/>
      <c r="J439" s="110"/>
      <c r="K439" s="110"/>
      <c r="L439" s="110"/>
      <c r="M439" s="110"/>
      <c r="N439" s="110"/>
      <c r="O439" s="110"/>
      <c r="P439" s="110"/>
    </row>
    <row r="440" spans="1:16" x14ac:dyDescent="0.2">
      <c r="A440" s="110"/>
      <c r="B440" s="110"/>
      <c r="C440" s="110"/>
      <c r="D440" s="110"/>
      <c r="E440" s="110"/>
      <c r="F440" s="110"/>
      <c r="G440" s="110"/>
      <c r="H440" s="110"/>
      <c r="I440" s="110"/>
      <c r="J440" s="110"/>
      <c r="K440" s="110"/>
      <c r="L440" s="110"/>
      <c r="M440" s="110"/>
      <c r="N440" s="110"/>
      <c r="O440" s="110"/>
      <c r="P440" s="110"/>
    </row>
    <row r="441" spans="1:16" x14ac:dyDescent="0.2">
      <c r="A441" s="110"/>
      <c r="B441" s="110"/>
      <c r="C441" s="110"/>
      <c r="D441" s="110"/>
      <c r="E441" s="110"/>
      <c r="F441" s="110"/>
      <c r="G441" s="110"/>
      <c r="H441" s="110"/>
      <c r="I441" s="110"/>
      <c r="J441" s="110"/>
      <c r="K441" s="110"/>
      <c r="L441" s="110"/>
      <c r="M441" s="110"/>
      <c r="N441" s="110"/>
      <c r="O441" s="110"/>
      <c r="P441" s="110"/>
    </row>
    <row r="442" spans="1:16" x14ac:dyDescent="0.2">
      <c r="A442" s="110"/>
      <c r="B442" s="110"/>
      <c r="C442" s="110"/>
      <c r="D442" s="110"/>
      <c r="E442" s="110"/>
      <c r="F442" s="110"/>
      <c r="G442" s="110"/>
      <c r="H442" s="110"/>
      <c r="I442" s="110"/>
      <c r="J442" s="110"/>
      <c r="K442" s="110"/>
      <c r="L442" s="110"/>
      <c r="M442" s="110"/>
      <c r="N442" s="110"/>
      <c r="O442" s="110"/>
      <c r="P442" s="110"/>
    </row>
    <row r="443" spans="1:16" x14ac:dyDescent="0.2">
      <c r="A443" s="110"/>
      <c r="B443" s="110"/>
      <c r="C443" s="110"/>
      <c r="D443" s="110"/>
      <c r="E443" s="110"/>
      <c r="F443" s="110"/>
      <c r="G443" s="110"/>
      <c r="H443" s="110"/>
      <c r="I443" s="110"/>
      <c r="J443" s="110"/>
      <c r="K443" s="110"/>
      <c r="L443" s="110"/>
      <c r="M443" s="110"/>
      <c r="N443" s="110"/>
      <c r="O443" s="110"/>
      <c r="P443" s="110"/>
    </row>
    <row r="444" spans="1:16" x14ac:dyDescent="0.2">
      <c r="A444" s="110"/>
      <c r="B444" s="110"/>
      <c r="C444" s="110"/>
      <c r="D444" s="110"/>
      <c r="E444" s="110"/>
      <c r="F444" s="110"/>
      <c r="G444" s="110"/>
      <c r="H444" s="110"/>
      <c r="I444" s="110"/>
      <c r="J444" s="110"/>
      <c r="K444" s="110"/>
      <c r="L444" s="110"/>
      <c r="M444" s="110"/>
      <c r="N444" s="110"/>
      <c r="O444" s="110"/>
      <c r="P444" s="110"/>
    </row>
    <row r="445" spans="1:16" x14ac:dyDescent="0.2">
      <c r="A445" s="110"/>
      <c r="B445" s="110"/>
      <c r="C445" s="110"/>
      <c r="D445" s="110"/>
      <c r="E445" s="110"/>
      <c r="F445" s="110"/>
      <c r="G445" s="110"/>
      <c r="H445" s="110"/>
      <c r="I445" s="110"/>
      <c r="J445" s="110"/>
      <c r="K445" s="110"/>
      <c r="L445" s="110"/>
      <c r="M445" s="110"/>
      <c r="N445" s="110"/>
      <c r="O445" s="110"/>
      <c r="P445" s="110"/>
    </row>
    <row r="446" spans="1:16" x14ac:dyDescent="0.2">
      <c r="A446" s="110"/>
      <c r="B446" s="110"/>
      <c r="C446" s="110"/>
      <c r="D446" s="110"/>
      <c r="E446" s="110"/>
      <c r="F446" s="110"/>
      <c r="G446" s="110"/>
      <c r="H446" s="110"/>
      <c r="I446" s="110"/>
      <c r="J446" s="110"/>
      <c r="K446" s="110"/>
      <c r="L446" s="110"/>
      <c r="M446" s="110"/>
      <c r="N446" s="110"/>
      <c r="O446" s="110"/>
      <c r="P446" s="110"/>
    </row>
    <row r="447" spans="1:16" x14ac:dyDescent="0.2">
      <c r="A447" s="110"/>
      <c r="B447" s="110"/>
      <c r="C447" s="110"/>
      <c r="D447" s="110"/>
      <c r="E447" s="110"/>
      <c r="F447" s="110"/>
      <c r="G447" s="110"/>
      <c r="H447" s="110"/>
      <c r="I447" s="110"/>
      <c r="J447" s="110"/>
      <c r="K447" s="110"/>
      <c r="L447" s="110"/>
      <c r="M447" s="110"/>
      <c r="N447" s="110"/>
      <c r="O447" s="110"/>
      <c r="P447" s="110"/>
    </row>
    <row r="448" spans="1:16" x14ac:dyDescent="0.2">
      <c r="A448" s="110"/>
      <c r="B448" s="110"/>
      <c r="C448" s="110"/>
      <c r="D448" s="110"/>
      <c r="E448" s="110"/>
      <c r="F448" s="110"/>
      <c r="G448" s="110"/>
      <c r="H448" s="110"/>
      <c r="I448" s="110"/>
      <c r="J448" s="110"/>
      <c r="K448" s="110"/>
      <c r="L448" s="110"/>
      <c r="M448" s="110"/>
      <c r="N448" s="110"/>
      <c r="O448" s="110"/>
      <c r="P448" s="110"/>
    </row>
    <row r="449" spans="1:16" x14ac:dyDescent="0.2">
      <c r="A449" s="110"/>
      <c r="B449" s="110"/>
      <c r="C449" s="110"/>
      <c r="D449" s="110"/>
      <c r="E449" s="110"/>
      <c r="F449" s="110"/>
      <c r="G449" s="110"/>
      <c r="H449" s="110"/>
      <c r="I449" s="110"/>
      <c r="J449" s="110"/>
      <c r="K449" s="110"/>
      <c r="L449" s="110"/>
      <c r="M449" s="110"/>
      <c r="N449" s="110"/>
      <c r="O449" s="110"/>
      <c r="P449" s="110"/>
    </row>
    <row r="450" spans="1:16" x14ac:dyDescent="0.2">
      <c r="A450" s="110"/>
      <c r="B450" s="110"/>
      <c r="C450" s="110"/>
      <c r="D450" s="110"/>
      <c r="E450" s="110"/>
      <c r="F450" s="110"/>
      <c r="G450" s="110"/>
      <c r="H450" s="110"/>
      <c r="I450" s="110"/>
      <c r="J450" s="110"/>
      <c r="K450" s="110"/>
      <c r="L450" s="110"/>
      <c r="M450" s="110"/>
      <c r="N450" s="110"/>
      <c r="O450" s="110"/>
      <c r="P450" s="110"/>
    </row>
    <row r="451" spans="1:16" x14ac:dyDescent="0.2">
      <c r="A451" s="110"/>
      <c r="B451" s="110"/>
      <c r="C451" s="110"/>
      <c r="D451" s="110"/>
      <c r="E451" s="110"/>
      <c r="F451" s="110"/>
      <c r="G451" s="110"/>
      <c r="H451" s="110"/>
      <c r="I451" s="110"/>
      <c r="J451" s="110"/>
      <c r="K451" s="110"/>
      <c r="L451" s="110"/>
      <c r="M451" s="110"/>
      <c r="N451" s="110"/>
      <c r="O451" s="110"/>
      <c r="P451" s="110"/>
    </row>
    <row r="452" spans="1:16" x14ac:dyDescent="0.2">
      <c r="A452" s="110"/>
      <c r="B452" s="110"/>
      <c r="C452" s="110"/>
      <c r="D452" s="110"/>
      <c r="E452" s="110"/>
      <c r="F452" s="110"/>
      <c r="G452" s="110"/>
      <c r="H452" s="110"/>
      <c r="I452" s="110"/>
      <c r="J452" s="110"/>
      <c r="K452" s="110"/>
      <c r="L452" s="110"/>
      <c r="M452" s="110"/>
      <c r="N452" s="110"/>
      <c r="O452" s="110"/>
      <c r="P452" s="110"/>
    </row>
    <row r="453" spans="1:16" x14ac:dyDescent="0.2">
      <c r="A453" s="110"/>
      <c r="B453" s="110"/>
      <c r="C453" s="110"/>
      <c r="D453" s="110"/>
      <c r="E453" s="110"/>
      <c r="F453" s="110"/>
      <c r="G453" s="110"/>
      <c r="H453" s="110"/>
      <c r="I453" s="110"/>
      <c r="J453" s="110"/>
      <c r="K453" s="110"/>
      <c r="L453" s="110"/>
      <c r="M453" s="110"/>
      <c r="N453" s="110"/>
      <c r="O453" s="110"/>
      <c r="P453" s="110"/>
    </row>
    <row r="454" spans="1:16" x14ac:dyDescent="0.2">
      <c r="A454" s="110"/>
      <c r="B454" s="110"/>
      <c r="C454" s="110"/>
      <c r="D454" s="110"/>
      <c r="E454" s="110"/>
      <c r="F454" s="110"/>
      <c r="G454" s="110"/>
      <c r="H454" s="110"/>
      <c r="I454" s="110"/>
      <c r="J454" s="110"/>
      <c r="K454" s="110"/>
      <c r="L454" s="110"/>
      <c r="M454" s="110"/>
      <c r="N454" s="110"/>
      <c r="O454" s="110"/>
      <c r="P454" s="110"/>
    </row>
    <row r="455" spans="1:16" x14ac:dyDescent="0.2">
      <c r="A455" s="110"/>
      <c r="B455" s="110"/>
      <c r="C455" s="110"/>
      <c r="D455" s="110"/>
      <c r="E455" s="110"/>
      <c r="F455" s="110"/>
      <c r="G455" s="110"/>
      <c r="H455" s="110"/>
      <c r="I455" s="110"/>
      <c r="J455" s="110"/>
      <c r="K455" s="110"/>
      <c r="L455" s="110"/>
      <c r="M455" s="110"/>
      <c r="N455" s="110"/>
      <c r="O455" s="110"/>
      <c r="P455" s="110"/>
    </row>
    <row r="456" spans="1:16" x14ac:dyDescent="0.2">
      <c r="A456" s="110"/>
      <c r="B456" s="110"/>
      <c r="C456" s="110"/>
      <c r="D456" s="110"/>
      <c r="E456" s="110"/>
      <c r="F456" s="110"/>
      <c r="G456" s="110"/>
      <c r="H456" s="110"/>
      <c r="I456" s="110"/>
      <c r="J456" s="110"/>
      <c r="K456" s="110"/>
      <c r="L456" s="110"/>
      <c r="M456" s="110"/>
      <c r="N456" s="110"/>
      <c r="O456" s="110"/>
      <c r="P456" s="110"/>
    </row>
    <row r="457" spans="1:16" x14ac:dyDescent="0.2">
      <c r="A457" s="110"/>
      <c r="B457" s="110"/>
      <c r="C457" s="110"/>
      <c r="D457" s="110"/>
      <c r="E457" s="110"/>
      <c r="F457" s="110"/>
      <c r="G457" s="110"/>
      <c r="H457" s="110"/>
      <c r="I457" s="110"/>
      <c r="J457" s="110"/>
      <c r="K457" s="110"/>
      <c r="L457" s="110"/>
      <c r="M457" s="110"/>
      <c r="N457" s="110"/>
      <c r="O457" s="110"/>
      <c r="P457" s="110"/>
    </row>
    <row r="458" spans="1:16" x14ac:dyDescent="0.2">
      <c r="A458" s="110"/>
      <c r="B458" s="110"/>
      <c r="C458" s="110"/>
      <c r="D458" s="110"/>
      <c r="E458" s="110"/>
      <c r="F458" s="110"/>
      <c r="G458" s="110"/>
      <c r="H458" s="110"/>
      <c r="I458" s="110"/>
      <c r="J458" s="110"/>
      <c r="K458" s="110"/>
      <c r="L458" s="110"/>
      <c r="M458" s="110"/>
      <c r="N458" s="110"/>
      <c r="O458" s="110"/>
      <c r="P458" s="110"/>
    </row>
    <row r="459" spans="1:16" x14ac:dyDescent="0.2">
      <c r="A459" s="110"/>
      <c r="B459" s="110"/>
      <c r="C459" s="110"/>
      <c r="D459" s="110"/>
      <c r="E459" s="110"/>
      <c r="F459" s="110"/>
      <c r="G459" s="110"/>
      <c r="H459" s="110"/>
      <c r="I459" s="110"/>
      <c r="J459" s="110"/>
      <c r="K459" s="110"/>
      <c r="L459" s="110"/>
      <c r="M459" s="110"/>
      <c r="N459" s="110"/>
      <c r="O459" s="110"/>
      <c r="P459" s="110"/>
    </row>
    <row r="460" spans="1:16" x14ac:dyDescent="0.2">
      <c r="A460" s="110"/>
      <c r="B460" s="110"/>
      <c r="C460" s="110"/>
      <c r="D460" s="110"/>
      <c r="E460" s="110"/>
      <c r="F460" s="110"/>
      <c r="G460" s="110"/>
      <c r="H460" s="110"/>
      <c r="I460" s="110"/>
      <c r="J460" s="110"/>
      <c r="K460" s="110"/>
      <c r="L460" s="110"/>
      <c r="M460" s="110"/>
      <c r="N460" s="110"/>
      <c r="O460" s="110"/>
      <c r="P460" s="110"/>
    </row>
    <row r="461" spans="1:16" x14ac:dyDescent="0.2">
      <c r="A461" s="110"/>
      <c r="B461" s="110"/>
      <c r="C461" s="110"/>
      <c r="D461" s="110"/>
      <c r="E461" s="110"/>
      <c r="F461" s="110"/>
      <c r="G461" s="110"/>
      <c r="H461" s="110"/>
      <c r="I461" s="110"/>
      <c r="J461" s="110"/>
      <c r="K461" s="110"/>
      <c r="L461" s="110"/>
      <c r="M461" s="110"/>
      <c r="N461" s="110"/>
      <c r="O461" s="110"/>
      <c r="P461" s="110"/>
    </row>
    <row r="462" spans="1:16" x14ac:dyDescent="0.2">
      <c r="A462" s="110"/>
      <c r="B462" s="110"/>
      <c r="C462" s="110"/>
      <c r="D462" s="110"/>
      <c r="E462" s="110"/>
      <c r="F462" s="110"/>
      <c r="G462" s="110"/>
      <c r="H462" s="110"/>
      <c r="I462" s="110"/>
      <c r="J462" s="110"/>
      <c r="K462" s="110"/>
      <c r="L462" s="110"/>
      <c r="M462" s="110"/>
      <c r="N462" s="110"/>
      <c r="O462" s="110"/>
      <c r="P462" s="110"/>
    </row>
    <row r="463" spans="1:16" x14ac:dyDescent="0.2">
      <c r="A463" s="110"/>
      <c r="B463" s="110"/>
      <c r="C463" s="110"/>
      <c r="D463" s="110"/>
      <c r="E463" s="110"/>
      <c r="F463" s="110"/>
      <c r="G463" s="110"/>
      <c r="H463" s="110"/>
      <c r="I463" s="110"/>
      <c r="J463" s="110"/>
      <c r="K463" s="110"/>
      <c r="L463" s="110"/>
      <c r="M463" s="110"/>
      <c r="N463" s="110"/>
      <c r="O463" s="110"/>
      <c r="P463" s="110"/>
    </row>
    <row r="464" spans="1:16" x14ac:dyDescent="0.2">
      <c r="A464" s="110"/>
      <c r="B464" s="110"/>
      <c r="C464" s="110"/>
      <c r="D464" s="110"/>
      <c r="E464" s="110"/>
      <c r="F464" s="110"/>
      <c r="G464" s="110"/>
      <c r="H464" s="110"/>
      <c r="I464" s="110"/>
      <c r="J464" s="110"/>
      <c r="K464" s="110"/>
      <c r="L464" s="110"/>
      <c r="M464" s="110"/>
      <c r="N464" s="110"/>
      <c r="O464" s="110"/>
      <c r="P464" s="110"/>
    </row>
    <row r="465" spans="1:16" x14ac:dyDescent="0.2">
      <c r="A465" s="110"/>
      <c r="B465" s="110"/>
      <c r="C465" s="110"/>
      <c r="D465" s="110"/>
      <c r="E465" s="110"/>
      <c r="F465" s="110"/>
      <c r="G465" s="110"/>
      <c r="H465" s="110"/>
      <c r="I465" s="110"/>
      <c r="J465" s="110"/>
      <c r="K465" s="110"/>
      <c r="L465" s="110"/>
      <c r="M465" s="110"/>
      <c r="N465" s="110"/>
      <c r="O465" s="110"/>
      <c r="P465" s="110"/>
    </row>
    <row r="466" spans="1:16" x14ac:dyDescent="0.2">
      <c r="A466" s="110"/>
      <c r="B466" s="110"/>
      <c r="C466" s="110"/>
      <c r="D466" s="110"/>
      <c r="E466" s="110"/>
      <c r="F466" s="110"/>
      <c r="G466" s="110"/>
      <c r="H466" s="110"/>
      <c r="I466" s="110"/>
      <c r="J466" s="110"/>
      <c r="K466" s="110"/>
      <c r="L466" s="110"/>
      <c r="M466" s="110"/>
      <c r="N466" s="110"/>
      <c r="O466" s="110"/>
      <c r="P466" s="110"/>
    </row>
    <row r="467" spans="1:16" x14ac:dyDescent="0.2">
      <c r="A467" s="110"/>
      <c r="B467" s="110"/>
      <c r="C467" s="110"/>
      <c r="D467" s="110"/>
      <c r="E467" s="110"/>
      <c r="F467" s="110"/>
      <c r="G467" s="110"/>
      <c r="H467" s="110"/>
      <c r="I467" s="110"/>
      <c r="J467" s="110"/>
      <c r="K467" s="110"/>
      <c r="L467" s="110"/>
      <c r="M467" s="110"/>
      <c r="N467" s="110"/>
      <c r="O467" s="110"/>
      <c r="P467" s="110"/>
    </row>
    <row r="468" spans="1:16" x14ac:dyDescent="0.2">
      <c r="A468" s="110"/>
      <c r="B468" s="110"/>
      <c r="C468" s="110"/>
      <c r="D468" s="110"/>
      <c r="E468" s="110"/>
      <c r="F468" s="110"/>
      <c r="G468" s="110"/>
      <c r="H468" s="110"/>
      <c r="I468" s="110"/>
      <c r="J468" s="110"/>
      <c r="K468" s="110"/>
      <c r="L468" s="110"/>
      <c r="M468" s="110"/>
      <c r="N468" s="110"/>
      <c r="O468" s="110"/>
      <c r="P468" s="110"/>
    </row>
    <row r="469" spans="1:16" x14ac:dyDescent="0.2">
      <c r="A469" s="110"/>
      <c r="B469" s="110"/>
      <c r="C469" s="110"/>
      <c r="D469" s="110"/>
      <c r="E469" s="110"/>
      <c r="F469" s="110"/>
      <c r="G469" s="110"/>
      <c r="H469" s="110"/>
      <c r="I469" s="110"/>
      <c r="J469" s="110"/>
      <c r="K469" s="110"/>
      <c r="L469" s="110"/>
      <c r="M469" s="110"/>
      <c r="N469" s="110"/>
      <c r="O469" s="110"/>
      <c r="P469" s="110"/>
    </row>
    <row r="470" spans="1:16" x14ac:dyDescent="0.2">
      <c r="A470" s="110"/>
      <c r="B470" s="110"/>
      <c r="C470" s="110"/>
      <c r="D470" s="110"/>
      <c r="E470" s="110"/>
      <c r="F470" s="110"/>
      <c r="G470" s="110"/>
      <c r="H470" s="110"/>
      <c r="I470" s="110"/>
      <c r="J470" s="110"/>
      <c r="K470" s="110"/>
      <c r="L470" s="110"/>
      <c r="M470" s="110"/>
      <c r="N470" s="110"/>
      <c r="O470" s="110"/>
      <c r="P470" s="110"/>
    </row>
    <row r="471" spans="1:16" x14ac:dyDescent="0.2">
      <c r="A471" s="110"/>
      <c r="B471" s="110"/>
      <c r="C471" s="110"/>
      <c r="D471" s="110"/>
      <c r="E471" s="110"/>
      <c r="F471" s="110"/>
      <c r="G471" s="110"/>
      <c r="H471" s="110"/>
      <c r="I471" s="110"/>
      <c r="J471" s="110"/>
      <c r="K471" s="110"/>
      <c r="L471" s="110"/>
      <c r="M471" s="110"/>
      <c r="N471" s="110"/>
      <c r="O471" s="110"/>
      <c r="P471" s="110"/>
    </row>
    <row r="472" spans="1:16" x14ac:dyDescent="0.2">
      <c r="A472" s="110"/>
      <c r="B472" s="110"/>
      <c r="C472" s="110"/>
      <c r="D472" s="110"/>
      <c r="E472" s="110"/>
      <c r="F472" s="110"/>
      <c r="G472" s="110"/>
      <c r="H472" s="110"/>
      <c r="I472" s="110"/>
      <c r="J472" s="110"/>
      <c r="K472" s="110"/>
      <c r="L472" s="110"/>
      <c r="M472" s="110"/>
      <c r="N472" s="110"/>
      <c r="O472" s="110"/>
      <c r="P472" s="110"/>
    </row>
    <row r="473" spans="1:16" x14ac:dyDescent="0.2">
      <c r="A473" s="110"/>
      <c r="B473" s="110"/>
      <c r="C473" s="110"/>
      <c r="D473" s="110"/>
      <c r="E473" s="110"/>
      <c r="F473" s="110"/>
      <c r="G473" s="110"/>
      <c r="H473" s="110"/>
      <c r="I473" s="110"/>
      <c r="J473" s="110"/>
      <c r="K473" s="110"/>
      <c r="L473" s="110"/>
      <c r="M473" s="110"/>
      <c r="N473" s="110"/>
      <c r="O473" s="110"/>
      <c r="P473" s="110"/>
    </row>
    <row r="474" spans="1:16" x14ac:dyDescent="0.2">
      <c r="A474" s="110"/>
      <c r="B474" s="110"/>
      <c r="C474" s="110"/>
      <c r="D474" s="110"/>
      <c r="E474" s="110"/>
      <c r="F474" s="110"/>
      <c r="G474" s="110"/>
      <c r="H474" s="110"/>
      <c r="I474" s="110"/>
      <c r="J474" s="110"/>
      <c r="K474" s="110"/>
      <c r="L474" s="110"/>
      <c r="M474" s="110"/>
      <c r="N474" s="110"/>
      <c r="O474" s="110"/>
      <c r="P474" s="110"/>
    </row>
    <row r="475" spans="1:16" x14ac:dyDescent="0.2">
      <c r="A475" s="110"/>
      <c r="B475" s="110"/>
      <c r="C475" s="110"/>
      <c r="D475" s="110"/>
      <c r="E475" s="110"/>
      <c r="F475" s="110"/>
      <c r="G475" s="110"/>
      <c r="H475" s="110"/>
      <c r="I475" s="110"/>
      <c r="J475" s="110"/>
      <c r="K475" s="110"/>
      <c r="L475" s="110"/>
      <c r="M475" s="110"/>
      <c r="N475" s="110"/>
      <c r="O475" s="110"/>
      <c r="P475" s="110"/>
    </row>
    <row r="476" spans="1:16" x14ac:dyDescent="0.2">
      <c r="A476" s="110"/>
      <c r="B476" s="110"/>
      <c r="C476" s="110"/>
      <c r="D476" s="110"/>
      <c r="E476" s="110"/>
      <c r="F476" s="110"/>
      <c r="G476" s="110"/>
      <c r="H476" s="110"/>
      <c r="I476" s="110"/>
      <c r="J476" s="110"/>
      <c r="K476" s="110"/>
      <c r="L476" s="110"/>
      <c r="M476" s="110"/>
      <c r="N476" s="110"/>
      <c r="O476" s="110"/>
      <c r="P476" s="110"/>
    </row>
    <row r="477" spans="1:16" x14ac:dyDescent="0.2">
      <c r="A477" s="110"/>
      <c r="B477" s="110"/>
      <c r="C477" s="110"/>
      <c r="D477" s="110"/>
      <c r="E477" s="110"/>
      <c r="F477" s="110"/>
      <c r="G477" s="110"/>
      <c r="H477" s="110"/>
      <c r="I477" s="110"/>
      <c r="J477" s="110"/>
      <c r="K477" s="110"/>
      <c r="L477" s="110"/>
      <c r="M477" s="110"/>
      <c r="N477" s="110"/>
      <c r="O477" s="110"/>
      <c r="P477" s="110"/>
    </row>
    <row r="478" spans="1:16" x14ac:dyDescent="0.2">
      <c r="A478" s="110"/>
      <c r="B478" s="110"/>
      <c r="C478" s="110"/>
      <c r="D478" s="110"/>
      <c r="E478" s="110"/>
      <c r="F478" s="110"/>
      <c r="G478" s="110"/>
      <c r="H478" s="110"/>
      <c r="I478" s="110"/>
      <c r="J478" s="110"/>
      <c r="K478" s="110"/>
      <c r="L478" s="110"/>
      <c r="M478" s="110"/>
      <c r="N478" s="110"/>
      <c r="O478" s="110"/>
      <c r="P478" s="110"/>
    </row>
    <row r="479" spans="1:16" x14ac:dyDescent="0.2">
      <c r="A479" s="110"/>
      <c r="B479" s="110"/>
      <c r="C479" s="110"/>
      <c r="D479" s="110"/>
      <c r="E479" s="110"/>
      <c r="F479" s="110"/>
      <c r="G479" s="110"/>
      <c r="H479" s="110"/>
      <c r="I479" s="110"/>
      <c r="J479" s="110"/>
      <c r="K479" s="110"/>
      <c r="L479" s="110"/>
      <c r="M479" s="110"/>
      <c r="N479" s="110"/>
      <c r="O479" s="110"/>
      <c r="P479" s="110"/>
    </row>
    <row r="480" spans="1:16" x14ac:dyDescent="0.2">
      <c r="A480" s="110"/>
      <c r="B480" s="110"/>
      <c r="C480" s="110"/>
      <c r="D480" s="110"/>
      <c r="E480" s="110"/>
      <c r="F480" s="110"/>
      <c r="G480" s="110"/>
      <c r="H480" s="110"/>
      <c r="I480" s="110"/>
      <c r="J480" s="110"/>
      <c r="K480" s="110"/>
      <c r="L480" s="110"/>
      <c r="M480" s="110"/>
      <c r="N480" s="110"/>
      <c r="O480" s="110"/>
      <c r="P480" s="110"/>
    </row>
    <row r="481" spans="1:16" x14ac:dyDescent="0.2">
      <c r="A481" s="110"/>
      <c r="B481" s="110"/>
      <c r="C481" s="110"/>
      <c r="D481" s="110"/>
      <c r="E481" s="110"/>
      <c r="F481" s="110"/>
      <c r="G481" s="110"/>
      <c r="H481" s="110"/>
      <c r="I481" s="110"/>
      <c r="J481" s="110"/>
      <c r="K481" s="110"/>
      <c r="L481" s="110"/>
      <c r="M481" s="110"/>
      <c r="N481" s="110"/>
      <c r="O481" s="110"/>
      <c r="P481" s="110"/>
    </row>
    <row r="482" spans="1:16" x14ac:dyDescent="0.2">
      <c r="A482" s="110"/>
      <c r="B482" s="110"/>
      <c r="C482" s="110"/>
      <c r="D482" s="110"/>
      <c r="E482" s="110"/>
      <c r="F482" s="110"/>
      <c r="G482" s="110"/>
      <c r="H482" s="110"/>
      <c r="I482" s="110"/>
      <c r="J482" s="110"/>
      <c r="K482" s="110"/>
      <c r="L482" s="110"/>
      <c r="M482" s="110"/>
      <c r="N482" s="110"/>
      <c r="O482" s="110"/>
      <c r="P482" s="110"/>
    </row>
    <row r="483" spans="1:16" x14ac:dyDescent="0.2">
      <c r="A483" s="110"/>
      <c r="B483" s="110"/>
      <c r="C483" s="110"/>
      <c r="D483" s="110"/>
      <c r="E483" s="110"/>
      <c r="F483" s="110"/>
      <c r="G483" s="110"/>
      <c r="H483" s="110"/>
      <c r="I483" s="110"/>
      <c r="J483" s="110"/>
      <c r="K483" s="110"/>
      <c r="L483" s="110"/>
      <c r="M483" s="110"/>
      <c r="N483" s="110"/>
      <c r="O483" s="110"/>
      <c r="P483" s="110"/>
    </row>
    <row r="484" spans="1:16" x14ac:dyDescent="0.2">
      <c r="A484" s="110"/>
      <c r="B484" s="110"/>
      <c r="C484" s="110"/>
      <c r="D484" s="110"/>
      <c r="E484" s="110"/>
      <c r="F484" s="110"/>
      <c r="G484" s="110"/>
      <c r="H484" s="110"/>
      <c r="I484" s="110"/>
      <c r="J484" s="110"/>
      <c r="K484" s="110"/>
      <c r="L484" s="110"/>
      <c r="M484" s="110"/>
      <c r="N484" s="110"/>
      <c r="O484" s="110"/>
      <c r="P484" s="110"/>
    </row>
    <row r="485" spans="1:16" x14ac:dyDescent="0.2">
      <c r="A485" s="110"/>
      <c r="B485" s="110"/>
      <c r="C485" s="110"/>
      <c r="D485" s="110"/>
      <c r="E485" s="110"/>
      <c r="F485" s="110"/>
      <c r="G485" s="110"/>
      <c r="H485" s="110"/>
      <c r="I485" s="110"/>
      <c r="J485" s="110"/>
      <c r="K485" s="110"/>
      <c r="L485" s="110"/>
      <c r="M485" s="110"/>
      <c r="N485" s="110"/>
      <c r="O485" s="110"/>
      <c r="P485" s="110"/>
    </row>
    <row r="486" spans="1:16" x14ac:dyDescent="0.2">
      <c r="A486" s="110"/>
      <c r="B486" s="110"/>
      <c r="C486" s="110"/>
      <c r="D486" s="110"/>
      <c r="E486" s="110"/>
      <c r="F486" s="110"/>
      <c r="G486" s="110"/>
      <c r="H486" s="110"/>
      <c r="I486" s="110"/>
      <c r="J486" s="110"/>
      <c r="K486" s="110"/>
      <c r="L486" s="110"/>
      <c r="M486" s="110"/>
      <c r="N486" s="110"/>
      <c r="O486" s="110"/>
      <c r="P486" s="110"/>
    </row>
    <row r="487" spans="1:16" x14ac:dyDescent="0.2">
      <c r="A487" s="110"/>
      <c r="B487" s="110"/>
      <c r="C487" s="110"/>
      <c r="D487" s="110"/>
      <c r="E487" s="110"/>
      <c r="F487" s="110"/>
      <c r="G487" s="110"/>
      <c r="H487" s="110"/>
      <c r="I487" s="110"/>
      <c r="J487" s="110"/>
      <c r="K487" s="110"/>
      <c r="L487" s="110"/>
      <c r="M487" s="110"/>
      <c r="N487" s="110"/>
      <c r="O487" s="110"/>
      <c r="P487" s="110"/>
    </row>
    <row r="488" spans="1:16" x14ac:dyDescent="0.2">
      <c r="A488" s="110"/>
      <c r="B488" s="110"/>
      <c r="C488" s="110"/>
      <c r="D488" s="110"/>
      <c r="E488" s="110"/>
      <c r="F488" s="110"/>
      <c r="G488" s="110"/>
      <c r="H488" s="110"/>
      <c r="I488" s="110"/>
      <c r="J488" s="110"/>
      <c r="K488" s="110"/>
      <c r="L488" s="110"/>
      <c r="M488" s="110"/>
      <c r="N488" s="110"/>
      <c r="O488" s="110"/>
      <c r="P488" s="110"/>
    </row>
    <row r="489" spans="1:16" x14ac:dyDescent="0.2">
      <c r="A489" s="110"/>
      <c r="B489" s="110"/>
      <c r="C489" s="110"/>
      <c r="D489" s="110"/>
      <c r="E489" s="110"/>
      <c r="F489" s="110"/>
      <c r="G489" s="110"/>
      <c r="H489" s="110"/>
      <c r="I489" s="110"/>
      <c r="J489" s="110"/>
      <c r="K489" s="110"/>
      <c r="L489" s="110"/>
      <c r="M489" s="110"/>
      <c r="N489" s="110"/>
      <c r="O489" s="110"/>
      <c r="P489" s="110"/>
    </row>
    <row r="490" spans="1:16" x14ac:dyDescent="0.2">
      <c r="A490" s="110"/>
      <c r="B490" s="110"/>
      <c r="C490" s="110"/>
      <c r="D490" s="110"/>
      <c r="E490" s="110"/>
      <c r="F490" s="110"/>
      <c r="G490" s="110"/>
      <c r="H490" s="110"/>
      <c r="I490" s="110"/>
      <c r="J490" s="110"/>
      <c r="K490" s="110"/>
      <c r="L490" s="110"/>
      <c r="M490" s="110"/>
      <c r="N490" s="110"/>
      <c r="O490" s="110"/>
      <c r="P490" s="110"/>
    </row>
    <row r="491" spans="1:16" x14ac:dyDescent="0.2">
      <c r="A491" s="110"/>
      <c r="B491" s="110"/>
      <c r="C491" s="110"/>
      <c r="D491" s="110"/>
      <c r="E491" s="110"/>
      <c r="F491" s="110"/>
      <c r="G491" s="110"/>
      <c r="H491" s="110"/>
      <c r="I491" s="110"/>
      <c r="J491" s="110"/>
      <c r="K491" s="110"/>
      <c r="L491" s="110"/>
      <c r="M491" s="110"/>
      <c r="N491" s="110"/>
      <c r="O491" s="110"/>
      <c r="P491" s="110"/>
    </row>
    <row r="492" spans="1:16" x14ac:dyDescent="0.2">
      <c r="A492" s="110"/>
      <c r="B492" s="110"/>
      <c r="C492" s="110"/>
      <c r="D492" s="110"/>
      <c r="E492" s="110"/>
      <c r="F492" s="110"/>
      <c r="G492" s="110"/>
      <c r="H492" s="110"/>
      <c r="I492" s="110"/>
      <c r="J492" s="110"/>
      <c r="K492" s="110"/>
      <c r="L492" s="110"/>
      <c r="M492" s="110"/>
      <c r="N492" s="110"/>
      <c r="O492" s="110"/>
      <c r="P492" s="110"/>
    </row>
    <row r="493" spans="1:16" x14ac:dyDescent="0.2">
      <c r="A493" s="110"/>
      <c r="B493" s="110"/>
      <c r="C493" s="110"/>
      <c r="D493" s="110"/>
      <c r="E493" s="110"/>
      <c r="F493" s="110"/>
      <c r="G493" s="110"/>
      <c r="H493" s="110"/>
      <c r="I493" s="110"/>
      <c r="J493" s="110"/>
      <c r="K493" s="110"/>
      <c r="L493" s="110"/>
      <c r="M493" s="110"/>
      <c r="N493" s="110"/>
      <c r="O493" s="110"/>
      <c r="P493" s="110"/>
    </row>
    <row r="494" spans="1:16" x14ac:dyDescent="0.2">
      <c r="A494" s="110"/>
      <c r="B494" s="110"/>
      <c r="C494" s="110"/>
      <c r="D494" s="110"/>
      <c r="E494" s="110"/>
      <c r="F494" s="110"/>
      <c r="G494" s="110"/>
      <c r="H494" s="110"/>
      <c r="I494" s="110"/>
      <c r="J494" s="110"/>
      <c r="K494" s="110"/>
      <c r="L494" s="110"/>
      <c r="M494" s="110"/>
      <c r="N494" s="110"/>
      <c r="O494" s="110"/>
      <c r="P494" s="110"/>
    </row>
    <row r="495" spans="1:16" x14ac:dyDescent="0.2">
      <c r="A495" s="110"/>
      <c r="B495" s="110"/>
      <c r="C495" s="110"/>
      <c r="D495" s="110"/>
      <c r="E495" s="110"/>
      <c r="F495" s="110"/>
      <c r="G495" s="110"/>
      <c r="H495" s="110"/>
      <c r="I495" s="110"/>
      <c r="J495" s="110"/>
      <c r="K495" s="110"/>
      <c r="L495" s="110"/>
      <c r="M495" s="110"/>
      <c r="N495" s="110"/>
      <c r="O495" s="110"/>
      <c r="P495" s="110"/>
    </row>
    <row r="496" spans="1:16" x14ac:dyDescent="0.2">
      <c r="A496" s="110"/>
      <c r="B496" s="110"/>
      <c r="C496" s="110"/>
      <c r="D496" s="110"/>
      <c r="E496" s="110"/>
      <c r="F496" s="110"/>
      <c r="G496" s="110"/>
      <c r="H496" s="110"/>
      <c r="I496" s="110"/>
      <c r="J496" s="110"/>
      <c r="K496" s="110"/>
      <c r="L496" s="110"/>
      <c r="M496" s="110"/>
      <c r="N496" s="110"/>
      <c r="O496" s="110"/>
      <c r="P496" s="110"/>
    </row>
    <row r="497" spans="1:16" x14ac:dyDescent="0.2">
      <c r="A497" s="110"/>
      <c r="B497" s="110"/>
      <c r="C497" s="110"/>
      <c r="D497" s="110"/>
      <c r="E497" s="110"/>
      <c r="F497" s="110"/>
      <c r="G497" s="110"/>
      <c r="H497" s="110"/>
      <c r="I497" s="110"/>
      <c r="J497" s="110"/>
      <c r="K497" s="110"/>
      <c r="L497" s="110"/>
      <c r="M497" s="110"/>
      <c r="N497" s="110"/>
      <c r="O497" s="110"/>
      <c r="P497" s="110"/>
    </row>
    <row r="498" spans="1:16" x14ac:dyDescent="0.2">
      <c r="A498" s="110"/>
      <c r="B498" s="110"/>
      <c r="C498" s="110"/>
      <c r="D498" s="110"/>
      <c r="E498" s="110"/>
      <c r="F498" s="110"/>
      <c r="G498" s="110"/>
      <c r="H498" s="110"/>
      <c r="I498" s="110"/>
      <c r="J498" s="110"/>
      <c r="K498" s="110"/>
      <c r="L498" s="110"/>
      <c r="M498" s="110"/>
      <c r="N498" s="110"/>
      <c r="O498" s="110"/>
      <c r="P498" s="110"/>
    </row>
    <row r="499" spans="1:16" x14ac:dyDescent="0.2">
      <c r="A499" s="110"/>
      <c r="B499" s="110"/>
      <c r="C499" s="110"/>
      <c r="D499" s="110"/>
      <c r="E499" s="110"/>
      <c r="F499" s="110"/>
      <c r="G499" s="110"/>
      <c r="H499" s="110"/>
      <c r="I499" s="110"/>
      <c r="J499" s="110"/>
      <c r="K499" s="110"/>
      <c r="L499" s="110"/>
      <c r="M499" s="110"/>
      <c r="N499" s="110"/>
      <c r="O499" s="110"/>
      <c r="P499" s="110"/>
    </row>
    <row r="500" spans="1:16" x14ac:dyDescent="0.2">
      <c r="A500" s="110"/>
      <c r="B500" s="110"/>
      <c r="C500" s="110"/>
      <c r="D500" s="110"/>
      <c r="E500" s="110"/>
      <c r="F500" s="110"/>
      <c r="G500" s="110"/>
      <c r="H500" s="110"/>
      <c r="I500" s="110"/>
      <c r="J500" s="110"/>
      <c r="K500" s="110"/>
      <c r="L500" s="110"/>
      <c r="M500" s="110"/>
      <c r="N500" s="110"/>
      <c r="O500" s="110"/>
      <c r="P500" s="110"/>
    </row>
    <row r="501" spans="1:16" x14ac:dyDescent="0.2">
      <c r="A501" s="110"/>
      <c r="B501" s="110"/>
      <c r="C501" s="110"/>
      <c r="D501" s="110"/>
      <c r="E501" s="110"/>
      <c r="F501" s="110"/>
      <c r="G501" s="110"/>
      <c r="H501" s="110"/>
      <c r="I501" s="110"/>
      <c r="J501" s="110"/>
      <c r="K501" s="110"/>
      <c r="L501" s="110"/>
      <c r="M501" s="110"/>
      <c r="N501" s="110"/>
      <c r="O501" s="110"/>
      <c r="P501" s="110"/>
    </row>
    <row r="502" spans="1:16" x14ac:dyDescent="0.2">
      <c r="A502" s="110"/>
      <c r="B502" s="110"/>
      <c r="C502" s="110"/>
      <c r="D502" s="110"/>
      <c r="E502" s="110"/>
      <c r="F502" s="110"/>
      <c r="G502" s="110"/>
      <c r="H502" s="110"/>
      <c r="I502" s="110"/>
      <c r="J502" s="110"/>
      <c r="K502" s="110"/>
      <c r="L502" s="110"/>
      <c r="M502" s="110"/>
      <c r="N502" s="110"/>
      <c r="O502" s="110"/>
      <c r="P502" s="110"/>
    </row>
    <row r="503" spans="1:16" x14ac:dyDescent="0.2">
      <c r="A503" s="110"/>
      <c r="B503" s="110"/>
      <c r="C503" s="110"/>
      <c r="D503" s="110"/>
      <c r="E503" s="110"/>
      <c r="F503" s="110"/>
      <c r="G503" s="110"/>
      <c r="H503" s="110"/>
      <c r="I503" s="110"/>
      <c r="J503" s="110"/>
      <c r="K503" s="110"/>
      <c r="L503" s="110"/>
      <c r="M503" s="110"/>
      <c r="N503" s="110"/>
      <c r="O503" s="110"/>
      <c r="P503" s="110"/>
    </row>
    <row r="504" spans="1:16" x14ac:dyDescent="0.2">
      <c r="A504" s="110"/>
      <c r="B504" s="110"/>
      <c r="C504" s="110"/>
      <c r="D504" s="110"/>
      <c r="E504" s="110"/>
      <c r="F504" s="110"/>
      <c r="G504" s="110"/>
      <c r="H504" s="110"/>
      <c r="I504" s="110"/>
      <c r="J504" s="110"/>
      <c r="K504" s="110"/>
      <c r="L504" s="110"/>
      <c r="M504" s="110"/>
      <c r="N504" s="110"/>
      <c r="O504" s="110"/>
      <c r="P504" s="110"/>
    </row>
    <row r="505" spans="1:16" x14ac:dyDescent="0.2">
      <c r="A505" s="110"/>
      <c r="B505" s="110"/>
      <c r="C505" s="110"/>
      <c r="D505" s="110"/>
      <c r="E505" s="110"/>
      <c r="F505" s="110"/>
      <c r="G505" s="110"/>
      <c r="H505" s="110"/>
      <c r="I505" s="110"/>
      <c r="J505" s="110"/>
      <c r="K505" s="110"/>
      <c r="L505" s="110"/>
      <c r="M505" s="110"/>
      <c r="N505" s="110"/>
      <c r="O505" s="110"/>
      <c r="P505" s="110"/>
    </row>
    <row r="506" spans="1:16" x14ac:dyDescent="0.2">
      <c r="A506" s="110"/>
      <c r="B506" s="110"/>
      <c r="C506" s="110"/>
      <c r="D506" s="110"/>
      <c r="E506" s="110"/>
      <c r="F506" s="110"/>
      <c r="G506" s="110"/>
      <c r="H506" s="110"/>
      <c r="I506" s="110"/>
      <c r="J506" s="110"/>
      <c r="K506" s="110"/>
      <c r="L506" s="110"/>
      <c r="M506" s="110"/>
      <c r="N506" s="110"/>
      <c r="O506" s="110"/>
      <c r="P506" s="110"/>
    </row>
    <row r="507" spans="1:16" x14ac:dyDescent="0.2">
      <c r="A507" s="110"/>
      <c r="B507" s="110"/>
      <c r="C507" s="110"/>
      <c r="D507" s="110"/>
      <c r="E507" s="110"/>
      <c r="F507" s="110"/>
      <c r="G507" s="110"/>
      <c r="H507" s="110"/>
      <c r="I507" s="110"/>
      <c r="J507" s="110"/>
      <c r="K507" s="110"/>
      <c r="L507" s="110"/>
      <c r="M507" s="110"/>
      <c r="N507" s="110"/>
      <c r="O507" s="110"/>
      <c r="P507" s="110"/>
    </row>
    <row r="508" spans="1:16" x14ac:dyDescent="0.2">
      <c r="A508" s="110"/>
      <c r="B508" s="110"/>
      <c r="C508" s="110"/>
      <c r="D508" s="110"/>
      <c r="E508" s="110"/>
      <c r="F508" s="110"/>
      <c r="G508" s="110"/>
      <c r="H508" s="110"/>
      <c r="I508" s="110"/>
      <c r="J508" s="110"/>
      <c r="K508" s="110"/>
      <c r="L508" s="110"/>
      <c r="M508" s="110"/>
      <c r="N508" s="110"/>
      <c r="O508" s="110"/>
      <c r="P508" s="110"/>
    </row>
    <row r="509" spans="1:16" x14ac:dyDescent="0.2">
      <c r="A509" s="110"/>
      <c r="B509" s="110"/>
      <c r="C509" s="110"/>
      <c r="D509" s="110"/>
      <c r="E509" s="110"/>
      <c r="F509" s="110"/>
      <c r="G509" s="110"/>
      <c r="H509" s="110"/>
      <c r="I509" s="110"/>
      <c r="J509" s="110"/>
      <c r="K509" s="110"/>
      <c r="L509" s="110"/>
      <c r="M509" s="110"/>
      <c r="N509" s="110"/>
      <c r="O509" s="110"/>
      <c r="P509" s="110"/>
    </row>
    <row r="510" spans="1:16" x14ac:dyDescent="0.2">
      <c r="A510" s="110"/>
      <c r="B510" s="110"/>
      <c r="C510" s="110"/>
      <c r="D510" s="110"/>
      <c r="E510" s="110"/>
      <c r="F510" s="110"/>
      <c r="G510" s="110"/>
      <c r="H510" s="110"/>
      <c r="I510" s="110"/>
      <c r="J510" s="110"/>
      <c r="K510" s="110"/>
      <c r="L510" s="110"/>
      <c r="M510" s="110"/>
      <c r="N510" s="110"/>
      <c r="O510" s="110"/>
      <c r="P510" s="110"/>
    </row>
    <row r="511" spans="1:16" x14ac:dyDescent="0.2">
      <c r="A511" s="110"/>
      <c r="B511" s="110"/>
      <c r="C511" s="110"/>
      <c r="D511" s="110"/>
      <c r="E511" s="110"/>
      <c r="F511" s="110"/>
      <c r="G511" s="110"/>
      <c r="H511" s="110"/>
      <c r="I511" s="110"/>
      <c r="J511" s="110"/>
      <c r="K511" s="110"/>
      <c r="L511" s="110"/>
      <c r="M511" s="110"/>
      <c r="N511" s="110"/>
      <c r="O511" s="110"/>
      <c r="P511" s="110"/>
    </row>
    <row r="512" spans="1:16" x14ac:dyDescent="0.2">
      <c r="A512" s="110"/>
      <c r="B512" s="110"/>
      <c r="C512" s="110"/>
      <c r="D512" s="110"/>
      <c r="E512" s="110"/>
      <c r="F512" s="110"/>
      <c r="G512" s="110"/>
      <c r="H512" s="110"/>
      <c r="I512" s="110"/>
      <c r="J512" s="110"/>
      <c r="K512" s="110"/>
      <c r="L512" s="110"/>
      <c r="M512" s="110"/>
      <c r="N512" s="110"/>
      <c r="O512" s="110"/>
      <c r="P512" s="110"/>
    </row>
    <row r="513" spans="1:16" x14ac:dyDescent="0.2">
      <c r="A513" s="110"/>
      <c r="B513" s="110"/>
      <c r="C513" s="110"/>
      <c r="D513" s="110"/>
      <c r="E513" s="110"/>
      <c r="F513" s="110"/>
      <c r="G513" s="110"/>
      <c r="H513" s="110"/>
      <c r="I513" s="110"/>
      <c r="J513" s="110"/>
      <c r="K513" s="110"/>
      <c r="L513" s="110"/>
      <c r="M513" s="110"/>
      <c r="N513" s="110"/>
      <c r="O513" s="110"/>
      <c r="P513" s="110"/>
    </row>
    <row r="514" spans="1:16" x14ac:dyDescent="0.2">
      <c r="A514" s="110"/>
      <c r="B514" s="110"/>
      <c r="C514" s="110"/>
      <c r="D514" s="110"/>
      <c r="E514" s="110"/>
      <c r="F514" s="110"/>
      <c r="G514" s="110"/>
      <c r="H514" s="110"/>
      <c r="I514" s="110"/>
      <c r="J514" s="110"/>
      <c r="K514" s="110"/>
      <c r="L514" s="110"/>
      <c r="M514" s="110"/>
      <c r="N514" s="110"/>
      <c r="O514" s="110"/>
      <c r="P514" s="110"/>
    </row>
    <row r="515" spans="1:16" x14ac:dyDescent="0.2">
      <c r="A515" s="110"/>
      <c r="B515" s="110"/>
      <c r="C515" s="110"/>
      <c r="D515" s="110"/>
      <c r="E515" s="110"/>
      <c r="F515" s="110"/>
      <c r="G515" s="110"/>
      <c r="H515" s="110"/>
      <c r="I515" s="110"/>
      <c r="J515" s="110"/>
      <c r="K515" s="110"/>
      <c r="L515" s="110"/>
      <c r="M515" s="110"/>
      <c r="N515" s="110"/>
      <c r="O515" s="110"/>
      <c r="P515" s="110"/>
    </row>
    <row r="516" spans="1:16" x14ac:dyDescent="0.2">
      <c r="A516" s="110"/>
      <c r="B516" s="110"/>
      <c r="C516" s="110"/>
      <c r="D516" s="110"/>
      <c r="E516" s="110"/>
      <c r="F516" s="110"/>
      <c r="G516" s="110"/>
      <c r="H516" s="110"/>
      <c r="I516" s="110"/>
      <c r="J516" s="110"/>
      <c r="K516" s="110"/>
      <c r="L516" s="110"/>
      <c r="M516" s="110"/>
      <c r="N516" s="110"/>
      <c r="O516" s="110"/>
      <c r="P516" s="110"/>
    </row>
    <row r="517" spans="1:16" x14ac:dyDescent="0.2">
      <c r="A517" s="110"/>
      <c r="B517" s="110"/>
      <c r="C517" s="110"/>
      <c r="D517" s="110"/>
      <c r="E517" s="110"/>
      <c r="F517" s="110"/>
      <c r="G517" s="110"/>
      <c r="H517" s="110"/>
      <c r="I517" s="110"/>
      <c r="J517" s="110"/>
      <c r="K517" s="110"/>
      <c r="L517" s="110"/>
      <c r="M517" s="110"/>
      <c r="N517" s="110"/>
      <c r="O517" s="110"/>
      <c r="P517" s="110"/>
    </row>
    <row r="518" spans="1:16" x14ac:dyDescent="0.2">
      <c r="A518" s="110"/>
      <c r="B518" s="110"/>
      <c r="C518" s="110"/>
      <c r="D518" s="110"/>
      <c r="E518" s="110"/>
      <c r="F518" s="110"/>
      <c r="G518" s="110"/>
      <c r="H518" s="110"/>
      <c r="I518" s="110"/>
      <c r="J518" s="110"/>
      <c r="K518" s="110"/>
      <c r="L518" s="110"/>
      <c r="M518" s="110"/>
      <c r="N518" s="110"/>
      <c r="O518" s="110"/>
      <c r="P518" s="110"/>
    </row>
    <row r="519" spans="1:16" x14ac:dyDescent="0.2">
      <c r="A519" s="110"/>
      <c r="B519" s="110"/>
      <c r="C519" s="110"/>
      <c r="D519" s="110"/>
      <c r="E519" s="110"/>
      <c r="F519" s="110"/>
      <c r="G519" s="110"/>
      <c r="H519" s="110"/>
      <c r="I519" s="110"/>
      <c r="J519" s="110"/>
      <c r="K519" s="110"/>
      <c r="L519" s="110"/>
      <c r="M519" s="110"/>
      <c r="N519" s="110"/>
      <c r="O519" s="110"/>
      <c r="P519" s="110"/>
    </row>
    <row r="520" spans="1:16" x14ac:dyDescent="0.2">
      <c r="A520" s="110"/>
      <c r="B520" s="110"/>
      <c r="C520" s="110"/>
      <c r="D520" s="110"/>
      <c r="E520" s="110"/>
      <c r="F520" s="110"/>
      <c r="G520" s="110"/>
      <c r="H520" s="110"/>
      <c r="I520" s="110"/>
      <c r="J520" s="110"/>
      <c r="K520" s="110"/>
      <c r="L520" s="110"/>
      <c r="M520" s="110"/>
      <c r="N520" s="110"/>
      <c r="O520" s="110"/>
      <c r="P520" s="110"/>
    </row>
    <row r="521" spans="1:16" x14ac:dyDescent="0.2">
      <c r="A521" s="110"/>
      <c r="B521" s="110"/>
      <c r="C521" s="110"/>
      <c r="D521" s="110"/>
      <c r="E521" s="110"/>
      <c r="F521" s="110"/>
      <c r="G521" s="110"/>
      <c r="H521" s="110"/>
      <c r="I521" s="110"/>
      <c r="J521" s="110"/>
      <c r="K521" s="110"/>
      <c r="L521" s="110"/>
      <c r="M521" s="110"/>
      <c r="N521" s="110"/>
      <c r="O521" s="110"/>
      <c r="P521" s="110"/>
    </row>
    <row r="522" spans="1:16" x14ac:dyDescent="0.2">
      <c r="A522" s="110"/>
      <c r="B522" s="110"/>
      <c r="C522" s="110"/>
      <c r="D522" s="110"/>
      <c r="E522" s="110"/>
      <c r="F522" s="110"/>
      <c r="G522" s="110"/>
      <c r="H522" s="110"/>
      <c r="I522" s="110"/>
      <c r="J522" s="110"/>
      <c r="K522" s="110"/>
      <c r="L522" s="110"/>
      <c r="M522" s="110"/>
      <c r="N522" s="110"/>
      <c r="O522" s="110"/>
      <c r="P522" s="110"/>
    </row>
    <row r="523" spans="1:16" x14ac:dyDescent="0.2">
      <c r="A523" s="110"/>
      <c r="B523" s="110"/>
      <c r="C523" s="110"/>
      <c r="D523" s="110"/>
      <c r="E523" s="110"/>
      <c r="F523" s="110"/>
      <c r="G523" s="110"/>
      <c r="H523" s="110"/>
      <c r="I523" s="110"/>
      <c r="J523" s="110"/>
      <c r="K523" s="110"/>
      <c r="L523" s="110"/>
      <c r="M523" s="110"/>
      <c r="N523" s="110"/>
      <c r="O523" s="110"/>
      <c r="P523" s="110"/>
    </row>
    <row r="524" spans="1:16" x14ac:dyDescent="0.2">
      <c r="A524" s="110"/>
      <c r="B524" s="110"/>
      <c r="C524" s="110"/>
      <c r="D524" s="110"/>
      <c r="E524" s="110"/>
      <c r="F524" s="110"/>
      <c r="G524" s="110"/>
      <c r="H524" s="110"/>
      <c r="I524" s="110"/>
      <c r="J524" s="110"/>
      <c r="K524" s="110"/>
      <c r="L524" s="110"/>
      <c r="M524" s="110"/>
      <c r="N524" s="110"/>
      <c r="O524" s="110"/>
      <c r="P524" s="110"/>
    </row>
    <row r="525" spans="1:16" x14ac:dyDescent="0.2">
      <c r="A525" s="110"/>
      <c r="B525" s="110"/>
      <c r="C525" s="110"/>
      <c r="D525" s="110"/>
      <c r="E525" s="110"/>
      <c r="F525" s="110"/>
      <c r="G525" s="110"/>
      <c r="H525" s="110"/>
      <c r="I525" s="110"/>
      <c r="J525" s="110"/>
      <c r="K525" s="110"/>
      <c r="L525" s="110"/>
      <c r="M525" s="110"/>
      <c r="N525" s="110"/>
      <c r="O525" s="110"/>
      <c r="P525" s="110"/>
    </row>
    <row r="526" spans="1:16" x14ac:dyDescent="0.2">
      <c r="A526" s="110"/>
      <c r="B526" s="110"/>
      <c r="C526" s="110"/>
      <c r="D526" s="110"/>
      <c r="E526" s="110"/>
      <c r="F526" s="110"/>
      <c r="G526" s="110"/>
      <c r="H526" s="110"/>
      <c r="I526" s="110"/>
      <c r="J526" s="110"/>
      <c r="K526" s="110"/>
      <c r="L526" s="110"/>
      <c r="M526" s="110"/>
      <c r="N526" s="110"/>
      <c r="O526" s="110"/>
      <c r="P526" s="110"/>
    </row>
    <row r="527" spans="1:16" x14ac:dyDescent="0.2">
      <c r="A527" s="110"/>
      <c r="B527" s="110"/>
      <c r="C527" s="110"/>
      <c r="D527" s="110"/>
      <c r="E527" s="110"/>
      <c r="F527" s="110"/>
      <c r="G527" s="110"/>
      <c r="H527" s="110"/>
      <c r="I527" s="110"/>
      <c r="J527" s="110"/>
      <c r="K527" s="110"/>
      <c r="L527" s="110"/>
      <c r="M527" s="110"/>
      <c r="N527" s="110"/>
      <c r="O527" s="110"/>
      <c r="P527" s="110"/>
    </row>
    <row r="528" spans="1:16" x14ac:dyDescent="0.2">
      <c r="A528" s="110"/>
      <c r="B528" s="110"/>
      <c r="C528" s="110"/>
      <c r="D528" s="110"/>
      <c r="E528" s="110"/>
      <c r="F528" s="110"/>
      <c r="G528" s="110"/>
      <c r="H528" s="110"/>
      <c r="I528" s="110"/>
      <c r="J528" s="110"/>
      <c r="K528" s="110"/>
      <c r="L528" s="110"/>
      <c r="M528" s="110"/>
      <c r="N528" s="110"/>
      <c r="O528" s="110"/>
      <c r="P528" s="110"/>
    </row>
    <row r="529" spans="1:16" x14ac:dyDescent="0.2">
      <c r="A529" s="110"/>
      <c r="B529" s="110"/>
      <c r="C529" s="110"/>
      <c r="D529" s="110"/>
      <c r="E529" s="110"/>
      <c r="F529" s="110"/>
      <c r="G529" s="110"/>
      <c r="H529" s="110"/>
      <c r="I529" s="110"/>
      <c r="J529" s="110"/>
      <c r="K529" s="110"/>
      <c r="L529" s="110"/>
      <c r="M529" s="110"/>
      <c r="N529" s="110"/>
      <c r="O529" s="110"/>
      <c r="P529" s="110"/>
    </row>
    <row r="530" spans="1:16" x14ac:dyDescent="0.2">
      <c r="A530" s="110"/>
      <c r="B530" s="110"/>
      <c r="C530" s="110"/>
      <c r="D530" s="110"/>
      <c r="E530" s="110"/>
      <c r="F530" s="110"/>
      <c r="G530" s="110"/>
      <c r="H530" s="110"/>
      <c r="I530" s="110"/>
      <c r="J530" s="110"/>
      <c r="K530" s="110"/>
      <c r="L530" s="110"/>
      <c r="M530" s="110"/>
      <c r="N530" s="110"/>
      <c r="O530" s="110"/>
      <c r="P530" s="110"/>
    </row>
    <row r="531" spans="1:16" x14ac:dyDescent="0.2">
      <c r="A531" s="110"/>
      <c r="B531" s="110"/>
      <c r="C531" s="110"/>
      <c r="D531" s="110"/>
      <c r="E531" s="110"/>
      <c r="F531" s="110"/>
      <c r="G531" s="110"/>
      <c r="H531" s="110"/>
      <c r="I531" s="110"/>
      <c r="J531" s="110"/>
      <c r="K531" s="110"/>
      <c r="L531" s="110"/>
      <c r="M531" s="110"/>
      <c r="N531" s="110"/>
      <c r="O531" s="110"/>
      <c r="P531" s="110"/>
    </row>
    <row r="532" spans="1:16" x14ac:dyDescent="0.2">
      <c r="A532" s="110"/>
      <c r="B532" s="110"/>
      <c r="C532" s="110"/>
      <c r="D532" s="110"/>
      <c r="E532" s="110"/>
      <c r="F532" s="110"/>
      <c r="G532" s="110"/>
      <c r="H532" s="110"/>
      <c r="I532" s="110"/>
      <c r="J532" s="110"/>
      <c r="K532" s="110"/>
      <c r="L532" s="110"/>
      <c r="M532" s="110"/>
      <c r="N532" s="110"/>
      <c r="O532" s="110"/>
      <c r="P532" s="110"/>
    </row>
    <row r="533" spans="1:16" x14ac:dyDescent="0.2">
      <c r="A533" s="110"/>
      <c r="B533" s="110"/>
      <c r="C533" s="110"/>
      <c r="D533" s="110"/>
      <c r="E533" s="110"/>
      <c r="F533" s="110"/>
      <c r="G533" s="110"/>
      <c r="H533" s="110"/>
      <c r="I533" s="110"/>
      <c r="J533" s="110"/>
      <c r="K533" s="110"/>
      <c r="L533" s="110"/>
      <c r="M533" s="110"/>
      <c r="N533" s="110"/>
      <c r="O533" s="110"/>
      <c r="P533" s="110"/>
    </row>
    <row r="534" spans="1:16" x14ac:dyDescent="0.2">
      <c r="A534" s="110"/>
      <c r="B534" s="110"/>
      <c r="C534" s="110"/>
      <c r="D534" s="110"/>
      <c r="E534" s="110"/>
      <c r="F534" s="110"/>
      <c r="G534" s="110"/>
      <c r="H534" s="110"/>
      <c r="I534" s="110"/>
      <c r="J534" s="110"/>
      <c r="K534" s="110"/>
      <c r="L534" s="110"/>
      <c r="M534" s="110"/>
      <c r="N534" s="110"/>
      <c r="O534" s="110"/>
      <c r="P534" s="110"/>
    </row>
    <row r="535" spans="1:16" x14ac:dyDescent="0.2">
      <c r="A535" s="110"/>
      <c r="B535" s="110"/>
      <c r="C535" s="110"/>
      <c r="D535" s="110"/>
      <c r="E535" s="110"/>
      <c r="F535" s="110"/>
      <c r="G535" s="110"/>
      <c r="H535" s="110"/>
      <c r="I535" s="110"/>
      <c r="J535" s="110"/>
      <c r="K535" s="110"/>
      <c r="L535" s="110"/>
      <c r="M535" s="110"/>
      <c r="N535" s="110"/>
      <c r="O535" s="110"/>
      <c r="P535" s="110"/>
    </row>
    <row r="536" spans="1:16" x14ac:dyDescent="0.2">
      <c r="A536" s="110"/>
      <c r="B536" s="110"/>
      <c r="C536" s="110"/>
      <c r="D536" s="110"/>
      <c r="E536" s="110"/>
      <c r="F536" s="110"/>
      <c r="G536" s="110"/>
      <c r="H536" s="110"/>
      <c r="I536" s="110"/>
      <c r="J536" s="110"/>
      <c r="K536" s="110"/>
      <c r="L536" s="110"/>
      <c r="M536" s="110"/>
      <c r="N536" s="110"/>
      <c r="O536" s="110"/>
      <c r="P536" s="110"/>
    </row>
    <row r="537" spans="1:16" x14ac:dyDescent="0.2">
      <c r="A537" s="110"/>
      <c r="B537" s="110"/>
      <c r="C537" s="110"/>
      <c r="D537" s="110"/>
      <c r="E537" s="110"/>
      <c r="F537" s="110"/>
      <c r="G537" s="110"/>
      <c r="H537" s="110"/>
      <c r="I537" s="110"/>
      <c r="J537" s="110"/>
      <c r="K537" s="110"/>
      <c r="L537" s="110"/>
      <c r="M537" s="110"/>
      <c r="N537" s="110"/>
      <c r="O537" s="110"/>
      <c r="P537" s="110"/>
    </row>
    <row r="538" spans="1:16" x14ac:dyDescent="0.2">
      <c r="A538" s="110"/>
      <c r="B538" s="110"/>
      <c r="C538" s="110"/>
      <c r="D538" s="110"/>
      <c r="E538" s="110"/>
      <c r="F538" s="110"/>
      <c r="G538" s="110"/>
      <c r="H538" s="110"/>
      <c r="I538" s="110"/>
      <c r="J538" s="110"/>
      <c r="K538" s="110"/>
      <c r="L538" s="110"/>
      <c r="M538" s="110"/>
      <c r="N538" s="110"/>
      <c r="O538" s="110"/>
      <c r="P538" s="110"/>
    </row>
    <row r="539" spans="1:16" x14ac:dyDescent="0.2">
      <c r="A539" s="110"/>
      <c r="B539" s="110"/>
      <c r="C539" s="110"/>
      <c r="D539" s="110"/>
      <c r="E539" s="110"/>
      <c r="F539" s="110"/>
      <c r="G539" s="110"/>
      <c r="H539" s="110"/>
      <c r="I539" s="110"/>
      <c r="J539" s="110"/>
      <c r="K539" s="110"/>
      <c r="L539" s="110"/>
      <c r="M539" s="110"/>
      <c r="N539" s="110"/>
      <c r="O539" s="110"/>
      <c r="P539" s="110"/>
    </row>
    <row r="540" spans="1:16" x14ac:dyDescent="0.2">
      <c r="A540" s="110"/>
      <c r="B540" s="110"/>
      <c r="C540" s="110"/>
      <c r="D540" s="110"/>
      <c r="E540" s="110"/>
      <c r="F540" s="110"/>
      <c r="G540" s="110"/>
      <c r="H540" s="110"/>
      <c r="I540" s="110"/>
      <c r="J540" s="110"/>
      <c r="K540" s="110"/>
      <c r="L540" s="110"/>
      <c r="M540" s="110"/>
      <c r="N540" s="110"/>
      <c r="O540" s="110"/>
      <c r="P540" s="110"/>
    </row>
    <row r="541" spans="1:16" x14ac:dyDescent="0.2">
      <c r="A541" s="110"/>
      <c r="B541" s="110"/>
      <c r="C541" s="110"/>
      <c r="D541" s="110"/>
      <c r="E541" s="110"/>
      <c r="F541" s="110"/>
      <c r="G541" s="110"/>
      <c r="H541" s="110"/>
      <c r="I541" s="110"/>
      <c r="J541" s="110"/>
      <c r="K541" s="110"/>
      <c r="L541" s="110"/>
      <c r="M541" s="110"/>
      <c r="N541" s="110"/>
      <c r="O541" s="110"/>
      <c r="P541" s="110"/>
    </row>
    <row r="542" spans="1:16" x14ac:dyDescent="0.2">
      <c r="A542" s="110"/>
      <c r="B542" s="110"/>
      <c r="C542" s="110"/>
      <c r="D542" s="110"/>
      <c r="E542" s="110"/>
      <c r="F542" s="110"/>
      <c r="G542" s="110"/>
      <c r="H542" s="110"/>
      <c r="I542" s="110"/>
      <c r="J542" s="110"/>
      <c r="K542" s="110"/>
      <c r="L542" s="110"/>
      <c r="M542" s="110"/>
      <c r="N542" s="110"/>
      <c r="O542" s="110"/>
      <c r="P542" s="110"/>
    </row>
    <row r="543" spans="1:16" x14ac:dyDescent="0.2">
      <c r="A543" s="110"/>
      <c r="B543" s="110"/>
      <c r="C543" s="110"/>
      <c r="D543" s="110"/>
      <c r="E543" s="110"/>
      <c r="F543" s="110"/>
      <c r="G543" s="110"/>
      <c r="H543" s="110"/>
      <c r="I543" s="110"/>
      <c r="J543" s="110"/>
      <c r="K543" s="110"/>
      <c r="L543" s="110"/>
      <c r="M543" s="110"/>
      <c r="N543" s="110"/>
      <c r="O543" s="110"/>
      <c r="P543" s="110"/>
    </row>
    <row r="544" spans="1:16" x14ac:dyDescent="0.2">
      <c r="A544" s="110"/>
      <c r="B544" s="110"/>
      <c r="C544" s="110"/>
      <c r="D544" s="110"/>
      <c r="E544" s="110"/>
      <c r="F544" s="110"/>
      <c r="G544" s="110"/>
      <c r="H544" s="110"/>
      <c r="I544" s="110"/>
      <c r="J544" s="110"/>
      <c r="K544" s="110"/>
      <c r="L544" s="110"/>
      <c r="M544" s="110"/>
      <c r="N544" s="110"/>
      <c r="O544" s="110"/>
      <c r="P544" s="110"/>
    </row>
    <row r="545" spans="1:16" x14ac:dyDescent="0.2">
      <c r="A545" s="110"/>
      <c r="B545" s="110"/>
      <c r="C545" s="110"/>
      <c r="D545" s="110"/>
      <c r="E545" s="110"/>
      <c r="F545" s="110"/>
      <c r="G545" s="110"/>
      <c r="H545" s="110"/>
      <c r="I545" s="110"/>
      <c r="J545" s="110"/>
      <c r="K545" s="110"/>
      <c r="L545" s="110"/>
      <c r="M545" s="110"/>
      <c r="N545" s="110"/>
      <c r="O545" s="110"/>
      <c r="P545" s="110"/>
    </row>
    <row r="546" spans="1:16" x14ac:dyDescent="0.2">
      <c r="A546" s="110"/>
      <c r="B546" s="110"/>
      <c r="C546" s="110"/>
      <c r="D546" s="110"/>
      <c r="E546" s="110"/>
      <c r="F546" s="110"/>
      <c r="G546" s="110"/>
      <c r="H546" s="110"/>
      <c r="I546" s="110"/>
      <c r="J546" s="110"/>
      <c r="K546" s="110"/>
      <c r="L546" s="110"/>
      <c r="M546" s="110"/>
      <c r="N546" s="110"/>
      <c r="O546" s="110"/>
      <c r="P546" s="110"/>
    </row>
    <row r="547" spans="1:16" x14ac:dyDescent="0.2">
      <c r="A547" s="110"/>
      <c r="B547" s="110"/>
      <c r="C547" s="110"/>
      <c r="D547" s="110"/>
      <c r="E547" s="110"/>
      <c r="F547" s="110"/>
      <c r="G547" s="110"/>
      <c r="H547" s="110"/>
      <c r="I547" s="110"/>
      <c r="J547" s="110"/>
      <c r="K547" s="110"/>
      <c r="L547" s="110"/>
      <c r="M547" s="110"/>
      <c r="N547" s="110"/>
      <c r="O547" s="110"/>
      <c r="P547" s="110"/>
    </row>
    <row r="548" spans="1:16" x14ac:dyDescent="0.2">
      <c r="A548" s="110"/>
      <c r="B548" s="110"/>
      <c r="C548" s="110"/>
      <c r="D548" s="110"/>
      <c r="E548" s="110"/>
      <c r="F548" s="110"/>
      <c r="G548" s="110"/>
      <c r="H548" s="110"/>
      <c r="I548" s="110"/>
      <c r="J548" s="110"/>
      <c r="K548" s="110"/>
      <c r="L548" s="110"/>
      <c r="M548" s="110"/>
      <c r="N548" s="110"/>
      <c r="O548" s="110"/>
      <c r="P548" s="110"/>
    </row>
    <row r="549" spans="1:16" x14ac:dyDescent="0.2">
      <c r="A549" s="110"/>
      <c r="B549" s="110"/>
      <c r="C549" s="110"/>
      <c r="D549" s="110"/>
      <c r="E549" s="110"/>
      <c r="F549" s="110"/>
      <c r="G549" s="110"/>
      <c r="H549" s="110"/>
      <c r="I549" s="110"/>
      <c r="J549" s="110"/>
      <c r="K549" s="110"/>
      <c r="L549" s="110"/>
      <c r="M549" s="110"/>
      <c r="N549" s="110"/>
      <c r="O549" s="110"/>
      <c r="P549" s="110"/>
    </row>
    <row r="550" spans="1:16" x14ac:dyDescent="0.2">
      <c r="A550" s="110"/>
      <c r="B550" s="110"/>
      <c r="C550" s="110"/>
      <c r="D550" s="110"/>
      <c r="E550" s="110"/>
      <c r="F550" s="110"/>
      <c r="G550" s="110"/>
      <c r="H550" s="110"/>
      <c r="I550" s="110"/>
      <c r="J550" s="110"/>
      <c r="K550" s="110"/>
      <c r="L550" s="110"/>
      <c r="M550" s="110"/>
      <c r="N550" s="110"/>
      <c r="O550" s="110"/>
      <c r="P550" s="110"/>
    </row>
    <row r="551" spans="1:16" x14ac:dyDescent="0.2">
      <c r="A551" s="110"/>
      <c r="B551" s="110"/>
      <c r="C551" s="110"/>
      <c r="D551" s="110"/>
      <c r="E551" s="110"/>
      <c r="F551" s="110"/>
      <c r="G551" s="110"/>
      <c r="H551" s="110"/>
      <c r="I551" s="110"/>
      <c r="J551" s="110"/>
      <c r="K551" s="110"/>
      <c r="L551" s="110"/>
      <c r="M551" s="110"/>
      <c r="N551" s="110"/>
      <c r="O551" s="110"/>
      <c r="P551" s="110"/>
    </row>
    <row r="552" spans="1:16" x14ac:dyDescent="0.2">
      <c r="A552" s="110"/>
      <c r="B552" s="110"/>
      <c r="C552" s="110"/>
      <c r="D552" s="110"/>
      <c r="E552" s="110"/>
      <c r="F552" s="110"/>
      <c r="G552" s="110"/>
      <c r="H552" s="110"/>
      <c r="I552" s="110"/>
      <c r="J552" s="110"/>
      <c r="K552" s="110"/>
      <c r="L552" s="110"/>
      <c r="M552" s="110"/>
      <c r="N552" s="110"/>
      <c r="O552" s="110"/>
      <c r="P552" s="110"/>
    </row>
    <row r="553" spans="1:16" x14ac:dyDescent="0.2">
      <c r="A553" s="110"/>
      <c r="B553" s="110"/>
      <c r="C553" s="110"/>
      <c r="D553" s="110"/>
      <c r="E553" s="110"/>
      <c r="F553" s="110"/>
      <c r="G553" s="110"/>
      <c r="H553" s="110"/>
      <c r="I553" s="110"/>
      <c r="J553" s="110"/>
      <c r="K553" s="110"/>
      <c r="L553" s="110"/>
      <c r="M553" s="110"/>
      <c r="N553" s="110"/>
      <c r="O553" s="110"/>
      <c r="P553" s="110"/>
    </row>
    <row r="554" spans="1:16" x14ac:dyDescent="0.2">
      <c r="A554" s="110"/>
      <c r="B554" s="110"/>
      <c r="C554" s="110"/>
      <c r="D554" s="110"/>
      <c r="E554" s="110"/>
      <c r="F554" s="110"/>
      <c r="G554" s="110"/>
      <c r="H554" s="110"/>
      <c r="I554" s="110"/>
      <c r="J554" s="110"/>
      <c r="K554" s="110"/>
      <c r="L554" s="110"/>
      <c r="M554" s="110"/>
      <c r="N554" s="110"/>
      <c r="O554" s="110"/>
      <c r="P554" s="110"/>
    </row>
    <row r="555" spans="1:16" x14ac:dyDescent="0.2">
      <c r="A555" s="110"/>
      <c r="B555" s="110"/>
      <c r="C555" s="110"/>
      <c r="D555" s="110"/>
      <c r="E555" s="110"/>
      <c r="F555" s="110"/>
      <c r="G555" s="110"/>
      <c r="H555" s="110"/>
      <c r="I555" s="110"/>
      <c r="J555" s="110"/>
      <c r="K555" s="110"/>
      <c r="L555" s="110"/>
      <c r="M555" s="110"/>
      <c r="N555" s="110"/>
      <c r="O555" s="110"/>
      <c r="P555" s="110"/>
    </row>
    <row r="556" spans="1:16" x14ac:dyDescent="0.2">
      <c r="A556" s="110"/>
      <c r="B556" s="110"/>
      <c r="C556" s="110"/>
      <c r="D556" s="110"/>
      <c r="E556" s="110"/>
      <c r="F556" s="110"/>
      <c r="G556" s="110"/>
      <c r="H556" s="110"/>
      <c r="I556" s="110"/>
      <c r="J556" s="110"/>
      <c r="K556" s="110"/>
      <c r="L556" s="110"/>
      <c r="M556" s="110"/>
      <c r="N556" s="110"/>
      <c r="O556" s="110"/>
      <c r="P556" s="110"/>
    </row>
    <row r="557" spans="1:16" x14ac:dyDescent="0.2">
      <c r="A557" s="110"/>
      <c r="B557" s="110"/>
      <c r="C557" s="110"/>
      <c r="D557" s="110"/>
      <c r="E557" s="110"/>
      <c r="F557" s="110"/>
      <c r="G557" s="110"/>
      <c r="H557" s="110"/>
      <c r="I557" s="110"/>
      <c r="J557" s="110"/>
      <c r="K557" s="110"/>
      <c r="L557" s="110"/>
      <c r="M557" s="110"/>
      <c r="N557" s="110"/>
      <c r="O557" s="110"/>
      <c r="P557" s="110"/>
    </row>
    <row r="558" spans="1:16" x14ac:dyDescent="0.2">
      <c r="A558" s="110"/>
      <c r="B558" s="110"/>
      <c r="C558" s="110"/>
      <c r="D558" s="110"/>
      <c r="E558" s="110"/>
      <c r="F558" s="110"/>
      <c r="G558" s="110"/>
      <c r="H558" s="110"/>
      <c r="I558" s="110"/>
      <c r="J558" s="110"/>
      <c r="K558" s="110"/>
      <c r="L558" s="110"/>
      <c r="M558" s="110"/>
      <c r="N558" s="110"/>
      <c r="O558" s="110"/>
      <c r="P558" s="110"/>
    </row>
    <row r="559" spans="1:16" x14ac:dyDescent="0.2">
      <c r="A559" s="110"/>
      <c r="B559" s="110"/>
      <c r="C559" s="110"/>
      <c r="D559" s="110"/>
      <c r="E559" s="110"/>
      <c r="F559" s="110"/>
      <c r="G559" s="110"/>
      <c r="H559" s="110"/>
      <c r="I559" s="110"/>
      <c r="J559" s="110"/>
      <c r="K559" s="110"/>
      <c r="L559" s="110"/>
      <c r="M559" s="110"/>
      <c r="N559" s="110"/>
      <c r="O559" s="110"/>
      <c r="P559" s="110"/>
    </row>
    <row r="560" spans="1:16" x14ac:dyDescent="0.2">
      <c r="A560" s="110"/>
      <c r="B560" s="110"/>
      <c r="C560" s="110"/>
      <c r="D560" s="110"/>
      <c r="E560" s="110"/>
      <c r="F560" s="110"/>
      <c r="G560" s="110"/>
      <c r="H560" s="110"/>
      <c r="I560" s="110"/>
      <c r="J560" s="110"/>
      <c r="K560" s="110"/>
      <c r="L560" s="110"/>
      <c r="M560" s="110"/>
      <c r="N560" s="110"/>
      <c r="O560" s="110"/>
      <c r="P560" s="110"/>
    </row>
    <row r="561" spans="1:16" x14ac:dyDescent="0.2">
      <c r="A561" s="110"/>
      <c r="B561" s="110"/>
      <c r="C561" s="110"/>
      <c r="D561" s="110"/>
      <c r="E561" s="110"/>
      <c r="F561" s="110"/>
      <c r="G561" s="110"/>
      <c r="H561" s="110"/>
      <c r="I561" s="110"/>
      <c r="J561" s="110"/>
      <c r="K561" s="110"/>
      <c r="L561" s="110"/>
      <c r="M561" s="110"/>
      <c r="N561" s="110"/>
      <c r="O561" s="110"/>
      <c r="P561" s="110"/>
    </row>
    <row r="562" spans="1:16" x14ac:dyDescent="0.2">
      <c r="A562" s="110"/>
      <c r="B562" s="110"/>
      <c r="C562" s="110"/>
      <c r="D562" s="110"/>
      <c r="E562" s="110"/>
      <c r="F562" s="110"/>
      <c r="G562" s="110"/>
      <c r="H562" s="110"/>
      <c r="I562" s="110"/>
      <c r="J562" s="110"/>
      <c r="K562" s="110"/>
      <c r="L562" s="110"/>
      <c r="M562" s="110"/>
      <c r="N562" s="110"/>
      <c r="O562" s="110"/>
      <c r="P562" s="110"/>
    </row>
    <row r="563" spans="1:16" x14ac:dyDescent="0.2">
      <c r="A563" s="110"/>
      <c r="B563" s="110"/>
      <c r="C563" s="110"/>
      <c r="D563" s="110"/>
      <c r="E563" s="110"/>
      <c r="F563" s="110"/>
      <c r="G563" s="110"/>
      <c r="H563" s="110"/>
      <c r="I563" s="110"/>
      <c r="J563" s="110"/>
      <c r="K563" s="110"/>
      <c r="L563" s="110"/>
      <c r="M563" s="110"/>
      <c r="N563" s="110"/>
      <c r="O563" s="110"/>
      <c r="P563" s="110"/>
    </row>
    <row r="564" spans="1:16" x14ac:dyDescent="0.2">
      <c r="A564" s="110"/>
      <c r="B564" s="110"/>
      <c r="C564" s="110"/>
      <c r="D564" s="110"/>
      <c r="E564" s="110"/>
      <c r="F564" s="110"/>
      <c r="G564" s="110"/>
      <c r="H564" s="110"/>
      <c r="I564" s="110"/>
      <c r="J564" s="110"/>
      <c r="K564" s="110"/>
      <c r="L564" s="110"/>
      <c r="M564" s="110"/>
      <c r="N564" s="110"/>
      <c r="O564" s="110"/>
      <c r="P564" s="110"/>
    </row>
    <row r="565" spans="1:16" x14ac:dyDescent="0.2">
      <c r="A565" s="110"/>
      <c r="B565" s="110"/>
      <c r="C565" s="110"/>
      <c r="D565" s="110"/>
      <c r="E565" s="110"/>
      <c r="F565" s="110"/>
      <c r="G565" s="110"/>
      <c r="H565" s="110"/>
      <c r="I565" s="110"/>
      <c r="J565" s="110"/>
      <c r="K565" s="110"/>
      <c r="L565" s="110"/>
      <c r="M565" s="110"/>
      <c r="N565" s="110"/>
      <c r="O565" s="110"/>
      <c r="P565" s="110"/>
    </row>
    <row r="566" spans="1:16" x14ac:dyDescent="0.2">
      <c r="A566" s="110"/>
      <c r="B566" s="110"/>
      <c r="C566" s="110"/>
      <c r="D566" s="110"/>
      <c r="E566" s="110"/>
      <c r="F566" s="110"/>
      <c r="G566" s="110"/>
      <c r="H566" s="110"/>
      <c r="I566" s="110"/>
      <c r="J566" s="110"/>
      <c r="K566" s="110"/>
      <c r="L566" s="110"/>
      <c r="M566" s="110"/>
      <c r="N566" s="110"/>
      <c r="O566" s="110"/>
      <c r="P566" s="110"/>
    </row>
    <row r="567" spans="1:16" x14ac:dyDescent="0.2">
      <c r="A567" s="110"/>
      <c r="B567" s="110"/>
      <c r="C567" s="110"/>
      <c r="D567" s="110"/>
      <c r="E567" s="110"/>
      <c r="F567" s="110"/>
      <c r="G567" s="110"/>
      <c r="H567" s="110"/>
      <c r="I567" s="110"/>
      <c r="J567" s="110"/>
      <c r="K567" s="110"/>
      <c r="L567" s="110"/>
      <c r="M567" s="110"/>
      <c r="N567" s="110"/>
      <c r="O567" s="110"/>
      <c r="P567" s="110"/>
    </row>
    <row r="568" spans="1:16" x14ac:dyDescent="0.2">
      <c r="A568" s="110"/>
      <c r="B568" s="110"/>
      <c r="C568" s="110"/>
      <c r="D568" s="110"/>
      <c r="E568" s="110"/>
      <c r="F568" s="110"/>
      <c r="G568" s="110"/>
      <c r="H568" s="110"/>
      <c r="I568" s="110"/>
      <c r="J568" s="110"/>
      <c r="K568" s="110"/>
      <c r="L568" s="110"/>
      <c r="M568" s="110"/>
      <c r="N568" s="110"/>
      <c r="O568" s="110"/>
      <c r="P568" s="110"/>
    </row>
    <row r="569" spans="1:16" x14ac:dyDescent="0.2">
      <c r="A569" s="110"/>
      <c r="B569" s="110"/>
      <c r="C569" s="110"/>
      <c r="D569" s="110"/>
      <c r="E569" s="110"/>
      <c r="F569" s="110"/>
      <c r="G569" s="110"/>
      <c r="H569" s="110"/>
      <c r="I569" s="110"/>
      <c r="J569" s="110"/>
      <c r="K569" s="110"/>
      <c r="L569" s="110"/>
      <c r="M569" s="110"/>
      <c r="N569" s="110"/>
      <c r="O569" s="110"/>
      <c r="P569" s="110"/>
    </row>
    <row r="570" spans="1:16" x14ac:dyDescent="0.2">
      <c r="A570" s="110"/>
      <c r="B570" s="110"/>
      <c r="C570" s="110"/>
      <c r="D570" s="110"/>
      <c r="E570" s="110"/>
      <c r="F570" s="110"/>
      <c r="G570" s="110"/>
      <c r="H570" s="110"/>
      <c r="I570" s="110"/>
      <c r="J570" s="110"/>
      <c r="K570" s="110"/>
      <c r="L570" s="110"/>
      <c r="M570" s="110"/>
      <c r="N570" s="110"/>
      <c r="O570" s="110"/>
      <c r="P570" s="110"/>
    </row>
    <row r="571" spans="1:16" x14ac:dyDescent="0.2">
      <c r="A571" s="110"/>
      <c r="B571" s="110"/>
      <c r="C571" s="110"/>
      <c r="D571" s="110"/>
      <c r="E571" s="110"/>
      <c r="F571" s="110"/>
      <c r="G571" s="110"/>
      <c r="H571" s="110"/>
      <c r="I571" s="110"/>
      <c r="J571" s="110"/>
      <c r="K571" s="110"/>
      <c r="L571" s="110"/>
      <c r="M571" s="110"/>
      <c r="N571" s="110"/>
      <c r="O571" s="110"/>
      <c r="P571" s="110"/>
    </row>
    <row r="572" spans="1:16" x14ac:dyDescent="0.2">
      <c r="A572" s="110"/>
      <c r="B572" s="110"/>
      <c r="C572" s="110"/>
      <c r="D572" s="110"/>
      <c r="E572" s="110"/>
      <c r="F572" s="110"/>
      <c r="G572" s="110"/>
      <c r="H572" s="110"/>
      <c r="I572" s="110"/>
      <c r="J572" s="110"/>
      <c r="K572" s="110"/>
      <c r="L572" s="110"/>
      <c r="M572" s="110"/>
      <c r="N572" s="110"/>
      <c r="O572" s="110"/>
      <c r="P572" s="110"/>
    </row>
    <row r="573" spans="1:16" x14ac:dyDescent="0.2">
      <c r="A573" s="110"/>
      <c r="B573" s="110"/>
      <c r="C573" s="110"/>
      <c r="D573" s="110"/>
      <c r="E573" s="110"/>
      <c r="F573" s="110"/>
      <c r="G573" s="110"/>
      <c r="H573" s="110"/>
      <c r="I573" s="110"/>
      <c r="J573" s="110"/>
      <c r="K573" s="110"/>
      <c r="L573" s="110"/>
      <c r="M573" s="110"/>
      <c r="N573" s="110"/>
      <c r="O573" s="110"/>
      <c r="P573" s="110"/>
    </row>
    <row r="574" spans="1:16" x14ac:dyDescent="0.2">
      <c r="A574" s="110"/>
      <c r="B574" s="110"/>
      <c r="C574" s="110"/>
      <c r="D574" s="110"/>
      <c r="E574" s="110"/>
      <c r="F574" s="110"/>
      <c r="G574" s="110"/>
      <c r="H574" s="110"/>
      <c r="I574" s="110"/>
      <c r="J574" s="110"/>
      <c r="K574" s="110"/>
      <c r="L574" s="110"/>
      <c r="M574" s="110"/>
      <c r="N574" s="110"/>
      <c r="O574" s="110"/>
      <c r="P574" s="110"/>
    </row>
    <row r="575" spans="1:16" x14ac:dyDescent="0.2">
      <c r="A575" s="110"/>
      <c r="B575" s="110"/>
      <c r="C575" s="110"/>
      <c r="D575" s="110"/>
      <c r="E575" s="110"/>
      <c r="F575" s="110"/>
      <c r="G575" s="110"/>
      <c r="H575" s="110"/>
      <c r="I575" s="110"/>
      <c r="J575" s="110"/>
      <c r="K575" s="110"/>
      <c r="L575" s="110"/>
      <c r="M575" s="110"/>
      <c r="N575" s="110"/>
      <c r="O575" s="110"/>
      <c r="P575" s="110"/>
    </row>
    <row r="576" spans="1:16" x14ac:dyDescent="0.2">
      <c r="A576" s="110"/>
      <c r="B576" s="110"/>
      <c r="C576" s="110"/>
      <c r="D576" s="110"/>
      <c r="E576" s="110"/>
      <c r="F576" s="110"/>
      <c r="G576" s="110"/>
      <c r="H576" s="110"/>
      <c r="I576" s="110"/>
      <c r="J576" s="110"/>
      <c r="K576" s="110"/>
      <c r="L576" s="110"/>
      <c r="M576" s="110"/>
      <c r="N576" s="110"/>
      <c r="O576" s="110"/>
      <c r="P576" s="110"/>
    </row>
    <row r="577" spans="1:16" x14ac:dyDescent="0.2">
      <c r="A577" s="110"/>
      <c r="B577" s="110"/>
      <c r="C577" s="110"/>
      <c r="D577" s="110"/>
      <c r="E577" s="110"/>
      <c r="F577" s="110"/>
      <c r="G577" s="110"/>
      <c r="H577" s="110"/>
      <c r="I577" s="110"/>
      <c r="J577" s="110"/>
      <c r="K577" s="110"/>
      <c r="L577" s="110"/>
      <c r="M577" s="110"/>
      <c r="N577" s="110"/>
      <c r="O577" s="110"/>
      <c r="P577" s="110"/>
    </row>
    <row r="578" spans="1:16" x14ac:dyDescent="0.2">
      <c r="A578" s="110"/>
      <c r="B578" s="110"/>
      <c r="C578" s="110"/>
      <c r="D578" s="110"/>
      <c r="E578" s="110"/>
      <c r="F578" s="110"/>
      <c r="G578" s="110"/>
      <c r="H578" s="110"/>
      <c r="I578" s="110"/>
      <c r="J578" s="110"/>
      <c r="K578" s="110"/>
      <c r="L578" s="110"/>
      <c r="M578" s="110"/>
      <c r="N578" s="110"/>
      <c r="O578" s="110"/>
      <c r="P578" s="110"/>
    </row>
    <row r="579" spans="1:16" x14ac:dyDescent="0.2">
      <c r="A579" s="110"/>
      <c r="B579" s="110"/>
      <c r="C579" s="110"/>
      <c r="D579" s="110"/>
      <c r="E579" s="110"/>
      <c r="F579" s="110"/>
      <c r="G579" s="110"/>
      <c r="H579" s="110"/>
      <c r="I579" s="110"/>
      <c r="J579" s="110"/>
      <c r="K579" s="110"/>
      <c r="L579" s="110"/>
      <c r="M579" s="110"/>
      <c r="N579" s="110"/>
      <c r="O579" s="110"/>
      <c r="P579" s="110"/>
    </row>
    <row r="580" spans="1:16" x14ac:dyDescent="0.2">
      <c r="A580" s="110"/>
      <c r="B580" s="110"/>
      <c r="C580" s="110"/>
      <c r="D580" s="110"/>
      <c r="E580" s="110"/>
      <c r="F580" s="110"/>
      <c r="G580" s="110"/>
      <c r="H580" s="110"/>
      <c r="I580" s="110"/>
      <c r="J580" s="110"/>
      <c r="K580" s="110"/>
      <c r="L580" s="110"/>
      <c r="M580" s="110"/>
      <c r="N580" s="110"/>
      <c r="O580" s="110"/>
      <c r="P580" s="110"/>
    </row>
    <row r="581" spans="1:16" x14ac:dyDescent="0.2">
      <c r="A581" s="110"/>
      <c r="B581" s="110"/>
      <c r="C581" s="110"/>
      <c r="D581" s="110"/>
      <c r="E581" s="110"/>
      <c r="F581" s="110"/>
      <c r="G581" s="110"/>
      <c r="H581" s="110"/>
      <c r="I581" s="110"/>
      <c r="J581" s="110"/>
      <c r="K581" s="110"/>
      <c r="L581" s="110"/>
      <c r="M581" s="110"/>
      <c r="N581" s="110"/>
      <c r="O581" s="110"/>
      <c r="P581" s="110"/>
    </row>
    <row r="582" spans="1:16" x14ac:dyDescent="0.2">
      <c r="A582" s="110"/>
      <c r="B582" s="110"/>
      <c r="C582" s="110"/>
      <c r="D582" s="110"/>
      <c r="E582" s="110"/>
      <c r="F582" s="110"/>
      <c r="G582" s="110"/>
      <c r="H582" s="110"/>
      <c r="I582" s="110"/>
      <c r="J582" s="110"/>
      <c r="K582" s="110"/>
      <c r="L582" s="110"/>
      <c r="M582" s="110"/>
      <c r="N582" s="110"/>
      <c r="O582" s="110"/>
      <c r="P582" s="110"/>
    </row>
    <row r="583" spans="1:16" x14ac:dyDescent="0.2">
      <c r="A583" s="110"/>
      <c r="B583" s="110"/>
      <c r="C583" s="110"/>
      <c r="D583" s="110"/>
      <c r="E583" s="110"/>
      <c r="F583" s="110"/>
      <c r="G583" s="110"/>
      <c r="H583" s="110"/>
      <c r="I583" s="110"/>
      <c r="J583" s="110"/>
      <c r="K583" s="110"/>
      <c r="L583" s="110"/>
      <c r="M583" s="110"/>
      <c r="N583" s="110"/>
      <c r="O583" s="110"/>
      <c r="P583" s="110"/>
    </row>
    <row r="584" spans="1:16" x14ac:dyDescent="0.2">
      <c r="A584" s="110"/>
      <c r="B584" s="110"/>
      <c r="C584" s="110"/>
      <c r="D584" s="110"/>
      <c r="E584" s="110"/>
      <c r="F584" s="110"/>
      <c r="G584" s="110"/>
      <c r="H584" s="110"/>
      <c r="I584" s="110"/>
      <c r="J584" s="110"/>
      <c r="K584" s="110"/>
      <c r="L584" s="110"/>
      <c r="M584" s="110"/>
      <c r="N584" s="110"/>
      <c r="O584" s="110"/>
      <c r="P584" s="110"/>
    </row>
    <row r="585" spans="1:16" x14ac:dyDescent="0.2">
      <c r="A585" s="110"/>
      <c r="B585" s="110"/>
      <c r="C585" s="110"/>
      <c r="D585" s="110"/>
      <c r="E585" s="110"/>
      <c r="F585" s="110"/>
      <c r="G585" s="110"/>
      <c r="H585" s="110"/>
      <c r="I585" s="110"/>
      <c r="J585" s="110"/>
      <c r="K585" s="110"/>
      <c r="L585" s="110"/>
      <c r="M585" s="110"/>
      <c r="N585" s="110"/>
      <c r="O585" s="110"/>
      <c r="P585" s="110"/>
    </row>
    <row r="586" spans="1:16" x14ac:dyDescent="0.2">
      <c r="A586" s="110"/>
      <c r="B586" s="110"/>
      <c r="C586" s="110"/>
      <c r="D586" s="110"/>
      <c r="E586" s="110"/>
      <c r="F586" s="110"/>
      <c r="G586" s="110"/>
      <c r="H586" s="110"/>
      <c r="I586" s="110"/>
      <c r="J586" s="110"/>
      <c r="K586" s="110"/>
      <c r="L586" s="110"/>
      <c r="M586" s="110"/>
      <c r="N586" s="110"/>
      <c r="O586" s="110"/>
      <c r="P586" s="110"/>
    </row>
    <row r="587" spans="1:16" x14ac:dyDescent="0.2">
      <c r="A587" s="110"/>
      <c r="B587" s="110"/>
      <c r="C587" s="110"/>
      <c r="D587" s="110"/>
      <c r="E587" s="110"/>
      <c r="F587" s="110"/>
      <c r="G587" s="110"/>
      <c r="H587" s="110"/>
      <c r="I587" s="110"/>
      <c r="J587" s="110"/>
      <c r="K587" s="110"/>
      <c r="L587" s="110"/>
      <c r="M587" s="110"/>
      <c r="N587" s="110"/>
      <c r="O587" s="110"/>
      <c r="P587" s="110"/>
    </row>
    <row r="588" spans="1:16" x14ac:dyDescent="0.2">
      <c r="A588" s="110"/>
      <c r="B588" s="110"/>
      <c r="C588" s="110"/>
      <c r="D588" s="110"/>
      <c r="E588" s="110"/>
      <c r="F588" s="110"/>
      <c r="G588" s="110"/>
      <c r="H588" s="110"/>
      <c r="I588" s="110"/>
      <c r="J588" s="110"/>
      <c r="K588" s="110"/>
      <c r="L588" s="110"/>
      <c r="M588" s="110"/>
      <c r="N588" s="110"/>
      <c r="O588" s="110"/>
      <c r="P588" s="110"/>
    </row>
    <row r="589" spans="1:16" x14ac:dyDescent="0.2">
      <c r="A589" s="110"/>
      <c r="B589" s="110"/>
      <c r="C589" s="110"/>
      <c r="D589" s="110"/>
      <c r="E589" s="110"/>
      <c r="F589" s="110"/>
      <c r="G589" s="110"/>
      <c r="H589" s="110"/>
      <c r="I589" s="110"/>
      <c r="J589" s="110"/>
      <c r="K589" s="110"/>
      <c r="L589" s="110"/>
      <c r="M589" s="110"/>
      <c r="N589" s="110"/>
      <c r="O589" s="110"/>
      <c r="P589" s="110"/>
    </row>
    <row r="590" spans="1:16" x14ac:dyDescent="0.2">
      <c r="A590" s="110"/>
      <c r="B590" s="110"/>
      <c r="C590" s="110"/>
      <c r="D590" s="110"/>
      <c r="E590" s="110"/>
      <c r="F590" s="110"/>
      <c r="G590" s="110"/>
      <c r="H590" s="110"/>
      <c r="I590" s="110"/>
      <c r="J590" s="110"/>
      <c r="K590" s="110"/>
      <c r="L590" s="110"/>
      <c r="M590" s="110"/>
      <c r="N590" s="110"/>
      <c r="O590" s="110"/>
      <c r="P590" s="110"/>
    </row>
    <row r="591" spans="1:16" x14ac:dyDescent="0.2">
      <c r="A591" s="110"/>
      <c r="B591" s="110"/>
      <c r="C591" s="110"/>
      <c r="D591" s="110"/>
      <c r="E591" s="110"/>
      <c r="F591" s="110"/>
      <c r="G591" s="110"/>
      <c r="H591" s="110"/>
      <c r="I591" s="110"/>
      <c r="J591" s="110"/>
      <c r="K591" s="110"/>
      <c r="L591" s="110"/>
      <c r="M591" s="110"/>
      <c r="N591" s="110"/>
      <c r="O591" s="110"/>
      <c r="P591" s="110"/>
    </row>
    <row r="592" spans="1:16" x14ac:dyDescent="0.2">
      <c r="A592" s="110"/>
      <c r="B592" s="110"/>
      <c r="C592" s="110"/>
      <c r="D592" s="110"/>
      <c r="E592" s="110"/>
      <c r="F592" s="110"/>
      <c r="G592" s="110"/>
      <c r="H592" s="110"/>
      <c r="I592" s="110"/>
      <c r="J592" s="110"/>
      <c r="K592" s="110"/>
      <c r="L592" s="110"/>
      <c r="M592" s="110"/>
      <c r="N592" s="110"/>
      <c r="O592" s="110"/>
      <c r="P592" s="110"/>
    </row>
    <row r="593" spans="1:16" x14ac:dyDescent="0.2">
      <c r="A593" s="110"/>
      <c r="B593" s="110"/>
      <c r="C593" s="110"/>
      <c r="D593" s="110"/>
      <c r="E593" s="110"/>
      <c r="F593" s="110"/>
      <c r="G593" s="110"/>
      <c r="H593" s="110"/>
      <c r="I593" s="110"/>
      <c r="J593" s="110"/>
      <c r="K593" s="110"/>
      <c r="L593" s="110"/>
      <c r="M593" s="110"/>
      <c r="N593" s="110"/>
      <c r="O593" s="110"/>
      <c r="P593" s="110"/>
    </row>
    <row r="594" spans="1:16" x14ac:dyDescent="0.2">
      <c r="A594" s="110"/>
      <c r="B594" s="110"/>
      <c r="C594" s="110"/>
      <c r="D594" s="110"/>
      <c r="E594" s="110"/>
      <c r="F594" s="110"/>
      <c r="G594" s="110"/>
      <c r="H594" s="110"/>
      <c r="I594" s="110"/>
      <c r="J594" s="110"/>
      <c r="K594" s="110"/>
      <c r="L594" s="110"/>
      <c r="M594" s="110"/>
      <c r="N594" s="110"/>
      <c r="O594" s="110"/>
      <c r="P594" s="110"/>
    </row>
    <row r="595" spans="1:16" x14ac:dyDescent="0.2">
      <c r="A595" s="110"/>
      <c r="B595" s="110"/>
      <c r="C595" s="110"/>
      <c r="D595" s="110"/>
      <c r="E595" s="110"/>
      <c r="F595" s="110"/>
      <c r="G595" s="110"/>
      <c r="H595" s="110"/>
      <c r="I595" s="110"/>
      <c r="J595" s="110"/>
      <c r="K595" s="110"/>
      <c r="L595" s="110"/>
      <c r="M595" s="110"/>
      <c r="N595" s="110"/>
      <c r="O595" s="110"/>
      <c r="P595" s="110"/>
    </row>
    <row r="596" spans="1:16" x14ac:dyDescent="0.2">
      <c r="A596" s="110"/>
      <c r="B596" s="110"/>
      <c r="C596" s="110"/>
      <c r="D596" s="110"/>
      <c r="E596" s="110"/>
      <c r="F596" s="110"/>
      <c r="G596" s="110"/>
      <c r="H596" s="110"/>
      <c r="I596" s="110"/>
      <c r="J596" s="110"/>
      <c r="K596" s="110"/>
      <c r="L596" s="110"/>
      <c r="M596" s="110"/>
      <c r="N596" s="110"/>
      <c r="O596" s="110"/>
      <c r="P596" s="110"/>
    </row>
    <row r="597" spans="1:16" x14ac:dyDescent="0.2">
      <c r="A597" s="110"/>
      <c r="B597" s="110"/>
      <c r="C597" s="110"/>
      <c r="D597" s="110"/>
      <c r="E597" s="110"/>
      <c r="F597" s="110"/>
      <c r="G597" s="110"/>
      <c r="H597" s="110"/>
      <c r="I597" s="110"/>
      <c r="J597" s="110"/>
      <c r="K597" s="110"/>
      <c r="L597" s="110"/>
      <c r="M597" s="110"/>
      <c r="N597" s="110"/>
      <c r="O597" s="110"/>
      <c r="P597" s="110"/>
    </row>
    <row r="598" spans="1:16" x14ac:dyDescent="0.2">
      <c r="A598" s="110"/>
      <c r="B598" s="110"/>
      <c r="C598" s="110"/>
      <c r="D598" s="110"/>
      <c r="E598" s="110"/>
      <c r="F598" s="110"/>
      <c r="G598" s="110"/>
      <c r="H598" s="110"/>
      <c r="I598" s="110"/>
      <c r="J598" s="110"/>
      <c r="K598" s="110"/>
      <c r="L598" s="110"/>
      <c r="M598" s="110"/>
      <c r="N598" s="110"/>
      <c r="O598" s="110"/>
      <c r="P598" s="110"/>
    </row>
    <row r="599" spans="1:16" x14ac:dyDescent="0.2">
      <c r="A599" s="110"/>
      <c r="B599" s="110"/>
      <c r="C599" s="110"/>
      <c r="D599" s="110"/>
      <c r="E599" s="110"/>
      <c r="F599" s="110"/>
      <c r="G599" s="110"/>
      <c r="H599" s="110"/>
      <c r="I599" s="110"/>
      <c r="J599" s="110"/>
      <c r="K599" s="110"/>
      <c r="L599" s="110"/>
      <c r="M599" s="110"/>
      <c r="N599" s="110"/>
      <c r="O599" s="110"/>
      <c r="P599" s="110"/>
    </row>
    <row r="600" spans="1:16" x14ac:dyDescent="0.2">
      <c r="A600" s="110"/>
      <c r="B600" s="110"/>
      <c r="C600" s="110"/>
      <c r="D600" s="110"/>
      <c r="E600" s="110"/>
      <c r="F600" s="110"/>
      <c r="G600" s="110"/>
      <c r="H600" s="110"/>
      <c r="I600" s="110"/>
      <c r="J600" s="110"/>
      <c r="K600" s="110"/>
      <c r="L600" s="110"/>
      <c r="M600" s="110"/>
      <c r="N600" s="110"/>
      <c r="O600" s="110"/>
      <c r="P600" s="110"/>
    </row>
    <row r="601" spans="1:16" x14ac:dyDescent="0.2">
      <c r="A601" s="110"/>
      <c r="B601" s="110"/>
      <c r="C601" s="110"/>
      <c r="D601" s="110"/>
      <c r="E601" s="110"/>
      <c r="F601" s="110"/>
      <c r="G601" s="110"/>
      <c r="H601" s="110"/>
      <c r="I601" s="110"/>
      <c r="J601" s="110"/>
      <c r="K601" s="110"/>
      <c r="L601" s="110"/>
      <c r="M601" s="110"/>
      <c r="N601" s="110"/>
      <c r="O601" s="110"/>
      <c r="P601" s="110"/>
    </row>
    <row r="602" spans="1:16" x14ac:dyDescent="0.2">
      <c r="A602" s="110"/>
      <c r="B602" s="110"/>
      <c r="C602" s="110"/>
      <c r="D602" s="110"/>
      <c r="E602" s="110"/>
      <c r="F602" s="110"/>
      <c r="G602" s="110"/>
      <c r="H602" s="110"/>
      <c r="I602" s="110"/>
      <c r="J602" s="110"/>
      <c r="K602" s="110"/>
      <c r="L602" s="110"/>
      <c r="M602" s="110"/>
      <c r="N602" s="110"/>
      <c r="O602" s="110"/>
      <c r="P602" s="110"/>
    </row>
    <row r="603" spans="1:16" x14ac:dyDescent="0.2">
      <c r="A603" s="110"/>
      <c r="B603" s="110"/>
      <c r="C603" s="110"/>
      <c r="D603" s="110"/>
      <c r="E603" s="110"/>
      <c r="F603" s="110"/>
      <c r="G603" s="110"/>
      <c r="H603" s="110"/>
      <c r="I603" s="110"/>
      <c r="J603" s="110"/>
      <c r="K603" s="110"/>
      <c r="L603" s="110"/>
      <c r="M603" s="110"/>
      <c r="N603" s="110"/>
      <c r="O603" s="110"/>
      <c r="P603" s="110"/>
    </row>
    <row r="604" spans="1:16" x14ac:dyDescent="0.2">
      <c r="A604" s="110"/>
      <c r="B604" s="110"/>
      <c r="C604" s="110"/>
      <c r="D604" s="110"/>
      <c r="E604" s="110"/>
      <c r="F604" s="110"/>
      <c r="G604" s="110"/>
      <c r="H604" s="110"/>
      <c r="I604" s="110"/>
      <c r="J604" s="110"/>
      <c r="K604" s="110"/>
      <c r="L604" s="110"/>
      <c r="M604" s="110"/>
      <c r="N604" s="110"/>
      <c r="O604" s="110"/>
      <c r="P604" s="110"/>
    </row>
    <row r="605" spans="1:16" x14ac:dyDescent="0.2">
      <c r="A605" s="110"/>
      <c r="B605" s="110"/>
      <c r="C605" s="110"/>
      <c r="D605" s="110"/>
      <c r="E605" s="110"/>
      <c r="F605" s="110"/>
      <c r="G605" s="110"/>
      <c r="H605" s="110"/>
      <c r="I605" s="110"/>
      <c r="J605" s="110"/>
      <c r="K605" s="110"/>
      <c r="L605" s="110"/>
      <c r="M605" s="110"/>
      <c r="N605" s="110"/>
      <c r="O605" s="110"/>
      <c r="P605" s="110"/>
    </row>
    <row r="606" spans="1:16" x14ac:dyDescent="0.2">
      <c r="A606" s="110"/>
      <c r="B606" s="110"/>
      <c r="C606" s="110"/>
      <c r="D606" s="110"/>
      <c r="E606" s="110"/>
      <c r="F606" s="110"/>
      <c r="G606" s="110"/>
      <c r="H606" s="110"/>
      <c r="I606" s="110"/>
      <c r="J606" s="110"/>
      <c r="K606" s="110"/>
      <c r="L606" s="110"/>
      <c r="M606" s="110"/>
      <c r="N606" s="110"/>
      <c r="O606" s="110"/>
      <c r="P606" s="110"/>
    </row>
    <row r="607" spans="1:16" x14ac:dyDescent="0.2">
      <c r="A607" s="110"/>
      <c r="B607" s="110"/>
      <c r="C607" s="110"/>
      <c r="D607" s="110"/>
      <c r="E607" s="110"/>
      <c r="F607" s="110"/>
      <c r="G607" s="110"/>
      <c r="H607" s="110"/>
      <c r="I607" s="110"/>
      <c r="J607" s="110"/>
      <c r="K607" s="110"/>
      <c r="L607" s="110"/>
      <c r="M607" s="110"/>
      <c r="N607" s="110"/>
      <c r="O607" s="110"/>
      <c r="P607" s="110"/>
    </row>
    <row r="608" spans="1:16" x14ac:dyDescent="0.2">
      <c r="A608" s="110"/>
      <c r="B608" s="110"/>
      <c r="C608" s="110"/>
      <c r="D608" s="110"/>
      <c r="E608" s="110"/>
      <c r="F608" s="110"/>
      <c r="G608" s="110"/>
      <c r="H608" s="110"/>
      <c r="I608" s="110"/>
      <c r="J608" s="110"/>
      <c r="K608" s="110"/>
      <c r="L608" s="110"/>
      <c r="M608" s="110"/>
      <c r="N608" s="110"/>
      <c r="O608" s="110"/>
      <c r="P608" s="110"/>
    </row>
    <row r="609" spans="1:16" x14ac:dyDescent="0.2">
      <c r="A609" s="110"/>
      <c r="B609" s="110"/>
      <c r="C609" s="110"/>
      <c r="D609" s="110"/>
      <c r="E609" s="110"/>
      <c r="F609" s="110"/>
      <c r="G609" s="110"/>
      <c r="H609" s="110"/>
      <c r="I609" s="110"/>
      <c r="J609" s="110"/>
      <c r="K609" s="110"/>
      <c r="L609" s="110"/>
      <c r="M609" s="110"/>
      <c r="N609" s="110"/>
      <c r="O609" s="110"/>
      <c r="P609" s="110"/>
    </row>
    <row r="610" spans="1:16" x14ac:dyDescent="0.2">
      <c r="A610" s="110"/>
      <c r="B610" s="110"/>
      <c r="C610" s="110"/>
      <c r="D610" s="110"/>
      <c r="E610" s="110"/>
      <c r="F610" s="110"/>
      <c r="G610" s="110"/>
      <c r="H610" s="110"/>
      <c r="I610" s="110"/>
      <c r="J610" s="110"/>
      <c r="K610" s="110"/>
      <c r="L610" s="110"/>
      <c r="M610" s="110"/>
      <c r="N610" s="110"/>
      <c r="O610" s="110"/>
      <c r="P610" s="110"/>
    </row>
    <row r="611" spans="1:16" x14ac:dyDescent="0.2">
      <c r="A611" s="110"/>
      <c r="B611" s="110"/>
      <c r="C611" s="110"/>
      <c r="D611" s="110"/>
      <c r="E611" s="110"/>
      <c r="F611" s="110"/>
      <c r="G611" s="110"/>
      <c r="H611" s="110"/>
      <c r="I611" s="110"/>
      <c r="J611" s="110"/>
      <c r="K611" s="110"/>
      <c r="L611" s="110"/>
      <c r="M611" s="110"/>
      <c r="N611" s="110"/>
      <c r="O611" s="110"/>
      <c r="P611" s="110"/>
    </row>
    <row r="612" spans="1:16" x14ac:dyDescent="0.2">
      <c r="A612" s="110"/>
      <c r="B612" s="110"/>
      <c r="C612" s="110"/>
      <c r="D612" s="110"/>
      <c r="E612" s="110"/>
      <c r="F612" s="110"/>
      <c r="G612" s="110"/>
      <c r="H612" s="110"/>
      <c r="I612" s="110"/>
      <c r="J612" s="110"/>
      <c r="K612" s="110"/>
      <c r="L612" s="110"/>
      <c r="M612" s="110"/>
      <c r="N612" s="110"/>
      <c r="O612" s="110"/>
      <c r="P612" s="110"/>
    </row>
    <row r="613" spans="1:16" x14ac:dyDescent="0.2">
      <c r="A613" s="110"/>
      <c r="B613" s="110"/>
      <c r="C613" s="110"/>
      <c r="D613" s="110"/>
      <c r="E613" s="110"/>
      <c r="F613" s="110"/>
      <c r="G613" s="110"/>
      <c r="H613" s="110"/>
      <c r="I613" s="110"/>
      <c r="J613" s="110"/>
      <c r="K613" s="110"/>
      <c r="L613" s="110"/>
      <c r="M613" s="110"/>
      <c r="N613" s="110"/>
      <c r="O613" s="110"/>
      <c r="P613" s="110"/>
    </row>
    <row r="614" spans="1:16" x14ac:dyDescent="0.2">
      <c r="A614" s="110"/>
      <c r="B614" s="110"/>
      <c r="C614" s="110"/>
      <c r="D614" s="110"/>
      <c r="E614" s="110"/>
      <c r="F614" s="110"/>
      <c r="G614" s="110"/>
      <c r="H614" s="110"/>
      <c r="I614" s="110"/>
      <c r="J614" s="110"/>
      <c r="K614" s="110"/>
      <c r="L614" s="110"/>
      <c r="M614" s="110"/>
      <c r="N614" s="110"/>
      <c r="O614" s="110"/>
      <c r="P614" s="110"/>
    </row>
    <row r="615" spans="1:16" x14ac:dyDescent="0.2">
      <c r="A615" s="110"/>
      <c r="B615" s="110"/>
      <c r="C615" s="110"/>
      <c r="D615" s="110"/>
      <c r="E615" s="110"/>
      <c r="F615" s="110"/>
      <c r="G615" s="110"/>
      <c r="H615" s="110"/>
      <c r="I615" s="110"/>
      <c r="J615" s="110"/>
      <c r="K615" s="110"/>
      <c r="L615" s="110"/>
      <c r="M615" s="110"/>
      <c r="N615" s="110"/>
      <c r="O615" s="110"/>
      <c r="P615" s="110"/>
    </row>
    <row r="616" spans="1:16" x14ac:dyDescent="0.2">
      <c r="A616" s="110"/>
      <c r="B616" s="110"/>
      <c r="C616" s="110"/>
      <c r="D616" s="110"/>
      <c r="E616" s="110"/>
      <c r="F616" s="110"/>
      <c r="G616" s="110"/>
      <c r="H616" s="110"/>
      <c r="I616" s="110"/>
      <c r="J616" s="110"/>
      <c r="K616" s="110"/>
      <c r="L616" s="110"/>
      <c r="M616" s="110"/>
      <c r="N616" s="110"/>
      <c r="O616" s="110"/>
      <c r="P616" s="110"/>
    </row>
    <row r="617" spans="1:16" x14ac:dyDescent="0.2">
      <c r="A617" s="110"/>
      <c r="B617" s="110"/>
      <c r="C617" s="110"/>
      <c r="D617" s="110"/>
      <c r="E617" s="110"/>
      <c r="F617" s="110"/>
      <c r="G617" s="110"/>
      <c r="H617" s="110"/>
      <c r="I617" s="110"/>
      <c r="J617" s="110"/>
      <c r="K617" s="110"/>
      <c r="L617" s="110"/>
      <c r="M617" s="110"/>
      <c r="N617" s="110"/>
      <c r="O617" s="110"/>
      <c r="P617" s="110"/>
    </row>
    <row r="618" spans="1:16" x14ac:dyDescent="0.2">
      <c r="A618" s="110"/>
      <c r="B618" s="110"/>
      <c r="C618" s="110"/>
      <c r="D618" s="110"/>
      <c r="E618" s="110"/>
      <c r="F618" s="110"/>
      <c r="G618" s="110"/>
      <c r="H618" s="110"/>
      <c r="I618" s="110"/>
      <c r="J618" s="110"/>
      <c r="K618" s="110"/>
      <c r="L618" s="110"/>
      <c r="M618" s="110"/>
      <c r="N618" s="110"/>
      <c r="O618" s="110"/>
      <c r="P618" s="110"/>
    </row>
    <row r="619" spans="1:16" x14ac:dyDescent="0.2">
      <c r="A619" s="110"/>
      <c r="B619" s="110"/>
      <c r="C619" s="110"/>
      <c r="D619" s="110"/>
      <c r="E619" s="110"/>
      <c r="F619" s="110"/>
      <c r="G619" s="110"/>
      <c r="H619" s="110"/>
      <c r="I619" s="110"/>
      <c r="J619" s="110"/>
      <c r="K619" s="110"/>
      <c r="L619" s="110"/>
      <c r="M619" s="110"/>
      <c r="N619" s="110"/>
      <c r="O619" s="110"/>
      <c r="P619" s="110"/>
    </row>
    <row r="620" spans="1:16" x14ac:dyDescent="0.2">
      <c r="A620" s="110"/>
      <c r="B620" s="110"/>
      <c r="C620" s="110"/>
      <c r="D620" s="110"/>
      <c r="E620" s="110"/>
      <c r="F620" s="110"/>
      <c r="G620" s="110"/>
      <c r="H620" s="110"/>
      <c r="I620" s="110"/>
      <c r="J620" s="110"/>
      <c r="K620" s="110"/>
      <c r="L620" s="110"/>
      <c r="M620" s="110"/>
      <c r="N620" s="110"/>
      <c r="O620" s="110"/>
      <c r="P620" s="110"/>
    </row>
    <row r="621" spans="1:16" x14ac:dyDescent="0.2">
      <c r="A621" s="110"/>
      <c r="B621" s="110"/>
      <c r="C621" s="110"/>
      <c r="D621" s="110"/>
      <c r="E621" s="110"/>
      <c r="F621" s="110"/>
      <c r="G621" s="110"/>
      <c r="H621" s="110"/>
      <c r="I621" s="110"/>
      <c r="J621" s="110"/>
      <c r="K621" s="110"/>
      <c r="L621" s="110"/>
      <c r="M621" s="110"/>
      <c r="N621" s="110"/>
      <c r="O621" s="110"/>
      <c r="P621" s="110"/>
    </row>
    <row r="622" spans="1:16" x14ac:dyDescent="0.2">
      <c r="A622" s="110"/>
      <c r="B622" s="110"/>
      <c r="C622" s="110"/>
      <c r="D622" s="110"/>
      <c r="E622" s="110"/>
      <c r="F622" s="110"/>
      <c r="G622" s="110"/>
      <c r="H622" s="110"/>
      <c r="I622" s="110"/>
      <c r="J622" s="110"/>
      <c r="K622" s="110"/>
      <c r="L622" s="110"/>
      <c r="M622" s="110"/>
      <c r="N622" s="110"/>
      <c r="O622" s="110"/>
      <c r="P622" s="110"/>
    </row>
    <row r="623" spans="1:16" x14ac:dyDescent="0.2">
      <c r="A623" s="110"/>
      <c r="B623" s="110"/>
      <c r="C623" s="110"/>
      <c r="D623" s="110"/>
      <c r="E623" s="110"/>
      <c r="F623" s="110"/>
      <c r="G623" s="110"/>
      <c r="H623" s="110"/>
      <c r="I623" s="110"/>
      <c r="J623" s="110"/>
      <c r="K623" s="110"/>
      <c r="L623" s="110"/>
      <c r="M623" s="110"/>
      <c r="N623" s="110"/>
      <c r="O623" s="110"/>
      <c r="P623" s="110"/>
    </row>
    <row r="624" spans="1:16" x14ac:dyDescent="0.2">
      <c r="A624" s="110"/>
      <c r="B624" s="110"/>
      <c r="C624" s="110"/>
      <c r="D624" s="110"/>
      <c r="E624" s="110"/>
      <c r="F624" s="110"/>
      <c r="G624" s="110"/>
      <c r="H624" s="110"/>
      <c r="I624" s="110"/>
      <c r="J624" s="110"/>
      <c r="K624" s="110"/>
      <c r="L624" s="110"/>
      <c r="M624" s="110"/>
      <c r="N624" s="110"/>
      <c r="O624" s="110"/>
      <c r="P624" s="110"/>
    </row>
    <row r="625" spans="1:16" x14ac:dyDescent="0.2">
      <c r="A625" s="110"/>
      <c r="B625" s="110"/>
      <c r="C625" s="110"/>
      <c r="D625" s="110"/>
      <c r="E625" s="110"/>
      <c r="F625" s="110"/>
      <c r="G625" s="110"/>
      <c r="H625" s="110"/>
      <c r="I625" s="110"/>
      <c r="J625" s="110"/>
      <c r="K625" s="110"/>
      <c r="L625" s="110"/>
      <c r="M625" s="110"/>
      <c r="N625" s="110"/>
      <c r="O625" s="110"/>
      <c r="P625" s="110"/>
    </row>
    <row r="626" spans="1:16" x14ac:dyDescent="0.2">
      <c r="A626" s="110"/>
      <c r="B626" s="110"/>
      <c r="C626" s="110"/>
      <c r="D626" s="110"/>
      <c r="E626" s="110"/>
      <c r="F626" s="110"/>
      <c r="G626" s="110"/>
      <c r="H626" s="110"/>
      <c r="I626" s="110"/>
      <c r="J626" s="110"/>
      <c r="K626" s="110"/>
      <c r="L626" s="110"/>
      <c r="M626" s="110"/>
      <c r="N626" s="110"/>
      <c r="O626" s="110"/>
      <c r="P626" s="110"/>
    </row>
    <row r="627" spans="1:16" x14ac:dyDescent="0.2">
      <c r="A627" s="110"/>
      <c r="B627" s="110"/>
      <c r="C627" s="110"/>
      <c r="D627" s="110"/>
      <c r="E627" s="110"/>
      <c r="F627" s="110"/>
      <c r="G627" s="110"/>
      <c r="H627" s="110"/>
      <c r="I627" s="110"/>
      <c r="J627" s="110"/>
      <c r="K627" s="110"/>
      <c r="L627" s="110"/>
      <c r="M627" s="110"/>
      <c r="N627" s="110"/>
      <c r="O627" s="110"/>
      <c r="P627" s="110"/>
    </row>
    <row r="628" spans="1:16" x14ac:dyDescent="0.2">
      <c r="A628" s="110"/>
      <c r="B628" s="110"/>
      <c r="C628" s="110"/>
      <c r="D628" s="110"/>
      <c r="E628" s="110"/>
      <c r="F628" s="110"/>
      <c r="G628" s="110"/>
      <c r="H628" s="110"/>
      <c r="I628" s="110"/>
      <c r="J628" s="110"/>
      <c r="K628" s="110"/>
      <c r="L628" s="110"/>
      <c r="M628" s="110"/>
      <c r="N628" s="110"/>
      <c r="O628" s="110"/>
      <c r="P628" s="110"/>
    </row>
    <row r="629" spans="1:16" x14ac:dyDescent="0.2">
      <c r="A629" s="110"/>
      <c r="B629" s="110"/>
      <c r="C629" s="110"/>
      <c r="D629" s="110"/>
      <c r="E629" s="110"/>
      <c r="F629" s="110"/>
      <c r="G629" s="110"/>
      <c r="H629" s="110"/>
      <c r="I629" s="110"/>
      <c r="J629" s="110"/>
      <c r="K629" s="110"/>
      <c r="L629" s="110"/>
      <c r="M629" s="110"/>
      <c r="N629" s="110"/>
      <c r="O629" s="110"/>
      <c r="P629" s="110"/>
    </row>
    <row r="630" spans="1:16" x14ac:dyDescent="0.2">
      <c r="A630" s="110"/>
      <c r="B630" s="110"/>
      <c r="C630" s="110"/>
      <c r="D630" s="110"/>
      <c r="E630" s="110"/>
      <c r="F630" s="110"/>
      <c r="G630" s="110"/>
      <c r="H630" s="110"/>
      <c r="I630" s="110"/>
      <c r="J630" s="110"/>
      <c r="K630" s="110"/>
      <c r="L630" s="110"/>
      <c r="M630" s="110"/>
      <c r="N630" s="110"/>
      <c r="O630" s="110"/>
      <c r="P630" s="110"/>
    </row>
    <row r="631" spans="1:16" x14ac:dyDescent="0.2">
      <c r="A631" s="110"/>
      <c r="B631" s="110"/>
      <c r="C631" s="110"/>
      <c r="D631" s="110"/>
      <c r="E631" s="110"/>
      <c r="F631" s="110"/>
      <c r="G631" s="110"/>
      <c r="H631" s="110"/>
      <c r="I631" s="110"/>
      <c r="J631" s="110"/>
      <c r="K631" s="110"/>
      <c r="L631" s="110"/>
      <c r="M631" s="110"/>
      <c r="N631" s="110"/>
      <c r="O631" s="110"/>
      <c r="P631" s="110"/>
    </row>
    <row r="632" spans="1:16" x14ac:dyDescent="0.2">
      <c r="A632" s="110"/>
      <c r="B632" s="110"/>
      <c r="C632" s="110"/>
      <c r="D632" s="110"/>
      <c r="E632" s="110"/>
      <c r="F632" s="110"/>
      <c r="G632" s="110"/>
      <c r="H632" s="110"/>
      <c r="I632" s="110"/>
      <c r="J632" s="110"/>
      <c r="K632" s="110"/>
      <c r="L632" s="110"/>
      <c r="M632" s="110"/>
      <c r="N632" s="110"/>
      <c r="O632" s="110"/>
      <c r="P632" s="110"/>
    </row>
    <row r="633" spans="1:16" x14ac:dyDescent="0.2">
      <c r="A633" s="110"/>
      <c r="B633" s="110"/>
      <c r="C633" s="110"/>
      <c r="D633" s="110"/>
      <c r="E633" s="110"/>
      <c r="F633" s="110"/>
      <c r="G633" s="110"/>
      <c r="H633" s="110"/>
      <c r="I633" s="110"/>
      <c r="J633" s="110"/>
      <c r="K633" s="110"/>
      <c r="L633" s="110"/>
      <c r="M633" s="110"/>
      <c r="N633" s="110"/>
      <c r="O633" s="110"/>
      <c r="P633" s="110"/>
    </row>
    <row r="634" spans="1:16" x14ac:dyDescent="0.2">
      <c r="A634" s="110"/>
      <c r="B634" s="110"/>
      <c r="C634" s="110"/>
      <c r="D634" s="110"/>
      <c r="E634" s="110"/>
      <c r="F634" s="110"/>
      <c r="G634" s="110"/>
      <c r="H634" s="110"/>
      <c r="I634" s="110"/>
      <c r="J634" s="110"/>
      <c r="K634" s="110"/>
      <c r="L634" s="110"/>
      <c r="M634" s="110"/>
      <c r="N634" s="110"/>
      <c r="O634" s="110"/>
      <c r="P634" s="110"/>
    </row>
    <row r="635" spans="1:16" x14ac:dyDescent="0.2">
      <c r="A635" s="110"/>
      <c r="B635" s="110"/>
      <c r="C635" s="110"/>
      <c r="D635" s="110"/>
      <c r="E635" s="110"/>
      <c r="F635" s="110"/>
      <c r="G635" s="110"/>
      <c r="H635" s="110"/>
      <c r="I635" s="110"/>
      <c r="J635" s="110"/>
      <c r="K635" s="110"/>
      <c r="L635" s="110"/>
      <c r="M635" s="110"/>
      <c r="N635" s="110"/>
      <c r="O635" s="110"/>
      <c r="P635" s="110"/>
    </row>
    <row r="636" spans="1:16" x14ac:dyDescent="0.2">
      <c r="A636" s="110"/>
      <c r="B636" s="110"/>
      <c r="C636" s="110"/>
      <c r="D636" s="110"/>
      <c r="E636" s="110"/>
      <c r="F636" s="110"/>
      <c r="G636" s="110"/>
      <c r="H636" s="110"/>
      <c r="I636" s="110"/>
      <c r="J636" s="110"/>
      <c r="K636" s="110"/>
      <c r="L636" s="110"/>
      <c r="M636" s="110"/>
      <c r="N636" s="110"/>
      <c r="O636" s="110"/>
      <c r="P636" s="110"/>
    </row>
    <row r="637" spans="1:16" x14ac:dyDescent="0.2">
      <c r="A637" s="110"/>
      <c r="B637" s="110"/>
      <c r="C637" s="110"/>
      <c r="D637" s="110"/>
      <c r="E637" s="110"/>
      <c r="F637" s="110"/>
      <c r="G637" s="110"/>
      <c r="H637" s="110"/>
      <c r="I637" s="110"/>
      <c r="J637" s="110"/>
      <c r="K637" s="110"/>
      <c r="L637" s="110"/>
      <c r="M637" s="110"/>
      <c r="N637" s="110"/>
      <c r="O637" s="110"/>
      <c r="P637" s="110"/>
    </row>
    <row r="638" spans="1:16" x14ac:dyDescent="0.2">
      <c r="A638" s="110"/>
      <c r="B638" s="110"/>
      <c r="C638" s="110"/>
      <c r="D638" s="110"/>
      <c r="E638" s="110"/>
      <c r="F638" s="110"/>
      <c r="G638" s="110"/>
      <c r="H638" s="110"/>
      <c r="I638" s="110"/>
      <c r="J638" s="110"/>
      <c r="K638" s="110"/>
      <c r="L638" s="110"/>
      <c r="M638" s="110"/>
      <c r="N638" s="110"/>
      <c r="O638" s="110"/>
      <c r="P638" s="110"/>
    </row>
    <row r="639" spans="1:16" x14ac:dyDescent="0.2">
      <c r="A639" s="110"/>
      <c r="B639" s="110"/>
      <c r="C639" s="110"/>
      <c r="D639" s="110"/>
      <c r="E639" s="110"/>
      <c r="F639" s="110"/>
      <c r="G639" s="110"/>
      <c r="H639" s="110"/>
      <c r="I639" s="110"/>
      <c r="J639" s="110"/>
      <c r="K639" s="110"/>
      <c r="L639" s="110"/>
      <c r="M639" s="110"/>
      <c r="N639" s="110"/>
      <c r="O639" s="110"/>
      <c r="P639" s="110"/>
    </row>
    <row r="640" spans="1:16" x14ac:dyDescent="0.2">
      <c r="A640" s="110"/>
      <c r="B640" s="110"/>
      <c r="C640" s="110"/>
      <c r="D640" s="110"/>
      <c r="E640" s="110"/>
      <c r="F640" s="110"/>
      <c r="G640" s="110"/>
      <c r="H640" s="110"/>
      <c r="I640" s="110"/>
      <c r="J640" s="110"/>
      <c r="K640" s="110"/>
      <c r="L640" s="110"/>
      <c r="M640" s="110"/>
      <c r="N640" s="110"/>
      <c r="O640" s="110"/>
      <c r="P640" s="110"/>
    </row>
    <row r="641" spans="1:16" x14ac:dyDescent="0.2">
      <c r="A641" s="110"/>
      <c r="B641" s="110"/>
      <c r="C641" s="110"/>
      <c r="D641" s="110"/>
      <c r="E641" s="110"/>
      <c r="F641" s="110"/>
      <c r="G641" s="110"/>
      <c r="H641" s="110"/>
      <c r="I641" s="110"/>
      <c r="J641" s="110"/>
      <c r="K641" s="110"/>
      <c r="L641" s="110"/>
      <c r="M641" s="110"/>
      <c r="N641" s="110"/>
      <c r="O641" s="110"/>
      <c r="P641" s="110"/>
    </row>
    <row r="642" spans="1:16" x14ac:dyDescent="0.2">
      <c r="A642" s="110"/>
      <c r="B642" s="110"/>
      <c r="C642" s="110"/>
      <c r="D642" s="110"/>
      <c r="E642" s="110"/>
      <c r="F642" s="110"/>
      <c r="G642" s="110"/>
      <c r="H642" s="110"/>
      <c r="I642" s="110"/>
      <c r="J642" s="110"/>
      <c r="K642" s="110"/>
      <c r="L642" s="110"/>
      <c r="M642" s="110"/>
      <c r="N642" s="110"/>
      <c r="O642" s="110"/>
      <c r="P642" s="110"/>
    </row>
    <row r="643" spans="1:16" x14ac:dyDescent="0.2">
      <c r="A643" s="110"/>
      <c r="B643" s="110"/>
      <c r="C643" s="110"/>
      <c r="D643" s="110"/>
      <c r="E643" s="110"/>
      <c r="F643" s="110"/>
      <c r="G643" s="110"/>
      <c r="H643" s="110"/>
      <c r="I643" s="110"/>
      <c r="J643" s="110"/>
      <c r="K643" s="110"/>
      <c r="L643" s="110"/>
      <c r="M643" s="110"/>
      <c r="N643" s="110"/>
      <c r="O643" s="110"/>
      <c r="P643" s="110"/>
    </row>
    <row r="644" spans="1:16" x14ac:dyDescent="0.2">
      <c r="A644" s="110"/>
      <c r="B644" s="110"/>
      <c r="C644" s="110"/>
      <c r="D644" s="110"/>
      <c r="E644" s="110"/>
      <c r="F644" s="110"/>
      <c r="G644" s="110"/>
      <c r="H644" s="110"/>
      <c r="I644" s="110"/>
      <c r="J644" s="110"/>
      <c r="K644" s="110"/>
      <c r="L644" s="110"/>
      <c r="M644" s="110"/>
      <c r="N644" s="110"/>
      <c r="O644" s="110"/>
      <c r="P644" s="110"/>
    </row>
    <row r="645" spans="1:16" x14ac:dyDescent="0.2">
      <c r="A645" s="110"/>
      <c r="B645" s="110"/>
      <c r="C645" s="110"/>
      <c r="D645" s="110"/>
      <c r="E645" s="110"/>
      <c r="F645" s="110"/>
      <c r="G645" s="110"/>
      <c r="H645" s="110"/>
      <c r="I645" s="110"/>
      <c r="J645" s="110"/>
      <c r="K645" s="110"/>
      <c r="L645" s="110"/>
      <c r="M645" s="110"/>
      <c r="N645" s="110"/>
      <c r="O645" s="110"/>
      <c r="P645" s="110"/>
    </row>
    <row r="646" spans="1:16" x14ac:dyDescent="0.2">
      <c r="A646" s="110"/>
      <c r="B646" s="110"/>
      <c r="C646" s="110"/>
      <c r="D646" s="110"/>
      <c r="E646" s="110"/>
      <c r="F646" s="110"/>
      <c r="G646" s="110"/>
      <c r="H646" s="110"/>
      <c r="I646" s="110"/>
      <c r="J646" s="110"/>
      <c r="K646" s="110"/>
      <c r="L646" s="110"/>
      <c r="M646" s="110"/>
      <c r="N646" s="110"/>
      <c r="O646" s="110"/>
      <c r="P646" s="110"/>
    </row>
    <row r="647" spans="1:16" x14ac:dyDescent="0.2">
      <c r="A647" s="110"/>
      <c r="B647" s="110"/>
      <c r="C647" s="110"/>
      <c r="D647" s="110"/>
      <c r="E647" s="110"/>
      <c r="F647" s="110"/>
      <c r="G647" s="110"/>
      <c r="H647" s="110"/>
      <c r="I647" s="110"/>
      <c r="J647" s="110"/>
      <c r="K647" s="110"/>
      <c r="L647" s="110"/>
      <c r="M647" s="110"/>
      <c r="N647" s="110"/>
      <c r="O647" s="110"/>
      <c r="P647" s="110"/>
    </row>
    <row r="648" spans="1:16" x14ac:dyDescent="0.2">
      <c r="A648" s="110"/>
      <c r="B648" s="110"/>
      <c r="C648" s="110"/>
      <c r="D648" s="110"/>
      <c r="E648" s="110"/>
      <c r="F648" s="110"/>
      <c r="G648" s="110"/>
      <c r="H648" s="110"/>
      <c r="I648" s="110"/>
      <c r="J648" s="110"/>
      <c r="K648" s="110"/>
      <c r="L648" s="110"/>
      <c r="M648" s="110"/>
      <c r="N648" s="110"/>
      <c r="O648" s="110"/>
      <c r="P648" s="110"/>
    </row>
    <row r="649" spans="1:16" x14ac:dyDescent="0.2">
      <c r="A649" s="110"/>
      <c r="B649" s="110"/>
      <c r="C649" s="110"/>
      <c r="D649" s="110"/>
      <c r="E649" s="110"/>
      <c r="F649" s="110"/>
      <c r="G649" s="110"/>
      <c r="H649" s="110"/>
      <c r="I649" s="110"/>
      <c r="J649" s="110"/>
      <c r="K649" s="110"/>
      <c r="L649" s="110"/>
      <c r="M649" s="110"/>
      <c r="N649" s="110"/>
      <c r="O649" s="110"/>
      <c r="P649" s="110"/>
    </row>
    <row r="650" spans="1:16" x14ac:dyDescent="0.2">
      <c r="A650" s="110"/>
      <c r="B650" s="110"/>
      <c r="C650" s="110"/>
      <c r="D650" s="110"/>
      <c r="E650" s="110"/>
      <c r="F650" s="110"/>
      <c r="G650" s="110"/>
      <c r="H650" s="110"/>
      <c r="I650" s="110"/>
      <c r="J650" s="110"/>
      <c r="K650" s="110"/>
      <c r="L650" s="110"/>
      <c r="M650" s="110"/>
      <c r="N650" s="110"/>
      <c r="O650" s="110"/>
      <c r="P650" s="110"/>
    </row>
    <row r="651" spans="1:16" x14ac:dyDescent="0.2">
      <c r="A651" s="110"/>
      <c r="B651" s="110"/>
      <c r="C651" s="110"/>
      <c r="D651" s="110"/>
      <c r="E651" s="110"/>
      <c r="F651" s="110"/>
      <c r="G651" s="110"/>
      <c r="H651" s="110"/>
      <c r="I651" s="110"/>
      <c r="J651" s="110"/>
      <c r="K651" s="110"/>
      <c r="L651" s="110"/>
      <c r="M651" s="110"/>
      <c r="N651" s="110"/>
      <c r="O651" s="110"/>
      <c r="P651" s="110"/>
    </row>
    <row r="652" spans="1:16" x14ac:dyDescent="0.2">
      <c r="A652" s="110"/>
      <c r="B652" s="110"/>
      <c r="C652" s="110"/>
      <c r="D652" s="110"/>
      <c r="E652" s="110"/>
      <c r="F652" s="110"/>
      <c r="G652" s="110"/>
      <c r="H652" s="110"/>
      <c r="I652" s="110"/>
      <c r="J652" s="110"/>
      <c r="K652" s="110"/>
      <c r="L652" s="110"/>
      <c r="M652" s="110"/>
      <c r="N652" s="110"/>
      <c r="O652" s="110"/>
      <c r="P652" s="110"/>
    </row>
    <row r="653" spans="1:16" x14ac:dyDescent="0.2">
      <c r="A653" s="110"/>
      <c r="B653" s="110"/>
      <c r="C653" s="110"/>
      <c r="D653" s="110"/>
      <c r="E653" s="110"/>
      <c r="F653" s="110"/>
      <c r="G653" s="110"/>
      <c r="H653" s="110"/>
      <c r="I653" s="110"/>
      <c r="J653" s="110"/>
      <c r="K653" s="110"/>
      <c r="L653" s="110"/>
      <c r="M653" s="110"/>
      <c r="N653" s="110"/>
      <c r="O653" s="110"/>
      <c r="P653" s="110"/>
    </row>
    <row r="654" spans="1:16" x14ac:dyDescent="0.2">
      <c r="A654" s="110"/>
      <c r="B654" s="110"/>
      <c r="C654" s="110"/>
      <c r="D654" s="110"/>
      <c r="E654" s="110"/>
      <c r="F654" s="110"/>
      <c r="G654" s="110"/>
      <c r="H654" s="110"/>
      <c r="I654" s="110"/>
      <c r="J654" s="110"/>
      <c r="K654" s="110"/>
      <c r="L654" s="110"/>
      <c r="M654" s="110"/>
      <c r="N654" s="110"/>
      <c r="O654" s="110"/>
      <c r="P654" s="110"/>
    </row>
    <row r="655" spans="1:16" x14ac:dyDescent="0.2">
      <c r="A655" s="110"/>
      <c r="B655" s="110"/>
      <c r="C655" s="110"/>
      <c r="D655" s="110"/>
      <c r="E655" s="110"/>
      <c r="F655" s="110"/>
      <c r="G655" s="110"/>
      <c r="H655" s="110"/>
      <c r="I655" s="110"/>
      <c r="J655" s="110"/>
      <c r="K655" s="110"/>
      <c r="L655" s="110"/>
      <c r="M655" s="110"/>
      <c r="N655" s="110"/>
      <c r="O655" s="110"/>
      <c r="P655" s="110"/>
    </row>
    <row r="656" spans="1:16" x14ac:dyDescent="0.2">
      <c r="A656" s="110"/>
      <c r="B656" s="110"/>
      <c r="C656" s="110"/>
      <c r="D656" s="110"/>
      <c r="E656" s="110"/>
      <c r="F656" s="110"/>
      <c r="G656" s="110"/>
      <c r="H656" s="110"/>
      <c r="I656" s="110"/>
      <c r="J656" s="110"/>
      <c r="K656" s="110"/>
      <c r="L656" s="110"/>
      <c r="M656" s="110"/>
      <c r="N656" s="110"/>
      <c r="O656" s="110"/>
      <c r="P656" s="110"/>
    </row>
    <row r="657" spans="1:16" x14ac:dyDescent="0.2">
      <c r="A657" s="110"/>
      <c r="B657" s="110"/>
      <c r="C657" s="110"/>
      <c r="D657" s="110"/>
      <c r="E657" s="110"/>
      <c r="F657" s="110"/>
      <c r="G657" s="110"/>
      <c r="H657" s="110"/>
      <c r="I657" s="110"/>
      <c r="J657" s="110"/>
      <c r="K657" s="110"/>
      <c r="L657" s="110"/>
      <c r="M657" s="110"/>
      <c r="N657" s="110"/>
      <c r="O657" s="110"/>
      <c r="P657" s="110"/>
    </row>
    <row r="658" spans="1:16" x14ac:dyDescent="0.2">
      <c r="A658" s="110"/>
      <c r="B658" s="110"/>
      <c r="C658" s="110"/>
      <c r="D658" s="110"/>
      <c r="E658" s="110"/>
      <c r="F658" s="110"/>
      <c r="G658" s="110"/>
      <c r="H658" s="110"/>
      <c r="I658" s="110"/>
      <c r="J658" s="110"/>
      <c r="K658" s="110"/>
      <c r="L658" s="110"/>
      <c r="M658" s="110"/>
      <c r="N658" s="110"/>
      <c r="O658" s="110"/>
      <c r="P658" s="110"/>
    </row>
    <row r="659" spans="1:16" x14ac:dyDescent="0.2">
      <c r="A659" s="110"/>
      <c r="B659" s="110"/>
      <c r="C659" s="110"/>
      <c r="D659" s="110"/>
      <c r="E659" s="110"/>
      <c r="F659" s="110"/>
      <c r="G659" s="110"/>
      <c r="H659" s="110"/>
      <c r="I659" s="110"/>
      <c r="J659" s="110"/>
      <c r="K659" s="110"/>
      <c r="L659" s="110"/>
      <c r="M659" s="110"/>
      <c r="N659" s="110"/>
      <c r="O659" s="110"/>
      <c r="P659" s="110"/>
    </row>
    <row r="660" spans="1:16" x14ac:dyDescent="0.2">
      <c r="A660" s="110"/>
      <c r="B660" s="110"/>
      <c r="C660" s="110"/>
      <c r="D660" s="110"/>
      <c r="E660" s="110"/>
      <c r="F660" s="110"/>
      <c r="G660" s="110"/>
      <c r="H660" s="110"/>
      <c r="I660" s="110"/>
      <c r="J660" s="110"/>
      <c r="K660" s="110"/>
      <c r="L660" s="110"/>
      <c r="M660" s="110"/>
      <c r="N660" s="110"/>
      <c r="O660" s="110"/>
      <c r="P660" s="110"/>
    </row>
    <row r="661" spans="1:16" x14ac:dyDescent="0.2">
      <c r="A661" s="110"/>
      <c r="B661" s="110"/>
      <c r="C661" s="110"/>
      <c r="D661" s="110"/>
      <c r="E661" s="110"/>
      <c r="F661" s="110"/>
      <c r="G661" s="110"/>
      <c r="H661" s="110"/>
      <c r="I661" s="110"/>
      <c r="J661" s="110"/>
      <c r="K661" s="110"/>
      <c r="L661" s="110"/>
      <c r="M661" s="110"/>
      <c r="N661" s="110"/>
      <c r="O661" s="110"/>
      <c r="P661" s="110"/>
    </row>
    <row r="662" spans="1:16" x14ac:dyDescent="0.2">
      <c r="A662" s="110"/>
      <c r="B662" s="110"/>
      <c r="C662" s="110"/>
      <c r="D662" s="110"/>
      <c r="E662" s="110"/>
      <c r="F662" s="110"/>
      <c r="G662" s="110"/>
      <c r="H662" s="110"/>
      <c r="I662" s="110"/>
      <c r="J662" s="110"/>
      <c r="K662" s="110"/>
      <c r="L662" s="110"/>
      <c r="M662" s="110"/>
      <c r="N662" s="110"/>
      <c r="O662" s="110"/>
      <c r="P662" s="110"/>
    </row>
    <row r="663" spans="1:16" x14ac:dyDescent="0.2">
      <c r="A663" s="110"/>
      <c r="B663" s="110"/>
      <c r="C663" s="110"/>
      <c r="D663" s="110"/>
      <c r="E663" s="110"/>
      <c r="F663" s="110"/>
      <c r="G663" s="110"/>
      <c r="H663" s="110"/>
      <c r="I663" s="110"/>
      <c r="J663" s="110"/>
      <c r="K663" s="110"/>
      <c r="L663" s="110"/>
      <c r="M663" s="110"/>
      <c r="N663" s="110"/>
      <c r="O663" s="110"/>
      <c r="P663" s="110"/>
    </row>
    <row r="664" spans="1:16" x14ac:dyDescent="0.2">
      <c r="A664" s="110"/>
      <c r="B664" s="110"/>
      <c r="C664" s="110"/>
      <c r="D664" s="110"/>
      <c r="E664" s="110"/>
      <c r="F664" s="110"/>
      <c r="G664" s="110"/>
      <c r="H664" s="110"/>
      <c r="I664" s="110"/>
      <c r="J664" s="110"/>
      <c r="K664" s="110"/>
      <c r="L664" s="110"/>
      <c r="M664" s="110"/>
      <c r="N664" s="110"/>
      <c r="O664" s="110"/>
      <c r="P664" s="110"/>
    </row>
    <row r="665" spans="1:16" x14ac:dyDescent="0.2">
      <c r="A665" s="110"/>
      <c r="B665" s="110"/>
      <c r="C665" s="110"/>
      <c r="D665" s="110"/>
      <c r="E665" s="110"/>
      <c r="F665" s="110"/>
      <c r="G665" s="110"/>
      <c r="H665" s="110"/>
      <c r="I665" s="110"/>
      <c r="J665" s="110"/>
      <c r="K665" s="110"/>
      <c r="L665" s="110"/>
      <c r="M665" s="110"/>
      <c r="N665" s="110"/>
      <c r="O665" s="110"/>
      <c r="P665" s="110"/>
    </row>
    <row r="666" spans="1:16" x14ac:dyDescent="0.2">
      <c r="A666" s="110"/>
      <c r="B666" s="110"/>
      <c r="C666" s="110"/>
      <c r="D666" s="110"/>
      <c r="E666" s="110"/>
      <c r="F666" s="110"/>
      <c r="G666" s="110"/>
      <c r="H666" s="110"/>
      <c r="I666" s="110"/>
      <c r="J666" s="110"/>
      <c r="K666" s="110"/>
      <c r="L666" s="110"/>
      <c r="M666" s="110"/>
      <c r="N666" s="110"/>
      <c r="O666" s="110"/>
      <c r="P666" s="110"/>
    </row>
    <row r="667" spans="1:16" x14ac:dyDescent="0.2">
      <c r="A667" s="110"/>
      <c r="B667" s="110"/>
      <c r="C667" s="110"/>
      <c r="D667" s="110"/>
      <c r="E667" s="110"/>
      <c r="F667" s="110"/>
      <c r="G667" s="110"/>
      <c r="H667" s="110"/>
      <c r="I667" s="110"/>
      <c r="J667" s="110"/>
      <c r="K667" s="110"/>
      <c r="L667" s="110"/>
      <c r="M667" s="110"/>
      <c r="N667" s="110"/>
      <c r="O667" s="110"/>
      <c r="P667" s="110"/>
    </row>
    <row r="668" spans="1:16" x14ac:dyDescent="0.2">
      <c r="A668" s="110"/>
      <c r="B668" s="110"/>
      <c r="C668" s="110"/>
      <c r="D668" s="110"/>
      <c r="E668" s="110"/>
      <c r="F668" s="110"/>
      <c r="G668" s="110"/>
      <c r="H668" s="110"/>
      <c r="I668" s="110"/>
      <c r="J668" s="110"/>
      <c r="K668" s="110"/>
      <c r="L668" s="110"/>
      <c r="M668" s="110"/>
      <c r="N668" s="110"/>
      <c r="O668" s="110"/>
      <c r="P668" s="110"/>
    </row>
    <row r="669" spans="1:16" x14ac:dyDescent="0.2">
      <c r="A669" s="110"/>
      <c r="B669" s="110"/>
      <c r="C669" s="110"/>
      <c r="D669" s="110"/>
      <c r="E669" s="110"/>
      <c r="F669" s="110"/>
      <c r="G669" s="110"/>
      <c r="H669" s="110"/>
      <c r="I669" s="110"/>
      <c r="J669" s="110"/>
      <c r="K669" s="110"/>
      <c r="L669" s="110"/>
      <c r="M669" s="110"/>
      <c r="N669" s="110"/>
      <c r="O669" s="110"/>
      <c r="P669" s="110"/>
    </row>
    <row r="670" spans="1:16" x14ac:dyDescent="0.2">
      <c r="A670" s="110"/>
      <c r="B670" s="110"/>
      <c r="C670" s="110"/>
      <c r="D670" s="110"/>
      <c r="E670" s="110"/>
      <c r="F670" s="110"/>
      <c r="G670" s="110"/>
      <c r="H670" s="110"/>
      <c r="I670" s="110"/>
      <c r="J670" s="110"/>
      <c r="K670" s="110"/>
      <c r="L670" s="110"/>
      <c r="M670" s="110"/>
      <c r="N670" s="110"/>
      <c r="O670" s="110"/>
      <c r="P670" s="110"/>
    </row>
    <row r="671" spans="1:16" x14ac:dyDescent="0.2">
      <c r="A671" s="110"/>
      <c r="B671" s="110"/>
      <c r="C671" s="110"/>
      <c r="D671" s="110"/>
      <c r="E671" s="110"/>
      <c r="F671" s="110"/>
      <c r="G671" s="110"/>
      <c r="H671" s="110"/>
      <c r="I671" s="110"/>
      <c r="J671" s="110"/>
      <c r="K671" s="110"/>
      <c r="L671" s="110"/>
      <c r="M671" s="110"/>
      <c r="N671" s="110"/>
      <c r="O671" s="110"/>
      <c r="P671" s="110"/>
    </row>
    <row r="672" spans="1:16" x14ac:dyDescent="0.2">
      <c r="A672" s="110"/>
      <c r="B672" s="110"/>
      <c r="C672" s="110"/>
      <c r="D672" s="110"/>
      <c r="E672" s="110"/>
      <c r="F672" s="110"/>
      <c r="G672" s="110"/>
      <c r="H672" s="110"/>
      <c r="I672" s="110"/>
      <c r="J672" s="110"/>
      <c r="K672" s="110"/>
      <c r="L672" s="110"/>
      <c r="M672" s="110"/>
      <c r="N672" s="110"/>
      <c r="O672" s="110"/>
      <c r="P672" s="110"/>
    </row>
    <row r="673" spans="1:16" x14ac:dyDescent="0.2">
      <c r="A673" s="110"/>
      <c r="B673" s="110"/>
      <c r="C673" s="110"/>
      <c r="D673" s="110"/>
      <c r="E673" s="110"/>
      <c r="F673" s="110"/>
      <c r="G673" s="110"/>
      <c r="H673" s="110"/>
      <c r="I673" s="110"/>
      <c r="J673" s="110"/>
      <c r="K673" s="110"/>
      <c r="L673" s="110"/>
      <c r="M673" s="110"/>
      <c r="N673" s="110"/>
      <c r="O673" s="110"/>
      <c r="P673" s="110"/>
    </row>
    <row r="674" spans="1:16" x14ac:dyDescent="0.2">
      <c r="A674" s="110"/>
      <c r="B674" s="110"/>
      <c r="C674" s="110"/>
      <c r="D674" s="110"/>
      <c r="E674" s="110"/>
      <c r="F674" s="110"/>
      <c r="G674" s="110"/>
      <c r="H674" s="110"/>
      <c r="I674" s="110"/>
      <c r="J674" s="110"/>
      <c r="K674" s="110"/>
      <c r="L674" s="110"/>
      <c r="M674" s="110"/>
      <c r="N674" s="110"/>
      <c r="O674" s="110"/>
      <c r="P674" s="110"/>
    </row>
    <row r="675" spans="1:16" x14ac:dyDescent="0.2">
      <c r="A675" s="110"/>
      <c r="B675" s="110"/>
      <c r="C675" s="110"/>
      <c r="D675" s="110"/>
      <c r="E675" s="110"/>
      <c r="F675" s="110"/>
      <c r="G675" s="110"/>
      <c r="H675" s="110"/>
      <c r="I675" s="110"/>
      <c r="J675" s="110"/>
      <c r="K675" s="110"/>
      <c r="L675" s="110"/>
      <c r="M675" s="110"/>
      <c r="N675" s="110"/>
      <c r="O675" s="110"/>
      <c r="P675" s="110"/>
    </row>
    <row r="676" spans="1:16" x14ac:dyDescent="0.2">
      <c r="A676" s="110"/>
      <c r="B676" s="110"/>
      <c r="C676" s="110"/>
      <c r="D676" s="110"/>
      <c r="E676" s="110"/>
      <c r="F676" s="110"/>
      <c r="G676" s="110"/>
      <c r="H676" s="110"/>
      <c r="I676" s="110"/>
      <c r="J676" s="110"/>
      <c r="K676" s="110"/>
      <c r="L676" s="110"/>
      <c r="M676" s="110"/>
      <c r="N676" s="110"/>
      <c r="O676" s="110"/>
      <c r="P676" s="110"/>
    </row>
    <row r="677" spans="1:16" x14ac:dyDescent="0.2">
      <c r="A677" s="110"/>
      <c r="B677" s="110"/>
      <c r="C677" s="110"/>
      <c r="D677" s="110"/>
      <c r="E677" s="110"/>
      <c r="F677" s="110"/>
      <c r="G677" s="110"/>
      <c r="H677" s="110"/>
      <c r="I677" s="110"/>
      <c r="J677" s="110"/>
      <c r="K677" s="110"/>
      <c r="L677" s="110"/>
      <c r="M677" s="110"/>
      <c r="N677" s="110"/>
      <c r="O677" s="110"/>
      <c r="P677" s="110"/>
    </row>
    <row r="678" spans="1:16" x14ac:dyDescent="0.2">
      <c r="A678" s="110"/>
      <c r="B678" s="110"/>
      <c r="C678" s="110"/>
      <c r="D678" s="110"/>
      <c r="E678" s="110"/>
      <c r="F678" s="110"/>
      <c r="G678" s="110"/>
      <c r="H678" s="110"/>
      <c r="I678" s="110"/>
      <c r="J678" s="110"/>
      <c r="K678" s="110"/>
      <c r="L678" s="110"/>
      <c r="M678" s="110"/>
      <c r="N678" s="110"/>
      <c r="O678" s="110"/>
      <c r="P678" s="110"/>
    </row>
    <row r="679" spans="1:16" x14ac:dyDescent="0.2">
      <c r="A679" s="110"/>
      <c r="B679" s="110"/>
      <c r="C679" s="110"/>
      <c r="D679" s="110"/>
      <c r="E679" s="110"/>
      <c r="F679" s="110"/>
      <c r="G679" s="110"/>
      <c r="H679" s="110"/>
      <c r="I679" s="110"/>
      <c r="J679" s="110"/>
      <c r="K679" s="110"/>
      <c r="L679" s="110"/>
      <c r="M679" s="110"/>
      <c r="N679" s="110"/>
      <c r="O679" s="110"/>
      <c r="P679" s="110"/>
    </row>
    <row r="680" spans="1:16" x14ac:dyDescent="0.2">
      <c r="A680" s="110"/>
      <c r="B680" s="110"/>
      <c r="C680" s="110"/>
      <c r="D680" s="110"/>
      <c r="E680" s="110"/>
      <c r="F680" s="110"/>
      <c r="G680" s="110"/>
      <c r="H680" s="110"/>
      <c r="I680" s="110"/>
      <c r="J680" s="110"/>
      <c r="K680" s="110"/>
      <c r="L680" s="110"/>
      <c r="M680" s="110"/>
      <c r="N680" s="110"/>
      <c r="O680" s="110"/>
      <c r="P680" s="110"/>
    </row>
    <row r="681" spans="1:16" x14ac:dyDescent="0.2">
      <c r="A681" s="110"/>
      <c r="B681" s="110"/>
      <c r="C681" s="110"/>
      <c r="D681" s="110"/>
      <c r="E681" s="110"/>
      <c r="F681" s="110"/>
      <c r="G681" s="110"/>
      <c r="H681" s="110"/>
      <c r="I681" s="110"/>
      <c r="J681" s="110"/>
      <c r="K681" s="110"/>
      <c r="L681" s="110"/>
      <c r="M681" s="110"/>
      <c r="N681" s="110"/>
      <c r="O681" s="110"/>
      <c r="P681" s="110"/>
    </row>
    <row r="682" spans="1:16" x14ac:dyDescent="0.2">
      <c r="A682" s="110"/>
      <c r="B682" s="110"/>
      <c r="C682" s="110"/>
      <c r="D682" s="110"/>
      <c r="E682" s="110"/>
      <c r="F682" s="110"/>
      <c r="G682" s="110"/>
      <c r="H682" s="110"/>
      <c r="I682" s="110"/>
      <c r="J682" s="110"/>
      <c r="K682" s="110"/>
      <c r="L682" s="110"/>
      <c r="M682" s="110"/>
      <c r="N682" s="110"/>
      <c r="O682" s="110"/>
      <c r="P682" s="110"/>
    </row>
    <row r="683" spans="1:16" x14ac:dyDescent="0.2">
      <c r="A683" s="110"/>
      <c r="B683" s="110"/>
      <c r="C683" s="110"/>
      <c r="D683" s="110"/>
      <c r="E683" s="110"/>
      <c r="F683" s="110"/>
      <c r="G683" s="110"/>
      <c r="H683" s="110"/>
      <c r="I683" s="110"/>
      <c r="J683" s="110"/>
      <c r="K683" s="110"/>
      <c r="L683" s="110"/>
      <c r="M683" s="110"/>
      <c r="N683" s="110"/>
      <c r="O683" s="110"/>
      <c r="P683" s="110"/>
    </row>
    <row r="684" spans="1:16" x14ac:dyDescent="0.2">
      <c r="A684" s="110"/>
      <c r="B684" s="110"/>
      <c r="C684" s="110"/>
      <c r="D684" s="110"/>
      <c r="E684" s="110"/>
      <c r="F684" s="110"/>
      <c r="G684" s="110"/>
      <c r="H684" s="110"/>
      <c r="I684" s="110"/>
      <c r="J684" s="110"/>
      <c r="K684" s="110"/>
      <c r="L684" s="110"/>
      <c r="M684" s="110"/>
      <c r="N684" s="110"/>
      <c r="O684" s="110"/>
      <c r="P684" s="110"/>
    </row>
    <row r="685" spans="1:16" x14ac:dyDescent="0.2">
      <c r="A685" s="110"/>
      <c r="B685" s="110"/>
      <c r="C685" s="110"/>
      <c r="D685" s="110"/>
      <c r="E685" s="110"/>
      <c r="F685" s="110"/>
      <c r="G685" s="110"/>
      <c r="H685" s="110"/>
      <c r="I685" s="110"/>
      <c r="J685" s="110"/>
      <c r="K685" s="110"/>
      <c r="L685" s="110"/>
      <c r="M685" s="110"/>
      <c r="N685" s="110"/>
      <c r="O685" s="110"/>
      <c r="P685" s="110"/>
    </row>
    <row r="686" spans="1:16" x14ac:dyDescent="0.2">
      <c r="A686" s="110"/>
      <c r="B686" s="110"/>
      <c r="C686" s="110"/>
      <c r="D686" s="110"/>
      <c r="E686" s="110"/>
      <c r="F686" s="110"/>
      <c r="G686" s="110"/>
      <c r="H686" s="110"/>
      <c r="I686" s="110"/>
      <c r="J686" s="110"/>
      <c r="K686" s="110"/>
      <c r="L686" s="110"/>
      <c r="M686" s="110"/>
      <c r="N686" s="110"/>
      <c r="O686" s="110"/>
      <c r="P686" s="110"/>
    </row>
    <row r="687" spans="1:16" x14ac:dyDescent="0.2">
      <c r="A687" s="110"/>
      <c r="B687" s="110"/>
      <c r="C687" s="110"/>
      <c r="D687" s="110"/>
      <c r="E687" s="110"/>
      <c r="F687" s="110"/>
      <c r="G687" s="110"/>
      <c r="H687" s="110"/>
      <c r="I687" s="110"/>
      <c r="J687" s="110"/>
      <c r="K687" s="110"/>
      <c r="L687" s="110"/>
      <c r="M687" s="110"/>
      <c r="N687" s="110"/>
      <c r="O687" s="110"/>
      <c r="P687" s="110"/>
    </row>
    <row r="688" spans="1:16" x14ac:dyDescent="0.2">
      <c r="A688" s="110"/>
      <c r="B688" s="110"/>
      <c r="C688" s="110"/>
      <c r="D688" s="110"/>
      <c r="E688" s="110"/>
      <c r="F688" s="110"/>
      <c r="G688" s="110"/>
      <c r="H688" s="110"/>
      <c r="I688" s="110"/>
      <c r="J688" s="110"/>
      <c r="K688" s="110"/>
      <c r="L688" s="110"/>
      <c r="M688" s="110"/>
      <c r="N688" s="110"/>
      <c r="O688" s="110"/>
      <c r="P688" s="110"/>
    </row>
    <row r="689" spans="1:16" x14ac:dyDescent="0.2">
      <c r="A689" s="110"/>
      <c r="B689" s="110"/>
      <c r="C689" s="110"/>
      <c r="D689" s="110"/>
      <c r="E689" s="110"/>
      <c r="F689" s="110"/>
      <c r="G689" s="110"/>
      <c r="H689" s="110"/>
      <c r="I689" s="110"/>
      <c r="J689" s="110"/>
      <c r="K689" s="110"/>
      <c r="L689" s="110"/>
      <c r="M689" s="110"/>
      <c r="N689" s="110"/>
      <c r="O689" s="110"/>
      <c r="P689" s="110"/>
    </row>
    <row r="690" spans="1:16" x14ac:dyDescent="0.2">
      <c r="A690" s="110"/>
      <c r="B690" s="110"/>
      <c r="C690" s="110"/>
      <c r="D690" s="110"/>
      <c r="E690" s="110"/>
      <c r="F690" s="110"/>
      <c r="G690" s="110"/>
      <c r="H690" s="110"/>
      <c r="I690" s="110"/>
      <c r="J690" s="110"/>
      <c r="K690" s="110"/>
      <c r="L690" s="110"/>
      <c r="M690" s="110"/>
      <c r="N690" s="110"/>
      <c r="O690" s="110"/>
      <c r="P690" s="110"/>
    </row>
    <row r="691" spans="1:16" x14ac:dyDescent="0.2">
      <c r="A691" s="110"/>
      <c r="B691" s="110"/>
      <c r="C691" s="110"/>
      <c r="D691" s="110"/>
      <c r="E691" s="110"/>
      <c r="F691" s="110"/>
      <c r="G691" s="110"/>
      <c r="H691" s="110"/>
      <c r="I691" s="110"/>
      <c r="J691" s="110"/>
      <c r="K691" s="110"/>
      <c r="L691" s="110"/>
      <c r="M691" s="110"/>
      <c r="N691" s="110"/>
      <c r="O691" s="110"/>
      <c r="P691" s="110"/>
    </row>
    <row r="692" spans="1:16" x14ac:dyDescent="0.2">
      <c r="A692" s="110"/>
      <c r="B692" s="110"/>
      <c r="C692" s="110"/>
      <c r="D692" s="110"/>
      <c r="E692" s="110"/>
      <c r="F692" s="110"/>
      <c r="G692" s="110"/>
      <c r="H692" s="110"/>
      <c r="I692" s="110"/>
      <c r="J692" s="110"/>
      <c r="K692" s="110"/>
      <c r="L692" s="110"/>
      <c r="M692" s="110"/>
      <c r="N692" s="110"/>
      <c r="O692" s="110"/>
      <c r="P692" s="110"/>
    </row>
    <row r="693" spans="1:16" x14ac:dyDescent="0.2">
      <c r="A693" s="110"/>
      <c r="B693" s="110"/>
      <c r="C693" s="110"/>
      <c r="D693" s="110"/>
      <c r="E693" s="110"/>
      <c r="F693" s="110"/>
      <c r="G693" s="110"/>
      <c r="H693" s="110"/>
      <c r="I693" s="110"/>
      <c r="J693" s="110"/>
      <c r="K693" s="110"/>
      <c r="L693" s="110"/>
      <c r="M693" s="110"/>
      <c r="N693" s="110"/>
      <c r="O693" s="110"/>
      <c r="P693" s="110"/>
    </row>
    <row r="694" spans="1:16" x14ac:dyDescent="0.2">
      <c r="A694" s="110"/>
      <c r="B694" s="110"/>
      <c r="C694" s="110"/>
      <c r="D694" s="110"/>
      <c r="E694" s="110"/>
      <c r="F694" s="110"/>
      <c r="G694" s="110"/>
      <c r="H694" s="110"/>
      <c r="I694" s="110"/>
      <c r="J694" s="110"/>
      <c r="K694" s="110"/>
      <c r="L694" s="110"/>
      <c r="M694" s="110"/>
      <c r="N694" s="110"/>
      <c r="O694" s="110"/>
      <c r="P694" s="110"/>
    </row>
    <row r="695" spans="1:16" x14ac:dyDescent="0.2">
      <c r="A695" s="110"/>
      <c r="B695" s="110"/>
      <c r="C695" s="110"/>
      <c r="D695" s="110"/>
      <c r="E695" s="110"/>
      <c r="F695" s="110"/>
      <c r="G695" s="110"/>
      <c r="H695" s="110"/>
      <c r="I695" s="110"/>
      <c r="J695" s="110"/>
      <c r="K695" s="110"/>
      <c r="L695" s="110"/>
      <c r="M695" s="110"/>
      <c r="N695" s="110"/>
      <c r="O695" s="110"/>
      <c r="P695" s="110"/>
    </row>
    <row r="696" spans="1:16" x14ac:dyDescent="0.2">
      <c r="A696" s="110"/>
      <c r="B696" s="110"/>
      <c r="C696" s="110"/>
      <c r="D696" s="110"/>
      <c r="E696" s="110"/>
      <c r="F696" s="110"/>
      <c r="G696" s="110"/>
      <c r="H696" s="110"/>
      <c r="I696" s="110"/>
      <c r="J696" s="110"/>
      <c r="K696" s="110"/>
      <c r="L696" s="110"/>
      <c r="M696" s="110"/>
      <c r="N696" s="110"/>
      <c r="O696" s="110"/>
      <c r="P696" s="110"/>
    </row>
    <row r="697" spans="1:16" x14ac:dyDescent="0.2">
      <c r="A697" s="110"/>
      <c r="B697" s="110"/>
      <c r="C697" s="110"/>
      <c r="D697" s="110"/>
      <c r="E697" s="110"/>
      <c r="F697" s="110"/>
      <c r="G697" s="110"/>
      <c r="H697" s="110"/>
      <c r="I697" s="110"/>
      <c r="J697" s="110"/>
      <c r="K697" s="110"/>
      <c r="L697" s="110"/>
      <c r="M697" s="110"/>
      <c r="N697" s="110"/>
      <c r="O697" s="110"/>
      <c r="P697" s="110"/>
    </row>
    <row r="698" spans="1:16" x14ac:dyDescent="0.2">
      <c r="A698" s="110"/>
      <c r="B698" s="110"/>
      <c r="C698" s="110"/>
      <c r="D698" s="110"/>
      <c r="E698" s="110"/>
      <c r="F698" s="110"/>
      <c r="G698" s="110"/>
      <c r="H698" s="110"/>
      <c r="I698" s="110"/>
      <c r="J698" s="110"/>
      <c r="K698" s="110"/>
      <c r="L698" s="110"/>
      <c r="M698" s="110"/>
      <c r="N698" s="110"/>
      <c r="O698" s="110"/>
      <c r="P698" s="110"/>
    </row>
    <row r="699" spans="1:16" x14ac:dyDescent="0.2">
      <c r="A699" s="110"/>
      <c r="B699" s="110"/>
      <c r="C699" s="110"/>
      <c r="D699" s="110"/>
      <c r="E699" s="110"/>
      <c r="F699" s="110"/>
      <c r="G699" s="110"/>
      <c r="H699" s="110"/>
      <c r="I699" s="110"/>
      <c r="J699" s="110"/>
      <c r="K699" s="110"/>
      <c r="L699" s="110"/>
      <c r="M699" s="110"/>
      <c r="N699" s="110"/>
      <c r="O699" s="110"/>
      <c r="P699" s="110"/>
    </row>
    <row r="700" spans="1:16" x14ac:dyDescent="0.2">
      <c r="A700" s="110"/>
      <c r="B700" s="110"/>
      <c r="C700" s="110"/>
      <c r="D700" s="110"/>
      <c r="E700" s="110"/>
      <c r="F700" s="110"/>
      <c r="G700" s="110"/>
      <c r="H700" s="110"/>
      <c r="I700" s="110"/>
      <c r="J700" s="110"/>
      <c r="K700" s="110"/>
      <c r="L700" s="110"/>
      <c r="M700" s="110"/>
      <c r="N700" s="110"/>
      <c r="O700" s="110"/>
      <c r="P700" s="110"/>
    </row>
    <row r="701" spans="1:16" x14ac:dyDescent="0.2">
      <c r="A701" s="110"/>
      <c r="B701" s="110"/>
      <c r="C701" s="110"/>
      <c r="D701" s="110"/>
      <c r="E701" s="110"/>
      <c r="F701" s="110"/>
      <c r="G701" s="110"/>
      <c r="H701" s="110"/>
      <c r="I701" s="110"/>
      <c r="J701" s="110"/>
      <c r="K701" s="110"/>
      <c r="L701" s="110"/>
      <c r="M701" s="110"/>
      <c r="N701" s="110"/>
      <c r="O701" s="110"/>
      <c r="P701" s="110"/>
    </row>
    <row r="702" spans="1:16" x14ac:dyDescent="0.2">
      <c r="A702" s="110"/>
      <c r="B702" s="110"/>
      <c r="C702" s="110"/>
      <c r="D702" s="110"/>
      <c r="E702" s="110"/>
      <c r="F702" s="110"/>
      <c r="G702" s="110"/>
      <c r="H702" s="110"/>
      <c r="I702" s="110"/>
      <c r="J702" s="110"/>
      <c r="K702" s="110"/>
      <c r="L702" s="110"/>
      <c r="M702" s="110"/>
      <c r="N702" s="110"/>
      <c r="O702" s="110"/>
      <c r="P702" s="110"/>
    </row>
    <row r="703" spans="1:16" x14ac:dyDescent="0.2">
      <c r="A703" s="110"/>
      <c r="B703" s="110"/>
      <c r="C703" s="110"/>
      <c r="D703" s="110"/>
      <c r="E703" s="110"/>
      <c r="F703" s="110"/>
      <c r="G703" s="110"/>
      <c r="H703" s="110"/>
      <c r="I703" s="110"/>
      <c r="J703" s="110"/>
      <c r="K703" s="110"/>
      <c r="L703" s="110"/>
      <c r="M703" s="110"/>
      <c r="N703" s="110"/>
      <c r="O703" s="110"/>
      <c r="P703" s="110"/>
    </row>
    <row r="704" spans="1:16" x14ac:dyDescent="0.2">
      <c r="A704" s="110"/>
      <c r="B704" s="110"/>
      <c r="C704" s="110"/>
      <c r="D704" s="110"/>
      <c r="E704" s="110"/>
      <c r="F704" s="110"/>
      <c r="G704" s="110"/>
      <c r="H704" s="110"/>
      <c r="I704" s="110"/>
      <c r="J704" s="110"/>
      <c r="K704" s="110"/>
      <c r="L704" s="110"/>
      <c r="M704" s="110"/>
      <c r="N704" s="110"/>
      <c r="O704" s="110"/>
      <c r="P704" s="110"/>
    </row>
    <row r="705" spans="1:16" x14ac:dyDescent="0.2">
      <c r="A705" s="110"/>
      <c r="B705" s="110"/>
      <c r="C705" s="110"/>
      <c r="D705" s="110"/>
      <c r="E705" s="110"/>
      <c r="F705" s="110"/>
      <c r="G705" s="110"/>
      <c r="H705" s="110"/>
      <c r="I705" s="110"/>
      <c r="J705" s="110"/>
      <c r="K705" s="110"/>
      <c r="L705" s="110"/>
      <c r="M705" s="110"/>
      <c r="N705" s="110"/>
      <c r="O705" s="110"/>
      <c r="P705" s="110"/>
    </row>
    <row r="706" spans="1:16" x14ac:dyDescent="0.2">
      <c r="A706" s="110"/>
      <c r="B706" s="110"/>
      <c r="C706" s="110"/>
      <c r="D706" s="110"/>
      <c r="E706" s="110"/>
      <c r="F706" s="110"/>
      <c r="G706" s="110"/>
      <c r="H706" s="110"/>
      <c r="I706" s="110"/>
      <c r="J706" s="110"/>
      <c r="K706" s="110"/>
      <c r="L706" s="110"/>
      <c r="M706" s="110"/>
      <c r="N706" s="110"/>
      <c r="O706" s="110"/>
      <c r="P706" s="110"/>
    </row>
    <row r="707" spans="1:16" x14ac:dyDescent="0.2">
      <c r="A707" s="110"/>
      <c r="B707" s="110"/>
      <c r="C707" s="110"/>
      <c r="D707" s="110"/>
      <c r="E707" s="110"/>
      <c r="F707" s="110"/>
      <c r="G707" s="110"/>
      <c r="H707" s="110"/>
      <c r="I707" s="110"/>
      <c r="J707" s="110"/>
      <c r="K707" s="110"/>
      <c r="L707" s="110"/>
      <c r="M707" s="110"/>
      <c r="N707" s="110"/>
      <c r="O707" s="110"/>
      <c r="P707" s="110"/>
    </row>
    <row r="708" spans="1:16" x14ac:dyDescent="0.2">
      <c r="A708" s="110"/>
      <c r="B708" s="110"/>
      <c r="C708" s="110"/>
      <c r="D708" s="110"/>
      <c r="E708" s="110"/>
      <c r="F708" s="110"/>
      <c r="G708" s="110"/>
      <c r="H708" s="110"/>
      <c r="I708" s="110"/>
      <c r="J708" s="110"/>
      <c r="K708" s="110"/>
      <c r="L708" s="110"/>
      <c r="M708" s="110"/>
      <c r="N708" s="110"/>
      <c r="O708" s="110"/>
      <c r="P708" s="110"/>
    </row>
    <row r="709" spans="1:16" x14ac:dyDescent="0.2">
      <c r="A709" s="110"/>
      <c r="B709" s="110"/>
      <c r="C709" s="110"/>
      <c r="D709" s="110"/>
      <c r="E709" s="110"/>
      <c r="F709" s="110"/>
      <c r="G709" s="110"/>
      <c r="H709" s="110"/>
      <c r="I709" s="110"/>
      <c r="J709" s="110"/>
      <c r="K709" s="110"/>
      <c r="L709" s="110"/>
      <c r="M709" s="110"/>
      <c r="N709" s="110"/>
      <c r="O709" s="110"/>
      <c r="P709" s="110"/>
    </row>
    <row r="710" spans="1:16" x14ac:dyDescent="0.2">
      <c r="A710" s="110"/>
      <c r="B710" s="110"/>
      <c r="C710" s="110"/>
      <c r="D710" s="110"/>
      <c r="E710" s="110"/>
      <c r="F710" s="110"/>
      <c r="G710" s="110"/>
      <c r="H710" s="110"/>
      <c r="I710" s="110"/>
      <c r="J710" s="110"/>
      <c r="K710" s="110"/>
      <c r="L710" s="110"/>
      <c r="M710" s="110"/>
      <c r="N710" s="110"/>
      <c r="O710" s="110"/>
      <c r="P710" s="110"/>
    </row>
    <row r="711" spans="1:16" x14ac:dyDescent="0.2">
      <c r="A711" s="110"/>
      <c r="B711" s="110"/>
      <c r="C711" s="110"/>
      <c r="D711" s="110"/>
      <c r="E711" s="110"/>
      <c r="F711" s="110"/>
      <c r="G711" s="110"/>
      <c r="H711" s="110"/>
      <c r="I711" s="110"/>
      <c r="J711" s="110"/>
      <c r="K711" s="110"/>
      <c r="L711" s="110"/>
      <c r="M711" s="110"/>
      <c r="N711" s="110"/>
      <c r="O711" s="110"/>
      <c r="P711" s="110"/>
    </row>
    <row r="712" spans="1:16" x14ac:dyDescent="0.2">
      <c r="A712" s="110"/>
      <c r="B712" s="110"/>
      <c r="C712" s="110"/>
      <c r="D712" s="110"/>
      <c r="E712" s="110"/>
      <c r="F712" s="110"/>
      <c r="G712" s="110"/>
      <c r="H712" s="110"/>
      <c r="I712" s="110"/>
      <c r="J712" s="110"/>
      <c r="K712" s="110"/>
      <c r="L712" s="110"/>
      <c r="M712" s="110"/>
      <c r="N712" s="110"/>
      <c r="O712" s="110"/>
      <c r="P712" s="110"/>
    </row>
    <row r="713" spans="1:16" x14ac:dyDescent="0.2">
      <c r="A713" s="110"/>
      <c r="B713" s="110"/>
      <c r="C713" s="110"/>
      <c r="D713" s="110"/>
      <c r="E713" s="110"/>
      <c r="F713" s="110"/>
      <c r="G713" s="110"/>
      <c r="H713" s="110"/>
      <c r="I713" s="110"/>
      <c r="J713" s="110"/>
      <c r="K713" s="110"/>
      <c r="L713" s="110"/>
      <c r="M713" s="110"/>
      <c r="N713" s="110"/>
      <c r="O713" s="110"/>
      <c r="P713" s="110"/>
    </row>
    <row r="714" spans="1:16" x14ac:dyDescent="0.2">
      <c r="A714" s="110"/>
      <c r="B714" s="110"/>
      <c r="C714" s="110"/>
      <c r="D714" s="110"/>
      <c r="E714" s="110"/>
      <c r="F714" s="110"/>
      <c r="G714" s="110"/>
      <c r="H714" s="110"/>
      <c r="I714" s="110"/>
      <c r="J714" s="110"/>
      <c r="K714" s="110"/>
      <c r="L714" s="110"/>
      <c r="M714" s="110"/>
      <c r="N714" s="110"/>
      <c r="O714" s="110"/>
      <c r="P714" s="110"/>
    </row>
    <row r="715" spans="1:16" x14ac:dyDescent="0.2">
      <c r="A715" s="110"/>
      <c r="B715" s="110"/>
      <c r="C715" s="110"/>
      <c r="D715" s="110"/>
      <c r="E715" s="110"/>
      <c r="F715" s="110"/>
      <c r="G715" s="110"/>
      <c r="H715" s="110"/>
      <c r="I715" s="110"/>
      <c r="J715" s="110"/>
      <c r="K715" s="110"/>
      <c r="L715" s="110"/>
      <c r="M715" s="110"/>
      <c r="N715" s="110"/>
      <c r="O715" s="110"/>
      <c r="P715" s="110"/>
    </row>
    <row r="716" spans="1:16" x14ac:dyDescent="0.2">
      <c r="A716" s="110"/>
      <c r="B716" s="110"/>
      <c r="C716" s="110"/>
      <c r="D716" s="110"/>
      <c r="E716" s="110"/>
      <c r="F716" s="110"/>
      <c r="G716" s="110"/>
      <c r="H716" s="110"/>
      <c r="I716" s="110"/>
      <c r="J716" s="110"/>
      <c r="K716" s="110"/>
      <c r="L716" s="110"/>
      <c r="M716" s="110"/>
      <c r="N716" s="110"/>
      <c r="O716" s="110"/>
      <c r="P716" s="110"/>
    </row>
    <row r="717" spans="1:16" x14ac:dyDescent="0.2">
      <c r="A717" s="110"/>
      <c r="B717" s="110"/>
      <c r="C717" s="110"/>
      <c r="D717" s="110"/>
      <c r="E717" s="110"/>
      <c r="F717" s="110"/>
      <c r="G717" s="110"/>
      <c r="H717" s="110"/>
      <c r="I717" s="110"/>
      <c r="J717" s="110"/>
      <c r="K717" s="110"/>
      <c r="L717" s="110"/>
      <c r="M717" s="110"/>
      <c r="N717" s="110"/>
      <c r="O717" s="110"/>
      <c r="P717" s="110"/>
    </row>
    <row r="718" spans="1:16" x14ac:dyDescent="0.2">
      <c r="A718" s="110"/>
      <c r="B718" s="110"/>
      <c r="C718" s="110"/>
      <c r="D718" s="110"/>
      <c r="E718" s="110"/>
      <c r="F718" s="110"/>
      <c r="G718" s="110"/>
      <c r="H718" s="110"/>
      <c r="I718" s="110"/>
      <c r="J718" s="110"/>
      <c r="K718" s="110"/>
      <c r="L718" s="110"/>
      <c r="M718" s="110"/>
      <c r="N718" s="110"/>
      <c r="O718" s="110"/>
      <c r="P718" s="110"/>
    </row>
    <row r="719" spans="1:16" x14ac:dyDescent="0.2">
      <c r="A719" s="110"/>
      <c r="B719" s="110"/>
      <c r="C719" s="110"/>
      <c r="D719" s="110"/>
      <c r="E719" s="110"/>
      <c r="F719" s="110"/>
      <c r="G719" s="110"/>
      <c r="H719" s="110"/>
      <c r="I719" s="110"/>
      <c r="J719" s="110"/>
      <c r="K719" s="110"/>
      <c r="L719" s="110"/>
      <c r="M719" s="110"/>
      <c r="N719" s="110"/>
      <c r="O719" s="110"/>
      <c r="P719" s="110"/>
    </row>
    <row r="720" spans="1:16" x14ac:dyDescent="0.2">
      <c r="A720" s="110"/>
      <c r="B720" s="110"/>
      <c r="C720" s="110"/>
      <c r="D720" s="110"/>
      <c r="E720" s="110"/>
      <c r="F720" s="110"/>
      <c r="G720" s="110"/>
      <c r="H720" s="110"/>
      <c r="I720" s="110"/>
      <c r="J720" s="110"/>
      <c r="K720" s="110"/>
      <c r="L720" s="110"/>
      <c r="M720" s="110"/>
      <c r="N720" s="110"/>
      <c r="O720" s="110"/>
      <c r="P720" s="110"/>
    </row>
    <row r="721" spans="1:16" x14ac:dyDescent="0.2">
      <c r="A721" s="110"/>
      <c r="B721" s="110"/>
      <c r="C721" s="110"/>
      <c r="D721" s="110"/>
      <c r="E721" s="110"/>
      <c r="F721" s="110"/>
      <c r="G721" s="110"/>
      <c r="H721" s="110"/>
      <c r="I721" s="110"/>
      <c r="J721" s="110"/>
      <c r="K721" s="110"/>
      <c r="L721" s="110"/>
      <c r="M721" s="110"/>
      <c r="N721" s="110"/>
      <c r="O721" s="110"/>
      <c r="P721" s="110"/>
    </row>
    <row r="722" spans="1:16" x14ac:dyDescent="0.2">
      <c r="A722" s="110"/>
      <c r="B722" s="110"/>
      <c r="C722" s="110"/>
      <c r="D722" s="110"/>
      <c r="E722" s="110"/>
      <c r="F722" s="110"/>
      <c r="G722" s="110"/>
      <c r="H722" s="110"/>
      <c r="I722" s="110"/>
      <c r="J722" s="110"/>
      <c r="K722" s="110"/>
      <c r="L722" s="110"/>
      <c r="M722" s="110"/>
      <c r="N722" s="110"/>
      <c r="O722" s="110"/>
      <c r="P722" s="110"/>
    </row>
    <row r="723" spans="1:16" x14ac:dyDescent="0.2">
      <c r="A723" s="110"/>
      <c r="B723" s="110"/>
      <c r="C723" s="110"/>
      <c r="D723" s="110"/>
      <c r="E723" s="110"/>
      <c r="F723" s="110"/>
      <c r="G723" s="110"/>
      <c r="H723" s="110"/>
      <c r="I723" s="110"/>
      <c r="J723" s="110"/>
      <c r="K723" s="110"/>
      <c r="L723" s="110"/>
      <c r="M723" s="110"/>
      <c r="N723" s="110"/>
      <c r="O723" s="110"/>
      <c r="P723" s="110"/>
    </row>
    <row r="724" spans="1:16" x14ac:dyDescent="0.2">
      <c r="A724" s="110"/>
      <c r="B724" s="110"/>
      <c r="C724" s="110"/>
      <c r="D724" s="110"/>
      <c r="E724" s="110"/>
      <c r="F724" s="110"/>
      <c r="G724" s="110"/>
      <c r="H724" s="110"/>
      <c r="I724" s="110"/>
      <c r="J724" s="110"/>
      <c r="K724" s="110"/>
      <c r="L724" s="110"/>
      <c r="M724" s="110"/>
      <c r="N724" s="110"/>
      <c r="O724" s="110"/>
      <c r="P724" s="110"/>
    </row>
    <row r="725" spans="1:16" x14ac:dyDescent="0.2">
      <c r="A725" s="110"/>
      <c r="B725" s="110"/>
      <c r="C725" s="110"/>
      <c r="D725" s="110"/>
      <c r="E725" s="110"/>
      <c r="F725" s="110"/>
      <c r="G725" s="110"/>
      <c r="H725" s="110"/>
      <c r="I725" s="110"/>
      <c r="J725" s="110"/>
      <c r="K725" s="110"/>
      <c r="L725" s="110"/>
      <c r="M725" s="110"/>
      <c r="N725" s="110"/>
      <c r="O725" s="110"/>
      <c r="P725" s="110"/>
    </row>
  </sheetData>
  <sheetProtection password="9C8D" sheet="1" objects="1" scenarios="1"/>
  <mergeCells count="6">
    <mergeCell ref="A21:L21"/>
    <mergeCell ref="A1:D1"/>
    <mergeCell ref="A2:D2"/>
    <mergeCell ref="A3:D3"/>
    <mergeCell ref="A18:D18"/>
    <mergeCell ref="A19:D19"/>
  </mergeCells>
  <pageMargins left="0.78740157499999996" right="0.78740157499999996" top="0.984251969" bottom="0.984251969" header="0.49212598499999999" footer="0.49212598499999999"/>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1"/>
  <sheetViews>
    <sheetView windowProtection="1" showGridLines="0" workbookViewId="0">
      <selection activeCell="D5" sqref="D5"/>
    </sheetView>
  </sheetViews>
  <sheetFormatPr defaultRowHeight="12.75" x14ac:dyDescent="0.2"/>
  <cols>
    <col min="1" max="1" width="36.5703125" customWidth="1"/>
    <col min="2" max="2" width="26.85546875" customWidth="1"/>
    <col min="3" max="3" width="28" customWidth="1"/>
  </cols>
  <sheetData>
    <row r="1" spans="1:21" ht="15.75" x14ac:dyDescent="0.25">
      <c r="A1" s="1297" t="s">
        <v>379</v>
      </c>
      <c r="B1" s="1297"/>
      <c r="C1" s="1297"/>
      <c r="D1" s="110"/>
      <c r="E1" s="110"/>
      <c r="F1" s="110"/>
      <c r="G1" s="110"/>
      <c r="H1" s="110"/>
      <c r="I1" s="110"/>
      <c r="J1" s="110"/>
      <c r="K1" s="110"/>
      <c r="L1" s="110"/>
      <c r="M1" s="110"/>
      <c r="N1" s="110"/>
      <c r="O1" s="110"/>
      <c r="P1" s="110"/>
      <c r="Q1" s="110"/>
      <c r="R1" s="110"/>
      <c r="S1" s="110"/>
      <c r="T1" s="110"/>
      <c r="U1" s="110"/>
    </row>
    <row r="2" spans="1:21" ht="15" x14ac:dyDescent="0.2">
      <c r="A2" s="1298" t="s">
        <v>134</v>
      </c>
      <c r="B2" s="1298"/>
      <c r="C2" s="1298"/>
      <c r="D2" s="110"/>
      <c r="E2" s="110"/>
      <c r="F2" s="110"/>
      <c r="G2" s="110"/>
      <c r="H2" s="110"/>
      <c r="I2" s="110"/>
      <c r="J2" s="110"/>
      <c r="K2" s="110"/>
      <c r="L2" s="110"/>
      <c r="M2" s="110"/>
      <c r="N2" s="110"/>
      <c r="O2" s="110"/>
      <c r="P2" s="110"/>
      <c r="Q2" s="110"/>
      <c r="R2" s="110"/>
      <c r="S2" s="110"/>
      <c r="T2" s="110"/>
      <c r="U2" s="110"/>
    </row>
    <row r="3" spans="1:21" ht="15" x14ac:dyDescent="0.2">
      <c r="A3" s="1298" t="str">
        <f>[5]Dados!A18</f>
        <v>Exercício de 2015</v>
      </c>
      <c r="B3" s="1298"/>
      <c r="C3" s="1298"/>
      <c r="D3" s="110"/>
      <c r="E3" s="110"/>
      <c r="F3" s="110"/>
      <c r="G3" s="110"/>
      <c r="H3" s="110"/>
      <c r="I3" s="110"/>
      <c r="J3" s="110"/>
      <c r="K3" s="110"/>
      <c r="L3" s="110"/>
      <c r="M3" s="110"/>
      <c r="N3" s="110"/>
      <c r="O3" s="110"/>
      <c r="P3" s="110"/>
      <c r="Q3" s="110"/>
      <c r="R3" s="110"/>
      <c r="S3" s="110"/>
      <c r="T3" s="110"/>
      <c r="U3" s="110"/>
    </row>
    <row r="4" spans="1:21" x14ac:dyDescent="0.2">
      <c r="A4" s="187"/>
      <c r="B4" s="181"/>
      <c r="C4" s="181"/>
      <c r="D4" s="110"/>
      <c r="E4" s="110"/>
      <c r="F4" s="110"/>
      <c r="G4" s="110"/>
      <c r="H4" s="110"/>
      <c r="I4" s="110"/>
      <c r="J4" s="110"/>
      <c r="K4" s="110"/>
      <c r="L4" s="110"/>
      <c r="M4" s="110"/>
      <c r="N4" s="110"/>
      <c r="O4" s="110"/>
      <c r="P4" s="110"/>
      <c r="Q4" s="110"/>
      <c r="R4" s="110"/>
      <c r="S4" s="110"/>
      <c r="T4" s="110"/>
      <c r="U4" s="110"/>
    </row>
    <row r="5" spans="1:21" ht="48.75" customHeight="1" x14ac:dyDescent="0.2">
      <c r="A5" s="188" t="s">
        <v>135</v>
      </c>
      <c r="B5" s="188" t="s">
        <v>136</v>
      </c>
      <c r="C5" s="188" t="s">
        <v>137</v>
      </c>
      <c r="D5" s="58"/>
      <c r="E5" s="110"/>
      <c r="F5" s="110"/>
      <c r="G5" s="110"/>
      <c r="H5" s="110"/>
      <c r="I5" s="110"/>
      <c r="J5" s="110"/>
      <c r="K5" s="110"/>
      <c r="L5" s="110"/>
      <c r="M5" s="110"/>
      <c r="N5" s="110"/>
      <c r="O5" s="110"/>
      <c r="P5" s="110"/>
      <c r="Q5" s="110"/>
      <c r="R5" s="110"/>
      <c r="S5" s="110"/>
      <c r="T5" s="110"/>
      <c r="U5" s="110"/>
    </row>
    <row r="6" spans="1:21" ht="15" x14ac:dyDescent="0.2">
      <c r="A6" s="189" t="s">
        <v>138</v>
      </c>
      <c r="B6" s="190">
        <v>1987</v>
      </c>
      <c r="C6" s="191">
        <f>ROUND(B6/'[5]38'!$B$17*100,1)</f>
        <v>99.8</v>
      </c>
      <c r="D6" s="110"/>
      <c r="E6" s="110"/>
      <c r="F6" s="110"/>
      <c r="G6" s="110"/>
      <c r="H6" s="110"/>
      <c r="I6" s="110"/>
      <c r="J6" s="110"/>
      <c r="K6" s="110"/>
      <c r="L6" s="110"/>
      <c r="M6" s="110"/>
      <c r="N6" s="110"/>
      <c r="O6" s="110"/>
      <c r="P6" s="110"/>
      <c r="Q6" s="110"/>
      <c r="R6" s="110"/>
      <c r="S6" s="110"/>
      <c r="T6" s="110"/>
      <c r="U6" s="110"/>
    </row>
    <row r="7" spans="1:21" ht="15" x14ac:dyDescent="0.2">
      <c r="A7" s="189" t="s">
        <v>139</v>
      </c>
      <c r="B7" s="190">
        <v>520</v>
      </c>
      <c r="C7" s="191">
        <f>ROUND(B7/'[5]38'!$B$17*100,1)</f>
        <v>26.1</v>
      </c>
      <c r="D7" s="110"/>
      <c r="E7" s="110"/>
      <c r="F7" s="110"/>
      <c r="G7" s="110"/>
      <c r="H7" s="110"/>
      <c r="I7" s="110"/>
      <c r="J7" s="110"/>
      <c r="K7" s="110"/>
      <c r="L7" s="110"/>
      <c r="M7" s="110"/>
      <c r="N7" s="110"/>
      <c r="O7" s="110"/>
      <c r="P7" s="110"/>
      <c r="Q7" s="110"/>
      <c r="R7" s="110"/>
      <c r="S7" s="110"/>
      <c r="T7" s="110"/>
      <c r="U7" s="110"/>
    </row>
    <row r="8" spans="1:21" ht="15" x14ac:dyDescent="0.2">
      <c r="A8" s="189" t="s">
        <v>140</v>
      </c>
      <c r="B8" s="190">
        <v>537</v>
      </c>
      <c r="C8" s="191">
        <f>ROUND(B8/'[5]38'!$B$17*100,1)</f>
        <v>27</v>
      </c>
      <c r="D8" s="110"/>
      <c r="E8" s="110"/>
      <c r="F8" s="110"/>
      <c r="G8" s="110"/>
      <c r="H8" s="110"/>
      <c r="I8" s="110"/>
      <c r="J8" s="110"/>
      <c r="K8" s="110"/>
      <c r="L8" s="110"/>
      <c r="M8" s="110"/>
      <c r="N8" s="110"/>
      <c r="O8" s="110"/>
      <c r="P8" s="110"/>
      <c r="Q8" s="110"/>
      <c r="R8" s="110"/>
      <c r="S8" s="110"/>
      <c r="T8" s="110"/>
      <c r="U8" s="110"/>
    </row>
    <row r="9" spans="1:21" ht="15" x14ac:dyDescent="0.2">
      <c r="A9" s="189" t="s">
        <v>141</v>
      </c>
      <c r="B9" s="190">
        <v>5</v>
      </c>
      <c r="C9" s="191">
        <f>ROUND(B9/'[5]38'!$B$17*100,1)</f>
        <v>0.3</v>
      </c>
      <c r="D9" s="110"/>
      <c r="E9" s="110"/>
      <c r="F9" s="110"/>
      <c r="G9" s="110"/>
      <c r="H9" s="110"/>
      <c r="I9" s="110"/>
      <c r="J9" s="110"/>
      <c r="K9" s="110"/>
      <c r="L9" s="110"/>
      <c r="M9" s="110"/>
      <c r="N9" s="110"/>
      <c r="O9" s="110"/>
      <c r="P9" s="110"/>
      <c r="Q9" s="110"/>
      <c r="R9" s="110"/>
      <c r="S9" s="110"/>
      <c r="T9" s="110"/>
      <c r="U9" s="110"/>
    </row>
    <row r="10" spans="1:21" ht="15" x14ac:dyDescent="0.2">
      <c r="A10" s="189" t="s">
        <v>142</v>
      </c>
      <c r="B10" s="190">
        <v>1686</v>
      </c>
      <c r="C10" s="191">
        <f>ROUND(B10/'[5]38'!$B$17*100,1)</f>
        <v>84.7</v>
      </c>
      <c r="D10" s="110"/>
      <c r="E10" s="110"/>
      <c r="F10" s="110"/>
      <c r="G10" s="110"/>
      <c r="H10" s="110"/>
      <c r="I10" s="110"/>
      <c r="J10" s="110"/>
      <c r="K10" s="110"/>
      <c r="L10" s="110"/>
      <c r="M10" s="110"/>
      <c r="N10" s="110"/>
      <c r="O10" s="110"/>
      <c r="P10" s="110"/>
      <c r="Q10" s="110"/>
      <c r="R10" s="110"/>
      <c r="S10" s="110"/>
      <c r="T10" s="110"/>
      <c r="U10" s="110"/>
    </row>
    <row r="11" spans="1:21" ht="15.75" thickBot="1" x14ac:dyDescent="0.25">
      <c r="A11" s="192" t="s">
        <v>143</v>
      </c>
      <c r="B11" s="193">
        <v>173</v>
      </c>
      <c r="C11" s="191">
        <f>ROUND(B11/'[5]38'!$B$17*100,1)</f>
        <v>8.6999999999999993</v>
      </c>
      <c r="D11" s="110"/>
      <c r="E11" s="110"/>
      <c r="F11" s="110"/>
      <c r="G11" s="110"/>
      <c r="H11" s="110"/>
      <c r="I11" s="110"/>
      <c r="J11" s="110"/>
      <c r="K11" s="110"/>
      <c r="L11" s="110"/>
      <c r="M11" s="110"/>
      <c r="N11" s="110"/>
      <c r="O11" s="110"/>
      <c r="P11" s="110"/>
      <c r="Q11" s="110"/>
      <c r="R11" s="110"/>
      <c r="S11" s="110"/>
      <c r="T11" s="110"/>
      <c r="U11" s="110"/>
    </row>
    <row r="12" spans="1:21" ht="17.25" customHeight="1" x14ac:dyDescent="0.2">
      <c r="A12" s="1302" t="s">
        <v>144</v>
      </c>
      <c r="B12" s="1302"/>
      <c r="C12" s="1302"/>
      <c r="D12" s="110"/>
      <c r="E12" s="110"/>
      <c r="F12" s="110"/>
      <c r="G12" s="110"/>
      <c r="H12" s="110"/>
      <c r="I12" s="110"/>
      <c r="J12" s="110"/>
      <c r="K12" s="110"/>
      <c r="L12" s="110"/>
      <c r="M12" s="110"/>
      <c r="N12" s="110"/>
      <c r="O12" s="110"/>
      <c r="P12" s="110"/>
      <c r="Q12" s="110"/>
      <c r="R12" s="110"/>
      <c r="S12" s="110"/>
      <c r="T12" s="110"/>
      <c r="U12" s="110"/>
    </row>
    <row r="13" spans="1:21" x14ac:dyDescent="0.2">
      <c r="A13" s="110"/>
      <c r="B13" s="110"/>
      <c r="C13" s="110"/>
      <c r="D13" s="110"/>
      <c r="E13" s="110"/>
      <c r="F13" s="110"/>
      <c r="G13" s="110"/>
      <c r="H13" s="110"/>
      <c r="I13" s="110"/>
      <c r="J13" s="110"/>
      <c r="K13" s="110"/>
      <c r="L13" s="110"/>
      <c r="M13" s="110"/>
      <c r="N13" s="110"/>
      <c r="O13" s="110"/>
      <c r="P13" s="110"/>
      <c r="Q13" s="110"/>
      <c r="R13" s="110"/>
      <c r="S13" s="110"/>
      <c r="T13" s="110"/>
      <c r="U13" s="110"/>
    </row>
    <row r="14" spans="1:21" x14ac:dyDescent="0.2">
      <c r="A14" s="1296"/>
      <c r="B14" s="1296"/>
      <c r="C14" s="1296"/>
      <c r="D14" s="110"/>
      <c r="E14" s="110"/>
      <c r="F14" s="110"/>
      <c r="G14" s="110"/>
      <c r="H14" s="110"/>
      <c r="I14" s="110"/>
      <c r="J14" s="110"/>
      <c r="K14" s="110"/>
      <c r="L14" s="110"/>
      <c r="M14" s="110"/>
      <c r="N14" s="110"/>
      <c r="O14" s="110"/>
      <c r="P14" s="110"/>
      <c r="Q14" s="110"/>
      <c r="R14" s="110"/>
      <c r="S14" s="110"/>
      <c r="T14" s="110"/>
      <c r="U14" s="110"/>
    </row>
    <row r="15" spans="1:21" x14ac:dyDescent="0.2">
      <c r="C15" s="110"/>
      <c r="D15" s="110"/>
      <c r="E15" s="110"/>
      <c r="F15" s="110"/>
      <c r="G15" s="110"/>
      <c r="H15" s="110"/>
      <c r="I15" s="110"/>
      <c r="J15" s="110"/>
      <c r="K15" s="110"/>
      <c r="L15" s="110"/>
      <c r="M15" s="110"/>
      <c r="N15" s="110"/>
      <c r="O15" s="110"/>
      <c r="P15" s="110"/>
      <c r="Q15" s="110"/>
      <c r="R15" s="110"/>
      <c r="S15" s="110"/>
      <c r="T15" s="110"/>
      <c r="U15" s="110"/>
    </row>
    <row r="16" spans="1:21" x14ac:dyDescent="0.2">
      <c r="C16" s="110"/>
      <c r="D16" s="110"/>
      <c r="E16" s="110"/>
      <c r="F16" s="110"/>
      <c r="G16" s="110"/>
      <c r="H16" s="110"/>
      <c r="I16" s="110"/>
      <c r="J16" s="110"/>
      <c r="K16" s="110"/>
      <c r="L16" s="110"/>
      <c r="M16" s="110"/>
      <c r="N16" s="110"/>
      <c r="O16" s="110"/>
      <c r="P16" s="110"/>
      <c r="Q16" s="110"/>
      <c r="R16" s="110"/>
      <c r="S16" s="110"/>
      <c r="T16" s="110"/>
      <c r="U16" s="110"/>
    </row>
    <row r="17" spans="1:21" x14ac:dyDescent="0.2">
      <c r="C17" s="110"/>
      <c r="D17" s="110"/>
      <c r="E17" s="110"/>
      <c r="F17" s="110"/>
      <c r="G17" s="110"/>
      <c r="H17" s="110"/>
      <c r="I17" s="110"/>
      <c r="J17" s="110"/>
      <c r="K17" s="110"/>
      <c r="L17" s="110"/>
      <c r="M17" s="110"/>
      <c r="N17" s="110"/>
      <c r="O17" s="110"/>
      <c r="P17" s="110"/>
      <c r="Q17" s="110"/>
      <c r="R17" s="110"/>
      <c r="S17" s="110"/>
      <c r="T17" s="110"/>
      <c r="U17" s="110"/>
    </row>
    <row r="18" spans="1:21" x14ac:dyDescent="0.2">
      <c r="C18" s="110"/>
      <c r="D18" s="110"/>
      <c r="E18" s="110"/>
      <c r="F18" s="110"/>
      <c r="G18" s="110"/>
      <c r="H18" s="110"/>
      <c r="I18" s="110"/>
      <c r="J18" s="110"/>
      <c r="K18" s="110"/>
      <c r="L18" s="110"/>
      <c r="M18" s="110"/>
      <c r="N18" s="110"/>
      <c r="O18" s="110"/>
      <c r="P18" s="110"/>
      <c r="Q18" s="110"/>
      <c r="R18" s="110"/>
      <c r="S18" s="110"/>
      <c r="T18" s="110"/>
      <c r="U18" s="110"/>
    </row>
    <row r="19" spans="1:21" x14ac:dyDescent="0.2">
      <c r="C19" s="110"/>
      <c r="D19" s="110"/>
      <c r="E19" s="110"/>
      <c r="F19" s="110"/>
      <c r="G19" s="110"/>
      <c r="H19" s="110"/>
      <c r="I19" s="110"/>
      <c r="J19" s="110"/>
      <c r="K19" s="110"/>
      <c r="L19" s="110"/>
      <c r="M19" s="110"/>
      <c r="N19" s="110"/>
      <c r="O19" s="110"/>
      <c r="P19" s="110"/>
      <c r="Q19" s="110"/>
      <c r="R19" s="110"/>
      <c r="S19" s="110"/>
      <c r="T19" s="110"/>
      <c r="U19" s="110"/>
    </row>
    <row r="20" spans="1:21" x14ac:dyDescent="0.2">
      <c r="C20" s="110"/>
      <c r="D20" s="110"/>
      <c r="E20" s="110"/>
      <c r="F20" s="110"/>
      <c r="G20" s="110"/>
      <c r="H20" s="110"/>
      <c r="I20" s="110"/>
      <c r="J20" s="110"/>
      <c r="K20" s="110"/>
      <c r="L20" s="110"/>
      <c r="M20" s="110"/>
      <c r="N20" s="110"/>
      <c r="O20" s="110"/>
      <c r="P20" s="110"/>
      <c r="Q20" s="110"/>
      <c r="R20" s="110"/>
      <c r="S20" s="110"/>
      <c r="T20" s="110"/>
      <c r="U20" s="110"/>
    </row>
    <row r="21" spans="1:21" x14ac:dyDescent="0.2">
      <c r="A21" s="110"/>
      <c r="B21" s="110"/>
      <c r="C21" s="110"/>
      <c r="D21" s="110"/>
      <c r="E21" s="110"/>
      <c r="F21" s="110"/>
      <c r="G21" s="110"/>
      <c r="H21" s="110"/>
      <c r="I21" s="110"/>
      <c r="J21" s="110"/>
      <c r="K21" s="110"/>
      <c r="L21" s="110"/>
      <c r="M21" s="110"/>
      <c r="N21" s="110"/>
      <c r="O21" s="110"/>
      <c r="P21" s="110"/>
      <c r="Q21" s="110"/>
      <c r="R21" s="110"/>
      <c r="S21" s="110"/>
      <c r="T21" s="110"/>
    </row>
    <row r="22" spans="1:21" x14ac:dyDescent="0.2">
      <c r="A22" s="110"/>
      <c r="B22" s="110"/>
      <c r="C22" s="110"/>
      <c r="D22" s="110"/>
      <c r="E22" s="110"/>
      <c r="F22" s="110"/>
      <c r="G22" s="110"/>
      <c r="H22" s="110"/>
      <c r="I22" s="110"/>
      <c r="J22" s="110"/>
      <c r="K22" s="110"/>
      <c r="L22" s="110"/>
      <c r="M22" s="110"/>
      <c r="N22" s="110"/>
      <c r="O22" s="110"/>
      <c r="P22" s="110"/>
      <c r="Q22" s="110"/>
      <c r="R22" s="110"/>
      <c r="S22" s="110"/>
      <c r="T22" s="110"/>
    </row>
    <row r="23" spans="1:21" x14ac:dyDescent="0.2">
      <c r="A23" s="110"/>
      <c r="B23" s="110"/>
      <c r="C23" s="110"/>
      <c r="D23" s="110"/>
      <c r="E23" s="110"/>
      <c r="F23" s="110"/>
      <c r="G23" s="110"/>
      <c r="H23" s="110"/>
      <c r="I23" s="110"/>
      <c r="J23" s="110"/>
      <c r="K23" s="110"/>
      <c r="L23" s="110"/>
      <c r="M23" s="110"/>
      <c r="N23" s="110"/>
      <c r="O23" s="110"/>
      <c r="P23" s="110"/>
      <c r="Q23" s="110"/>
      <c r="R23" s="110"/>
      <c r="S23" s="110"/>
      <c r="T23" s="110"/>
    </row>
    <row r="24" spans="1:21" x14ac:dyDescent="0.2">
      <c r="A24" s="110"/>
      <c r="B24" s="110"/>
      <c r="C24" s="110"/>
      <c r="D24" s="110"/>
      <c r="E24" s="110"/>
      <c r="F24" s="110"/>
      <c r="G24" s="110"/>
      <c r="H24" s="110"/>
      <c r="I24" s="110"/>
      <c r="J24" s="110"/>
      <c r="K24" s="110"/>
      <c r="L24" s="110"/>
      <c r="M24" s="110"/>
      <c r="N24" s="110"/>
      <c r="O24" s="110"/>
      <c r="P24" s="110"/>
      <c r="Q24" s="110"/>
      <c r="R24" s="110"/>
      <c r="S24" s="110"/>
      <c r="T24" s="110"/>
    </row>
    <row r="25" spans="1:21" x14ac:dyDescent="0.2">
      <c r="A25" s="110"/>
      <c r="B25" s="110"/>
      <c r="C25" s="110"/>
      <c r="D25" s="110"/>
      <c r="E25" s="110"/>
      <c r="F25" s="110"/>
      <c r="G25" s="110"/>
      <c r="H25" s="110"/>
      <c r="I25" s="110"/>
      <c r="J25" s="110"/>
      <c r="K25" s="110"/>
      <c r="L25" s="110"/>
      <c r="M25" s="110"/>
      <c r="N25" s="110"/>
      <c r="O25" s="110"/>
      <c r="P25" s="110"/>
      <c r="Q25" s="110"/>
      <c r="R25" s="110"/>
      <c r="S25" s="110"/>
      <c r="T25" s="110"/>
    </row>
    <row r="26" spans="1:21" x14ac:dyDescent="0.2">
      <c r="A26" s="110"/>
      <c r="B26" s="110"/>
      <c r="C26" s="110"/>
      <c r="D26" s="110"/>
      <c r="E26" s="110"/>
      <c r="F26" s="110"/>
      <c r="G26" s="110"/>
      <c r="H26" s="110"/>
      <c r="I26" s="110"/>
      <c r="J26" s="110"/>
      <c r="K26" s="110"/>
      <c r="L26" s="110"/>
      <c r="M26" s="110"/>
      <c r="N26" s="110"/>
      <c r="O26" s="110"/>
      <c r="P26" s="110"/>
      <c r="Q26" s="110"/>
      <c r="R26" s="110"/>
      <c r="S26" s="110"/>
      <c r="T26" s="110"/>
    </row>
    <row r="27" spans="1:21" x14ac:dyDescent="0.2">
      <c r="A27" s="110"/>
      <c r="B27" s="110"/>
      <c r="C27" s="110"/>
      <c r="D27" s="110"/>
      <c r="E27" s="110"/>
      <c r="F27" s="110"/>
      <c r="G27" s="110"/>
      <c r="H27" s="110"/>
      <c r="I27" s="110"/>
      <c r="J27" s="110"/>
      <c r="K27" s="110"/>
      <c r="L27" s="110"/>
      <c r="M27" s="110"/>
      <c r="N27" s="110"/>
      <c r="O27" s="110"/>
      <c r="P27" s="110"/>
      <c r="Q27" s="110"/>
      <c r="R27" s="110"/>
      <c r="S27" s="110"/>
      <c r="T27" s="110"/>
    </row>
    <row r="28" spans="1:21" x14ac:dyDescent="0.2">
      <c r="A28" s="110"/>
      <c r="B28" s="110"/>
      <c r="C28" s="110"/>
      <c r="D28" s="110"/>
      <c r="E28" s="110"/>
      <c r="F28" s="110"/>
      <c r="G28" s="110"/>
      <c r="H28" s="110"/>
      <c r="I28" s="110"/>
      <c r="J28" s="110"/>
      <c r="K28" s="110"/>
      <c r="L28" s="110"/>
      <c r="M28" s="110"/>
      <c r="N28" s="110"/>
      <c r="O28" s="110"/>
      <c r="P28" s="110"/>
      <c r="Q28" s="110"/>
      <c r="R28" s="110"/>
      <c r="S28" s="110"/>
      <c r="T28" s="110"/>
    </row>
    <row r="29" spans="1:21" x14ac:dyDescent="0.2">
      <c r="A29" s="110"/>
      <c r="B29" s="110"/>
      <c r="C29" s="110"/>
      <c r="D29" s="110"/>
      <c r="E29" s="110"/>
      <c r="F29" s="110"/>
      <c r="G29" s="110"/>
      <c r="H29" s="110"/>
      <c r="I29" s="110"/>
      <c r="J29" s="110"/>
      <c r="K29" s="110"/>
      <c r="L29" s="110"/>
      <c r="M29" s="110"/>
      <c r="N29" s="110"/>
      <c r="O29" s="110"/>
      <c r="P29" s="110"/>
      <c r="Q29" s="110"/>
      <c r="R29" s="110"/>
      <c r="S29" s="110"/>
      <c r="T29" s="110"/>
    </row>
    <row r="30" spans="1:21" x14ac:dyDescent="0.2">
      <c r="A30" s="110"/>
      <c r="B30" s="110"/>
      <c r="C30" s="110"/>
      <c r="D30" s="110"/>
      <c r="E30" s="110"/>
      <c r="F30" s="110"/>
      <c r="G30" s="110"/>
      <c r="H30" s="110"/>
      <c r="I30" s="110"/>
      <c r="J30" s="110"/>
      <c r="K30" s="110"/>
      <c r="L30" s="110"/>
      <c r="M30" s="110"/>
      <c r="N30" s="110"/>
      <c r="O30" s="110"/>
      <c r="P30" s="110"/>
      <c r="Q30" s="110"/>
      <c r="R30" s="110"/>
      <c r="S30" s="110"/>
      <c r="T30" s="110"/>
    </row>
    <row r="31" spans="1:21" x14ac:dyDescent="0.2">
      <c r="A31" s="110"/>
      <c r="B31" s="110"/>
      <c r="C31" s="110"/>
      <c r="D31" s="110"/>
      <c r="E31" s="110"/>
      <c r="F31" s="110"/>
      <c r="G31" s="110"/>
      <c r="H31" s="110"/>
      <c r="I31" s="110"/>
      <c r="J31" s="110"/>
      <c r="K31" s="110"/>
      <c r="L31" s="110"/>
      <c r="M31" s="110"/>
      <c r="N31" s="110"/>
      <c r="O31" s="110"/>
      <c r="P31" s="110"/>
      <c r="Q31" s="110"/>
      <c r="R31" s="110"/>
      <c r="S31" s="110"/>
      <c r="T31" s="110"/>
    </row>
    <row r="32" spans="1:21" x14ac:dyDescent="0.2">
      <c r="A32" s="110"/>
      <c r="B32" s="110"/>
      <c r="C32" s="110"/>
      <c r="D32" s="110"/>
      <c r="E32" s="110"/>
      <c r="F32" s="110"/>
      <c r="G32" s="110"/>
      <c r="H32" s="110"/>
      <c r="I32" s="110"/>
      <c r="J32" s="110"/>
      <c r="K32" s="110"/>
      <c r="L32" s="110"/>
      <c r="M32" s="110"/>
      <c r="N32" s="110"/>
      <c r="O32" s="110"/>
      <c r="P32" s="110"/>
      <c r="Q32" s="110"/>
      <c r="R32" s="110"/>
      <c r="S32" s="110"/>
      <c r="T32" s="110"/>
    </row>
    <row r="33" spans="1:20" x14ac:dyDescent="0.2">
      <c r="A33" s="110"/>
      <c r="B33" s="110"/>
      <c r="C33" s="110"/>
      <c r="D33" s="110"/>
      <c r="E33" s="110"/>
      <c r="F33" s="110"/>
      <c r="G33" s="110"/>
      <c r="H33" s="110"/>
      <c r="I33" s="110"/>
      <c r="J33" s="110"/>
      <c r="K33" s="110"/>
      <c r="L33" s="110"/>
      <c r="M33" s="110"/>
      <c r="N33" s="110"/>
      <c r="O33" s="110"/>
      <c r="P33" s="110"/>
      <c r="Q33" s="110"/>
      <c r="R33" s="110"/>
      <c r="S33" s="110"/>
      <c r="T33" s="110"/>
    </row>
    <row r="34" spans="1:20" x14ac:dyDescent="0.2">
      <c r="A34" s="110"/>
      <c r="B34" s="110"/>
      <c r="C34" s="110"/>
      <c r="D34" s="110"/>
      <c r="E34" s="110"/>
      <c r="F34" s="110"/>
      <c r="G34" s="110"/>
      <c r="H34" s="110"/>
      <c r="I34" s="110"/>
      <c r="J34" s="110"/>
      <c r="K34" s="110"/>
      <c r="L34" s="110"/>
      <c r="M34" s="110"/>
      <c r="N34" s="110"/>
      <c r="O34" s="110"/>
      <c r="P34" s="110"/>
      <c r="Q34" s="110"/>
      <c r="R34" s="110"/>
      <c r="S34" s="110"/>
      <c r="T34" s="110"/>
    </row>
    <row r="35" spans="1:20" x14ac:dyDescent="0.2">
      <c r="A35" s="110"/>
      <c r="B35" s="110"/>
      <c r="C35" s="110"/>
      <c r="D35" s="110"/>
      <c r="E35" s="110"/>
      <c r="F35" s="110"/>
      <c r="G35" s="110"/>
      <c r="H35" s="110"/>
      <c r="I35" s="110"/>
      <c r="J35" s="110"/>
      <c r="K35" s="110"/>
      <c r="L35" s="110"/>
      <c r="M35" s="110"/>
      <c r="N35" s="110"/>
      <c r="O35" s="110"/>
      <c r="P35" s="110"/>
      <c r="Q35" s="110"/>
      <c r="R35" s="110"/>
      <c r="S35" s="110"/>
      <c r="T35" s="110"/>
    </row>
    <row r="36" spans="1:20" x14ac:dyDescent="0.2">
      <c r="A36" s="110"/>
      <c r="B36" s="110"/>
      <c r="C36" s="110"/>
      <c r="D36" s="110"/>
      <c r="E36" s="110"/>
      <c r="F36" s="110"/>
      <c r="G36" s="110"/>
      <c r="H36" s="110"/>
      <c r="I36" s="110"/>
      <c r="J36" s="110"/>
      <c r="K36" s="110"/>
      <c r="L36" s="110"/>
      <c r="M36" s="110"/>
      <c r="N36" s="110"/>
      <c r="O36" s="110"/>
      <c r="P36" s="110"/>
      <c r="Q36" s="110"/>
      <c r="R36" s="110"/>
      <c r="S36" s="110"/>
      <c r="T36" s="110"/>
    </row>
    <row r="37" spans="1:20" x14ac:dyDescent="0.2">
      <c r="A37" s="110"/>
      <c r="B37" s="110"/>
      <c r="C37" s="110"/>
      <c r="D37" s="110"/>
      <c r="E37" s="110"/>
      <c r="F37" s="110"/>
      <c r="G37" s="110"/>
      <c r="H37" s="110"/>
      <c r="I37" s="110"/>
      <c r="J37" s="110"/>
      <c r="K37" s="110"/>
      <c r="L37" s="110"/>
      <c r="M37" s="110"/>
      <c r="N37" s="110"/>
      <c r="O37" s="110"/>
      <c r="P37" s="110"/>
      <c r="Q37" s="110"/>
      <c r="R37" s="110"/>
      <c r="S37" s="110"/>
      <c r="T37" s="110"/>
    </row>
    <row r="38" spans="1:20" x14ac:dyDescent="0.2">
      <c r="A38" s="110"/>
      <c r="B38" s="110"/>
      <c r="C38" s="110"/>
      <c r="D38" s="110"/>
      <c r="E38" s="110"/>
      <c r="F38" s="110"/>
      <c r="G38" s="110"/>
      <c r="H38" s="110"/>
      <c r="I38" s="110"/>
      <c r="J38" s="110"/>
      <c r="K38" s="110"/>
      <c r="L38" s="110"/>
      <c r="M38" s="110"/>
      <c r="N38" s="110"/>
      <c r="O38" s="110"/>
      <c r="P38" s="110"/>
      <c r="Q38" s="110"/>
      <c r="R38" s="110"/>
      <c r="S38" s="110"/>
      <c r="T38" s="110"/>
    </row>
    <row r="39" spans="1:20" x14ac:dyDescent="0.2">
      <c r="A39" s="110"/>
      <c r="B39" s="110"/>
      <c r="C39" s="110"/>
      <c r="D39" s="110"/>
      <c r="E39" s="110"/>
      <c r="F39" s="110"/>
      <c r="G39" s="110"/>
      <c r="H39" s="110"/>
      <c r="I39" s="110"/>
      <c r="J39" s="110"/>
      <c r="K39" s="110"/>
      <c r="L39" s="110"/>
      <c r="M39" s="110"/>
      <c r="N39" s="110"/>
      <c r="O39" s="110"/>
      <c r="P39" s="110"/>
      <c r="Q39" s="110"/>
      <c r="R39" s="110"/>
      <c r="S39" s="110"/>
      <c r="T39" s="110"/>
    </row>
    <row r="40" spans="1:20" x14ac:dyDescent="0.2">
      <c r="A40" s="110"/>
      <c r="B40" s="110"/>
      <c r="C40" s="110"/>
      <c r="D40" s="110"/>
      <c r="E40" s="110"/>
      <c r="F40" s="110"/>
      <c r="G40" s="110"/>
      <c r="H40" s="110"/>
      <c r="I40" s="110"/>
      <c r="J40" s="110"/>
      <c r="K40" s="110"/>
      <c r="L40" s="110"/>
      <c r="M40" s="110"/>
      <c r="N40" s="110"/>
      <c r="O40" s="110"/>
      <c r="P40" s="110"/>
      <c r="Q40" s="110"/>
      <c r="R40" s="110"/>
      <c r="S40" s="110"/>
      <c r="T40" s="110"/>
    </row>
    <row r="41" spans="1:20" x14ac:dyDescent="0.2">
      <c r="A41" s="110"/>
      <c r="B41" s="110"/>
      <c r="C41" s="110"/>
      <c r="D41" s="110"/>
      <c r="E41" s="110"/>
      <c r="F41" s="110"/>
      <c r="G41" s="110"/>
      <c r="H41" s="110"/>
      <c r="I41" s="110"/>
      <c r="J41" s="110"/>
      <c r="K41" s="110"/>
      <c r="L41" s="110"/>
      <c r="M41" s="110"/>
      <c r="N41" s="110"/>
      <c r="O41" s="110"/>
      <c r="P41" s="110"/>
      <c r="Q41" s="110"/>
      <c r="R41" s="110"/>
      <c r="S41" s="110"/>
      <c r="T41" s="110"/>
    </row>
    <row r="42" spans="1:20" x14ac:dyDescent="0.2">
      <c r="A42" s="110"/>
      <c r="B42" s="110"/>
      <c r="C42" s="110"/>
      <c r="D42" s="110"/>
      <c r="E42" s="110"/>
      <c r="F42" s="110"/>
      <c r="G42" s="110"/>
      <c r="H42" s="110"/>
      <c r="I42" s="110"/>
      <c r="J42" s="110"/>
      <c r="K42" s="110"/>
      <c r="L42" s="110"/>
      <c r="M42" s="110"/>
      <c r="N42" s="110"/>
      <c r="O42" s="110"/>
      <c r="P42" s="110"/>
      <c r="Q42" s="110"/>
      <c r="R42" s="110"/>
      <c r="S42" s="110"/>
      <c r="T42" s="110"/>
    </row>
    <row r="43" spans="1:20" x14ac:dyDescent="0.2">
      <c r="A43" s="110"/>
      <c r="B43" s="110"/>
      <c r="C43" s="110"/>
      <c r="D43" s="110"/>
      <c r="E43" s="110"/>
      <c r="F43" s="110"/>
      <c r="G43" s="110"/>
      <c r="H43" s="110"/>
      <c r="I43" s="110"/>
      <c r="J43" s="110"/>
      <c r="K43" s="110"/>
      <c r="L43" s="110"/>
      <c r="M43" s="110"/>
      <c r="N43" s="110"/>
      <c r="O43" s="110"/>
      <c r="P43" s="110"/>
      <c r="Q43" s="110"/>
      <c r="R43" s="110"/>
      <c r="S43" s="110"/>
      <c r="T43" s="110"/>
    </row>
    <row r="44" spans="1:20" x14ac:dyDescent="0.2">
      <c r="A44" s="110"/>
      <c r="B44" s="110"/>
      <c r="C44" s="110"/>
      <c r="D44" s="110"/>
      <c r="E44" s="110"/>
      <c r="F44" s="110"/>
      <c r="G44" s="110"/>
      <c r="H44" s="110"/>
      <c r="I44" s="110"/>
      <c r="J44" s="110"/>
      <c r="K44" s="110"/>
      <c r="L44" s="110"/>
      <c r="M44" s="110"/>
      <c r="N44" s="110"/>
      <c r="O44" s="110"/>
      <c r="P44" s="110"/>
      <c r="Q44" s="110"/>
      <c r="R44" s="110"/>
      <c r="S44" s="110"/>
      <c r="T44" s="110"/>
    </row>
    <row r="45" spans="1:20" x14ac:dyDescent="0.2">
      <c r="A45" s="110"/>
      <c r="B45" s="110"/>
      <c r="C45" s="110"/>
      <c r="D45" s="110"/>
      <c r="E45" s="110"/>
      <c r="F45" s="110"/>
      <c r="G45" s="110"/>
      <c r="H45" s="110"/>
      <c r="I45" s="110"/>
      <c r="J45" s="110"/>
      <c r="K45" s="110"/>
      <c r="L45" s="110"/>
      <c r="M45" s="110"/>
      <c r="N45" s="110"/>
      <c r="O45" s="110"/>
      <c r="P45" s="110"/>
      <c r="Q45" s="110"/>
      <c r="R45" s="110"/>
      <c r="S45" s="110"/>
      <c r="T45" s="110"/>
    </row>
    <row r="46" spans="1:20" x14ac:dyDescent="0.2">
      <c r="A46" s="110"/>
      <c r="B46" s="110"/>
      <c r="C46" s="110"/>
      <c r="D46" s="110"/>
      <c r="E46" s="110"/>
      <c r="F46" s="110"/>
      <c r="G46" s="110"/>
      <c r="H46" s="110"/>
      <c r="I46" s="110"/>
      <c r="J46" s="110"/>
      <c r="K46" s="110"/>
      <c r="L46" s="110"/>
      <c r="M46" s="110"/>
      <c r="N46" s="110"/>
      <c r="O46" s="110"/>
      <c r="P46" s="110"/>
      <c r="Q46" s="110"/>
      <c r="R46" s="110"/>
      <c r="S46" s="110"/>
      <c r="T46" s="110"/>
    </row>
    <row r="47" spans="1:20" x14ac:dyDescent="0.2">
      <c r="A47" s="110"/>
      <c r="B47" s="110"/>
      <c r="C47" s="110"/>
      <c r="D47" s="110"/>
      <c r="E47" s="110"/>
      <c r="F47" s="110"/>
      <c r="G47" s="110"/>
      <c r="H47" s="110"/>
      <c r="I47" s="110"/>
      <c r="J47" s="110"/>
      <c r="K47" s="110"/>
      <c r="L47" s="110"/>
      <c r="M47" s="110"/>
      <c r="N47" s="110"/>
      <c r="O47" s="110"/>
      <c r="P47" s="110"/>
      <c r="Q47" s="110"/>
      <c r="R47" s="110"/>
      <c r="S47" s="110"/>
      <c r="T47" s="110"/>
    </row>
    <row r="48" spans="1:20" x14ac:dyDescent="0.2">
      <c r="A48" s="110"/>
      <c r="B48" s="110"/>
      <c r="C48" s="110"/>
      <c r="D48" s="110"/>
      <c r="E48" s="110"/>
      <c r="F48" s="110"/>
      <c r="G48" s="110"/>
      <c r="H48" s="110"/>
      <c r="I48" s="110"/>
      <c r="J48" s="110"/>
      <c r="K48" s="110"/>
      <c r="L48" s="110"/>
      <c r="M48" s="110"/>
      <c r="N48" s="110"/>
      <c r="O48" s="110"/>
      <c r="P48" s="110"/>
      <c r="Q48" s="110"/>
      <c r="R48" s="110"/>
      <c r="S48" s="110"/>
      <c r="T48" s="110"/>
    </row>
    <row r="49" spans="1:20" x14ac:dyDescent="0.2">
      <c r="A49" s="110"/>
      <c r="B49" s="110"/>
      <c r="C49" s="110"/>
      <c r="D49" s="110"/>
      <c r="E49" s="110"/>
      <c r="F49" s="110"/>
      <c r="G49" s="110"/>
      <c r="H49" s="110"/>
      <c r="I49" s="110"/>
      <c r="J49" s="110"/>
      <c r="K49" s="110"/>
      <c r="L49" s="110"/>
      <c r="M49" s="110"/>
      <c r="N49" s="110"/>
      <c r="O49" s="110"/>
      <c r="P49" s="110"/>
      <c r="Q49" s="110"/>
      <c r="R49" s="110"/>
      <c r="S49" s="110"/>
      <c r="T49" s="110"/>
    </row>
    <row r="50" spans="1:20" x14ac:dyDescent="0.2">
      <c r="A50" s="110"/>
      <c r="B50" s="110"/>
      <c r="C50" s="110"/>
      <c r="D50" s="110"/>
      <c r="E50" s="110"/>
      <c r="F50" s="110"/>
      <c r="G50" s="110"/>
      <c r="H50" s="110"/>
      <c r="I50" s="110"/>
      <c r="J50" s="110"/>
      <c r="K50" s="110"/>
      <c r="L50" s="110"/>
      <c r="M50" s="110"/>
      <c r="N50" s="110"/>
      <c r="O50" s="110"/>
      <c r="P50" s="110"/>
      <c r="Q50" s="110"/>
      <c r="R50" s="110"/>
      <c r="S50" s="110"/>
      <c r="T50" s="110"/>
    </row>
    <row r="51" spans="1:20" x14ac:dyDescent="0.2">
      <c r="A51" s="110"/>
      <c r="B51" s="110"/>
      <c r="C51" s="110"/>
      <c r="D51" s="110"/>
      <c r="E51" s="110"/>
      <c r="F51" s="110"/>
      <c r="G51" s="110"/>
      <c r="H51" s="110"/>
      <c r="I51" s="110"/>
      <c r="J51" s="110"/>
      <c r="K51" s="110"/>
      <c r="L51" s="110"/>
      <c r="M51" s="110"/>
      <c r="N51" s="110"/>
      <c r="O51" s="110"/>
      <c r="P51" s="110"/>
      <c r="Q51" s="110"/>
      <c r="R51" s="110"/>
      <c r="S51" s="110"/>
      <c r="T51" s="110"/>
    </row>
    <row r="52" spans="1:20" x14ac:dyDescent="0.2">
      <c r="A52" s="110"/>
      <c r="B52" s="110"/>
      <c r="C52" s="110"/>
      <c r="D52" s="110"/>
      <c r="E52" s="110"/>
      <c r="F52" s="110"/>
      <c r="G52" s="110"/>
      <c r="H52" s="110"/>
      <c r="I52" s="110"/>
      <c r="J52" s="110"/>
      <c r="K52" s="110"/>
      <c r="L52" s="110"/>
      <c r="M52" s="110"/>
      <c r="N52" s="110"/>
      <c r="O52" s="110"/>
      <c r="P52" s="110"/>
      <c r="Q52" s="110"/>
      <c r="R52" s="110"/>
      <c r="S52" s="110"/>
      <c r="T52" s="110"/>
    </row>
    <row r="53" spans="1:20" x14ac:dyDescent="0.2">
      <c r="A53" s="110"/>
      <c r="B53" s="110"/>
      <c r="C53" s="110"/>
      <c r="D53" s="110"/>
      <c r="E53" s="110"/>
      <c r="F53" s="110"/>
      <c r="G53" s="110"/>
      <c r="H53" s="110"/>
      <c r="I53" s="110"/>
      <c r="J53" s="110"/>
      <c r="K53" s="110"/>
      <c r="L53" s="110"/>
      <c r="M53" s="110"/>
      <c r="N53" s="110"/>
      <c r="O53" s="110"/>
      <c r="P53" s="110"/>
      <c r="Q53" s="110"/>
      <c r="R53" s="110"/>
      <c r="S53" s="110"/>
      <c r="T53" s="110"/>
    </row>
    <row r="54" spans="1:20" x14ac:dyDescent="0.2">
      <c r="A54" s="110"/>
      <c r="B54" s="110"/>
      <c r="C54" s="110"/>
      <c r="D54" s="110"/>
      <c r="E54" s="110"/>
      <c r="F54" s="110"/>
      <c r="G54" s="110"/>
      <c r="H54" s="110"/>
      <c r="I54" s="110"/>
      <c r="J54" s="110"/>
      <c r="K54" s="110"/>
      <c r="L54" s="110"/>
      <c r="M54" s="110"/>
      <c r="N54" s="110"/>
      <c r="O54" s="110"/>
      <c r="P54" s="110"/>
      <c r="Q54" s="110"/>
      <c r="R54" s="110"/>
      <c r="S54" s="110"/>
      <c r="T54" s="110"/>
    </row>
    <row r="55" spans="1:20" x14ac:dyDescent="0.2">
      <c r="A55" s="110"/>
      <c r="B55" s="110"/>
      <c r="C55" s="110"/>
      <c r="D55" s="110"/>
      <c r="E55" s="110"/>
      <c r="F55" s="110"/>
      <c r="G55" s="110"/>
      <c r="H55" s="110"/>
      <c r="I55" s="110"/>
      <c r="J55" s="110"/>
      <c r="K55" s="110"/>
      <c r="L55" s="110"/>
      <c r="M55" s="110"/>
      <c r="N55" s="110"/>
      <c r="O55" s="110"/>
      <c r="P55" s="110"/>
      <c r="Q55" s="110"/>
      <c r="R55" s="110"/>
      <c r="S55" s="110"/>
      <c r="T55" s="110"/>
    </row>
    <row r="56" spans="1:20" x14ac:dyDescent="0.2">
      <c r="A56" s="110"/>
      <c r="B56" s="110"/>
      <c r="C56" s="110"/>
      <c r="D56" s="110"/>
      <c r="E56" s="110"/>
      <c r="F56" s="110"/>
      <c r="G56" s="110"/>
      <c r="H56" s="110"/>
      <c r="I56" s="110"/>
      <c r="J56" s="110"/>
      <c r="K56" s="110"/>
      <c r="L56" s="110"/>
      <c r="M56" s="110"/>
      <c r="N56" s="110"/>
      <c r="O56" s="110"/>
      <c r="P56" s="110"/>
      <c r="Q56" s="110"/>
      <c r="R56" s="110"/>
      <c r="S56" s="110"/>
      <c r="T56" s="110"/>
    </row>
    <row r="57" spans="1:20" x14ac:dyDescent="0.2">
      <c r="A57" s="110"/>
      <c r="B57" s="110"/>
      <c r="C57" s="110"/>
      <c r="D57" s="110"/>
      <c r="E57" s="110"/>
      <c r="F57" s="110"/>
      <c r="G57" s="110"/>
      <c r="H57" s="110"/>
      <c r="I57" s="110"/>
      <c r="J57" s="110"/>
      <c r="K57" s="110"/>
      <c r="L57" s="110"/>
      <c r="M57" s="110"/>
      <c r="N57" s="110"/>
      <c r="O57" s="110"/>
      <c r="P57" s="110"/>
      <c r="Q57" s="110"/>
      <c r="R57" s="110"/>
      <c r="S57" s="110"/>
      <c r="T57" s="110"/>
    </row>
    <row r="58" spans="1:20" x14ac:dyDescent="0.2">
      <c r="A58" s="110"/>
      <c r="B58" s="110"/>
      <c r="C58" s="110"/>
      <c r="D58" s="110"/>
      <c r="E58" s="110"/>
      <c r="F58" s="110"/>
      <c r="G58" s="110"/>
      <c r="H58" s="110"/>
      <c r="I58" s="110"/>
      <c r="J58" s="110"/>
      <c r="K58" s="110"/>
      <c r="L58" s="110"/>
      <c r="M58" s="110"/>
      <c r="N58" s="110"/>
      <c r="O58" s="110"/>
      <c r="P58" s="110"/>
      <c r="Q58" s="110"/>
      <c r="R58" s="110"/>
      <c r="S58" s="110"/>
      <c r="T58" s="110"/>
    </row>
    <row r="59" spans="1:20" x14ac:dyDescent="0.2">
      <c r="A59" s="110"/>
      <c r="B59" s="110"/>
      <c r="C59" s="110"/>
      <c r="D59" s="110"/>
      <c r="E59" s="110"/>
      <c r="F59" s="110"/>
      <c r="G59" s="110"/>
      <c r="H59" s="110"/>
      <c r="I59" s="110"/>
      <c r="J59" s="110"/>
      <c r="K59" s="110"/>
      <c r="L59" s="110"/>
      <c r="M59" s="110"/>
      <c r="N59" s="110"/>
      <c r="O59" s="110"/>
      <c r="P59" s="110"/>
      <c r="Q59" s="110"/>
      <c r="R59" s="110"/>
      <c r="S59" s="110"/>
      <c r="T59" s="110"/>
    </row>
    <row r="60" spans="1:20" x14ac:dyDescent="0.2">
      <c r="A60" s="110"/>
      <c r="B60" s="110"/>
      <c r="C60" s="110"/>
      <c r="D60" s="110"/>
      <c r="E60" s="110"/>
      <c r="F60" s="110"/>
      <c r="G60" s="110"/>
      <c r="H60" s="110"/>
      <c r="I60" s="110"/>
      <c r="J60" s="110"/>
      <c r="K60" s="110"/>
      <c r="L60" s="110"/>
      <c r="M60" s="110"/>
      <c r="N60" s="110"/>
      <c r="O60" s="110"/>
      <c r="P60" s="110"/>
      <c r="Q60" s="110"/>
      <c r="R60" s="110"/>
      <c r="S60" s="110"/>
      <c r="T60" s="110"/>
    </row>
    <row r="61" spans="1:20" x14ac:dyDescent="0.2">
      <c r="A61" s="110"/>
      <c r="B61" s="110"/>
      <c r="C61" s="110"/>
      <c r="D61" s="110"/>
      <c r="E61" s="110"/>
      <c r="F61" s="110"/>
      <c r="G61" s="110"/>
      <c r="H61" s="110"/>
      <c r="I61" s="110"/>
      <c r="J61" s="110"/>
      <c r="K61" s="110"/>
      <c r="L61" s="110"/>
      <c r="M61" s="110"/>
      <c r="N61" s="110"/>
      <c r="O61" s="110"/>
      <c r="P61" s="110"/>
      <c r="Q61" s="110"/>
      <c r="R61" s="110"/>
      <c r="S61" s="110"/>
      <c r="T61" s="110"/>
    </row>
    <row r="62" spans="1:20" x14ac:dyDescent="0.2">
      <c r="A62" s="110"/>
      <c r="B62" s="110"/>
      <c r="C62" s="110"/>
      <c r="D62" s="110"/>
      <c r="E62" s="110"/>
      <c r="F62" s="110"/>
      <c r="G62" s="110"/>
      <c r="H62" s="110"/>
      <c r="I62" s="110"/>
      <c r="J62" s="110"/>
      <c r="K62" s="110"/>
      <c r="L62" s="110"/>
      <c r="M62" s="110"/>
      <c r="N62" s="110"/>
      <c r="O62" s="110"/>
      <c r="P62" s="110"/>
      <c r="Q62" s="110"/>
      <c r="R62" s="110"/>
      <c r="S62" s="110"/>
      <c r="T62" s="110"/>
    </row>
    <row r="63" spans="1:20" x14ac:dyDescent="0.2">
      <c r="A63" s="110"/>
      <c r="B63" s="110"/>
      <c r="C63" s="110"/>
      <c r="D63" s="110"/>
      <c r="E63" s="110"/>
      <c r="F63" s="110"/>
      <c r="G63" s="110"/>
      <c r="H63" s="110"/>
      <c r="I63" s="110"/>
      <c r="J63" s="110"/>
      <c r="K63" s="110"/>
      <c r="L63" s="110"/>
      <c r="M63" s="110"/>
      <c r="N63" s="110"/>
      <c r="O63" s="110"/>
      <c r="P63" s="110"/>
      <c r="Q63" s="110"/>
      <c r="R63" s="110"/>
      <c r="S63" s="110"/>
      <c r="T63" s="110"/>
    </row>
    <row r="64" spans="1:20" x14ac:dyDescent="0.2">
      <c r="A64" s="110"/>
      <c r="B64" s="110"/>
      <c r="C64" s="110"/>
      <c r="D64" s="110"/>
      <c r="E64" s="110"/>
      <c r="F64" s="110"/>
      <c r="G64" s="110"/>
      <c r="H64" s="110"/>
      <c r="I64" s="110"/>
      <c r="J64" s="110"/>
      <c r="K64" s="110"/>
      <c r="L64" s="110"/>
      <c r="M64" s="110"/>
      <c r="N64" s="110"/>
      <c r="O64" s="110"/>
      <c r="P64" s="110"/>
      <c r="Q64" s="110"/>
      <c r="R64" s="110"/>
      <c r="S64" s="110"/>
      <c r="T64" s="110"/>
    </row>
    <row r="65" spans="1:20" x14ac:dyDescent="0.2">
      <c r="A65" s="110"/>
      <c r="B65" s="110"/>
      <c r="C65" s="110"/>
      <c r="D65" s="110"/>
      <c r="E65" s="110"/>
      <c r="F65" s="110"/>
      <c r="G65" s="110"/>
      <c r="H65" s="110"/>
      <c r="I65" s="110"/>
      <c r="J65" s="110"/>
      <c r="K65" s="110"/>
      <c r="L65" s="110"/>
      <c r="M65" s="110"/>
      <c r="N65" s="110"/>
      <c r="O65" s="110"/>
      <c r="P65" s="110"/>
      <c r="Q65" s="110"/>
      <c r="R65" s="110"/>
      <c r="S65" s="110"/>
      <c r="T65" s="110"/>
    </row>
    <row r="66" spans="1:20" x14ac:dyDescent="0.2">
      <c r="A66" s="110"/>
      <c r="B66" s="110"/>
      <c r="C66" s="110"/>
      <c r="D66" s="110"/>
      <c r="E66" s="110"/>
      <c r="F66" s="110"/>
      <c r="G66" s="110"/>
      <c r="H66" s="110"/>
      <c r="I66" s="110"/>
      <c r="J66" s="110"/>
      <c r="K66" s="110"/>
      <c r="L66" s="110"/>
      <c r="M66" s="110"/>
      <c r="N66" s="110"/>
      <c r="O66" s="110"/>
      <c r="P66" s="110"/>
      <c r="Q66" s="110"/>
      <c r="R66" s="110"/>
      <c r="S66" s="110"/>
      <c r="T66" s="110"/>
    </row>
    <row r="67" spans="1:20" x14ac:dyDescent="0.2">
      <c r="A67" s="110"/>
      <c r="B67" s="110"/>
      <c r="C67" s="110"/>
      <c r="D67" s="110"/>
      <c r="E67" s="110"/>
      <c r="F67" s="110"/>
      <c r="G67" s="110"/>
      <c r="H67" s="110"/>
      <c r="I67" s="110"/>
      <c r="J67" s="110"/>
      <c r="K67" s="110"/>
      <c r="L67" s="110"/>
      <c r="M67" s="110"/>
      <c r="N67" s="110"/>
      <c r="O67" s="110"/>
      <c r="P67" s="110"/>
      <c r="Q67" s="110"/>
      <c r="R67" s="110"/>
      <c r="S67" s="110"/>
      <c r="T67" s="110"/>
    </row>
    <row r="68" spans="1:20" x14ac:dyDescent="0.2">
      <c r="A68" s="110"/>
      <c r="B68" s="110"/>
      <c r="C68" s="110"/>
      <c r="D68" s="110"/>
      <c r="E68" s="110"/>
      <c r="F68" s="110"/>
      <c r="G68" s="110"/>
      <c r="H68" s="110"/>
      <c r="I68" s="110"/>
      <c r="J68" s="110"/>
      <c r="K68" s="110"/>
      <c r="L68" s="110"/>
      <c r="M68" s="110"/>
      <c r="N68" s="110"/>
      <c r="O68" s="110"/>
      <c r="P68" s="110"/>
      <c r="Q68" s="110"/>
      <c r="R68" s="110"/>
      <c r="S68" s="110"/>
      <c r="T68" s="110"/>
    </row>
    <row r="69" spans="1:20" x14ac:dyDescent="0.2">
      <c r="A69" s="110"/>
      <c r="B69" s="110"/>
      <c r="C69" s="110"/>
      <c r="D69" s="110"/>
      <c r="E69" s="110"/>
      <c r="F69" s="110"/>
      <c r="G69" s="110"/>
      <c r="H69" s="110"/>
      <c r="I69" s="110"/>
      <c r="J69" s="110"/>
      <c r="K69" s="110"/>
      <c r="L69" s="110"/>
      <c r="M69" s="110"/>
      <c r="N69" s="110"/>
      <c r="O69" s="110"/>
      <c r="P69" s="110"/>
      <c r="Q69" s="110"/>
      <c r="R69" s="110"/>
      <c r="S69" s="110"/>
      <c r="T69" s="110"/>
    </row>
    <row r="70" spans="1:20" x14ac:dyDescent="0.2">
      <c r="A70" s="110"/>
      <c r="B70" s="110"/>
      <c r="C70" s="110"/>
      <c r="D70" s="110"/>
      <c r="E70" s="110"/>
      <c r="F70" s="110"/>
      <c r="G70" s="110"/>
      <c r="H70" s="110"/>
      <c r="I70" s="110"/>
      <c r="J70" s="110"/>
      <c r="K70" s="110"/>
      <c r="L70" s="110"/>
      <c r="M70" s="110"/>
      <c r="N70" s="110"/>
      <c r="O70" s="110"/>
      <c r="P70" s="110"/>
      <c r="Q70" s="110"/>
      <c r="R70" s="110"/>
      <c r="S70" s="110"/>
      <c r="T70" s="110"/>
    </row>
    <row r="71" spans="1:20" x14ac:dyDescent="0.2">
      <c r="A71" s="110"/>
      <c r="B71" s="110"/>
      <c r="C71" s="110"/>
      <c r="D71" s="110"/>
      <c r="E71" s="110"/>
      <c r="F71" s="110"/>
      <c r="G71" s="110"/>
      <c r="H71" s="110"/>
      <c r="I71" s="110"/>
      <c r="J71" s="110"/>
      <c r="K71" s="110"/>
      <c r="L71" s="110"/>
      <c r="M71" s="110"/>
      <c r="N71" s="110"/>
      <c r="O71" s="110"/>
      <c r="P71" s="110"/>
      <c r="Q71" s="110"/>
      <c r="R71" s="110"/>
      <c r="S71" s="110"/>
      <c r="T71" s="110"/>
    </row>
  </sheetData>
  <sheetProtection password="9C8D" sheet="1" objects="1" scenarios="1"/>
  <mergeCells count="5">
    <mergeCell ref="A1:C1"/>
    <mergeCell ref="A2:C2"/>
    <mergeCell ref="A3:C3"/>
    <mergeCell ref="A12:C12"/>
    <mergeCell ref="A14:C14"/>
  </mergeCells>
  <pageMargins left="0.78740157499999996" right="0.78740157499999996" top="0.984251969" bottom="0.984251969" header="0.49212598499999999" footer="0.49212598499999999"/>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56"/>
  <sheetViews>
    <sheetView windowProtection="1" showGridLines="0" workbookViewId="0">
      <selection activeCell="F5" sqref="F5"/>
    </sheetView>
  </sheetViews>
  <sheetFormatPr defaultRowHeight="12.75" x14ac:dyDescent="0.2"/>
  <cols>
    <col min="1" max="1" width="38.5703125" customWidth="1"/>
    <col min="2" max="2" width="16.140625" customWidth="1"/>
    <col min="3" max="3" width="15.42578125" bestFit="1" customWidth="1"/>
    <col min="4" max="4" width="20.5703125" customWidth="1"/>
    <col min="5" max="5" width="11.28515625" customWidth="1"/>
    <col min="7" max="7" width="9.140625" style="196"/>
  </cols>
  <sheetData>
    <row r="1" spans="1:75" ht="15.75" x14ac:dyDescent="0.25">
      <c r="A1" s="1297" t="s">
        <v>409</v>
      </c>
      <c r="B1" s="1297"/>
      <c r="C1" s="1297"/>
      <c r="D1" s="1297"/>
      <c r="E1" s="1297"/>
      <c r="F1" s="110"/>
      <c r="G1" s="194"/>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row>
    <row r="2" spans="1:75" ht="18" x14ac:dyDescent="0.2">
      <c r="A2" s="1298" t="s">
        <v>383</v>
      </c>
      <c r="B2" s="1298"/>
      <c r="C2" s="1298"/>
      <c r="D2" s="1298"/>
      <c r="E2" s="1298"/>
      <c r="F2" s="110"/>
      <c r="G2" s="194"/>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spans="1:75" ht="15" x14ac:dyDescent="0.2">
      <c r="A3" s="1298" t="str">
        <f>[5]Dados!A18</f>
        <v>Exercício de 2015</v>
      </c>
      <c r="B3" s="1298"/>
      <c r="C3" s="1298"/>
      <c r="D3" s="1298"/>
      <c r="E3" s="1298"/>
      <c r="F3" s="110"/>
      <c r="G3" s="194"/>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row>
    <row r="4" spans="1:75" x14ac:dyDescent="0.2">
      <c r="A4" s="1304" t="s">
        <v>147</v>
      </c>
      <c r="B4" s="1304"/>
      <c r="C4" s="1304"/>
      <c r="D4" s="1304"/>
      <c r="E4" s="1304"/>
      <c r="F4" s="110"/>
      <c r="G4" s="194"/>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row>
    <row r="5" spans="1:75" ht="45" customHeight="1" x14ac:dyDescent="0.2">
      <c r="A5" s="289" t="s">
        <v>148</v>
      </c>
      <c r="B5" s="289" t="s">
        <v>205</v>
      </c>
      <c r="C5" s="289" t="s">
        <v>8</v>
      </c>
      <c r="D5" s="289" t="s">
        <v>384</v>
      </c>
      <c r="E5" s="289" t="s">
        <v>8</v>
      </c>
      <c r="F5" s="292"/>
      <c r="G5" s="151"/>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row>
    <row r="6" spans="1:75" ht="20.100000000000001" customHeight="1" x14ac:dyDescent="0.2">
      <c r="A6" s="156" t="s">
        <v>385</v>
      </c>
      <c r="B6" s="190">
        <v>9457</v>
      </c>
      <c r="C6" s="452">
        <f>IF($B$10=0,0,ROUND(B6/$B$10*100,1))</f>
        <v>1.9</v>
      </c>
      <c r="D6" s="199">
        <v>2341400</v>
      </c>
      <c r="E6" s="452">
        <f>IF($D$10=0,0,ROUND(D6/$D$10*100,1))</f>
        <v>20.399999999999999</v>
      </c>
      <c r="F6" s="110"/>
      <c r="G6" s="346"/>
      <c r="H6" s="204"/>
      <c r="I6" s="110"/>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row>
    <row r="7" spans="1:75" ht="20.100000000000001" customHeight="1" x14ac:dyDescent="0.2">
      <c r="A7" s="156" t="s">
        <v>386</v>
      </c>
      <c r="B7" s="190">
        <v>148749</v>
      </c>
      <c r="C7" s="452">
        <f>IF($B$10=0,0,ROUND(B7/$B$10*100,1))</f>
        <v>29.4</v>
      </c>
      <c r="D7" s="199">
        <v>1669580</v>
      </c>
      <c r="E7" s="452">
        <f>IF($D$10=0,0,ROUND(D7/$D$10*100,1))</f>
        <v>14.5</v>
      </c>
      <c r="F7" s="110"/>
      <c r="G7" s="346"/>
      <c r="H7" s="204"/>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row>
    <row r="8" spans="1:75" ht="20.100000000000001" customHeight="1" x14ac:dyDescent="0.2">
      <c r="A8" s="156" t="s">
        <v>387</v>
      </c>
      <c r="B8" s="190">
        <v>175404</v>
      </c>
      <c r="C8" s="452">
        <v>34.6</v>
      </c>
      <c r="D8" s="199">
        <v>3548136</v>
      </c>
      <c r="E8" s="452">
        <f>IF($D$10=0,0,ROUND(D8/$D$10*100,1))</f>
        <v>30.9</v>
      </c>
      <c r="F8" s="110"/>
      <c r="G8" s="346"/>
      <c r="H8" s="204"/>
      <c r="I8" s="110"/>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row>
    <row r="9" spans="1:75" ht="20.100000000000001" customHeight="1" x14ac:dyDescent="0.2">
      <c r="A9" s="156" t="s">
        <v>388</v>
      </c>
      <c r="B9" s="190">
        <v>172507</v>
      </c>
      <c r="C9" s="452">
        <f>IF($B$10=0,0,ROUND(B9/$B$10*100,1))</f>
        <v>34.1</v>
      </c>
      <c r="D9" s="199">
        <v>3936111</v>
      </c>
      <c r="E9" s="452">
        <f>IF($D$10=0,0,ROUND(D9/$D$10*100,1))</f>
        <v>34.200000000000003</v>
      </c>
      <c r="F9" s="110"/>
      <c r="G9" s="343"/>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row>
    <row r="10" spans="1:75" ht="22.5" customHeight="1" x14ac:dyDescent="0.2">
      <c r="A10" s="289" t="s">
        <v>29</v>
      </c>
      <c r="B10" s="107">
        <f>SUM(B6:B9)</f>
        <v>506117</v>
      </c>
      <c r="C10" s="426">
        <f>SUM(C6:C9)</f>
        <v>100</v>
      </c>
      <c r="D10" s="107">
        <f>SUM(D6:D9)</f>
        <v>11495227</v>
      </c>
      <c r="E10" s="38">
        <f>SUM(E6:E9)</f>
        <v>100</v>
      </c>
      <c r="F10" s="110"/>
      <c r="G10" s="194"/>
      <c r="H10" s="110"/>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row>
    <row r="11" spans="1:75" x14ac:dyDescent="0.2">
      <c r="A11" s="1305" t="s">
        <v>144</v>
      </c>
      <c r="B11" s="1305"/>
      <c r="C11" s="1305"/>
      <c r="D11" s="1305"/>
      <c r="E11" s="1305"/>
      <c r="F11" s="110"/>
      <c r="G11" s="194"/>
      <c r="H11" s="110"/>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row>
    <row r="12" spans="1:75" ht="84" customHeight="1" x14ac:dyDescent="0.2">
      <c r="A12" s="1303" t="s">
        <v>389</v>
      </c>
      <c r="B12" s="1241"/>
      <c r="C12" s="1241"/>
      <c r="D12" s="1241"/>
      <c r="E12" s="1241"/>
      <c r="F12" s="110"/>
      <c r="G12" s="194"/>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row>
    <row r="13" spans="1:75" x14ac:dyDescent="0.2">
      <c r="A13" s="110"/>
      <c r="B13" s="110"/>
      <c r="C13" s="110"/>
      <c r="D13" s="110"/>
      <c r="E13" s="110"/>
      <c r="F13" s="110"/>
      <c r="G13" s="194"/>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row>
    <row r="14" spans="1:75" x14ac:dyDescent="0.2">
      <c r="A14" s="110"/>
      <c r="B14" s="205"/>
      <c r="C14" s="110"/>
      <c r="D14" s="201"/>
      <c r="E14" s="110"/>
      <c r="F14" s="110"/>
      <c r="G14" s="194"/>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row>
    <row r="15" spans="1:75" x14ac:dyDescent="0.2">
      <c r="A15" s="110"/>
      <c r="B15" s="110"/>
      <c r="C15" s="110"/>
      <c r="D15" s="110"/>
      <c r="E15" s="110"/>
      <c r="F15" s="110"/>
      <c r="G15" s="194"/>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row>
    <row r="16" spans="1:75" x14ac:dyDescent="0.2">
      <c r="A16" s="110"/>
      <c r="B16" s="110"/>
      <c r="C16" s="110"/>
      <c r="D16" s="110"/>
      <c r="E16" s="110"/>
      <c r="F16" s="110"/>
      <c r="G16" s="194"/>
      <c r="H16" s="110"/>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row>
    <row r="17" spans="1:75" x14ac:dyDescent="0.2">
      <c r="A17" s="110"/>
      <c r="B17" s="110"/>
      <c r="C17" s="110"/>
      <c r="D17" s="110"/>
      <c r="E17" s="110"/>
      <c r="F17" s="110"/>
      <c r="G17" s="194"/>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row>
    <row r="18" spans="1:75" x14ac:dyDescent="0.2">
      <c r="A18" s="110"/>
      <c r="B18" s="110"/>
      <c r="C18" s="110"/>
      <c r="D18" s="110"/>
      <c r="E18" s="110"/>
      <c r="F18" s="110"/>
      <c r="G18" s="194"/>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row>
    <row r="19" spans="1:75" x14ac:dyDescent="0.2">
      <c r="A19" s="110"/>
      <c r="B19" s="110"/>
      <c r="C19" s="110"/>
      <c r="D19" s="110"/>
      <c r="E19" s="110"/>
      <c r="F19" s="110"/>
      <c r="G19" s="194"/>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c r="BP19" s="110"/>
      <c r="BQ19" s="110"/>
      <c r="BR19" s="110"/>
      <c r="BS19" s="110"/>
      <c r="BT19" s="110"/>
      <c r="BU19" s="110"/>
      <c r="BV19" s="110"/>
      <c r="BW19" s="110"/>
    </row>
    <row r="20" spans="1:75" x14ac:dyDescent="0.2">
      <c r="A20" s="110"/>
      <c r="B20" s="110"/>
      <c r="C20" s="110"/>
      <c r="D20" s="110"/>
      <c r="E20" s="110"/>
      <c r="F20" s="110"/>
      <c r="G20" s="194"/>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c r="AW20" s="110"/>
      <c r="AX20" s="110"/>
      <c r="AY20" s="110"/>
      <c r="AZ20" s="110"/>
      <c r="BA20" s="110"/>
      <c r="BB20" s="110"/>
      <c r="BC20" s="110"/>
      <c r="BD20" s="110"/>
      <c r="BE20" s="110"/>
      <c r="BF20" s="110"/>
      <c r="BG20" s="110"/>
      <c r="BH20" s="110"/>
      <c r="BI20" s="110"/>
      <c r="BJ20" s="110"/>
      <c r="BK20" s="110"/>
      <c r="BL20" s="110"/>
      <c r="BM20" s="110"/>
      <c r="BN20" s="110"/>
      <c r="BO20" s="110"/>
      <c r="BP20" s="110"/>
      <c r="BQ20" s="110"/>
      <c r="BR20" s="110"/>
      <c r="BS20" s="110"/>
      <c r="BT20" s="110"/>
      <c r="BU20" s="110"/>
      <c r="BV20" s="110"/>
      <c r="BW20" s="110"/>
    </row>
    <row r="21" spans="1:75" x14ac:dyDescent="0.2">
      <c r="A21" s="110"/>
      <c r="B21" s="110"/>
      <c r="C21" s="110"/>
      <c r="D21" s="110"/>
      <c r="E21" s="110"/>
      <c r="F21" s="110"/>
      <c r="G21" s="194"/>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c r="AX21" s="110"/>
      <c r="AY21" s="110"/>
      <c r="AZ21" s="110"/>
      <c r="BA21" s="110"/>
      <c r="BB21" s="110"/>
      <c r="BC21" s="110"/>
      <c r="BD21" s="110"/>
      <c r="BE21" s="110"/>
      <c r="BF21" s="110"/>
      <c r="BG21" s="110"/>
      <c r="BH21" s="110"/>
      <c r="BI21" s="110"/>
      <c r="BJ21" s="110"/>
      <c r="BK21" s="110"/>
      <c r="BL21" s="110"/>
      <c r="BM21" s="110"/>
      <c r="BN21" s="110"/>
      <c r="BO21" s="110"/>
      <c r="BP21" s="110"/>
      <c r="BQ21" s="110"/>
      <c r="BR21" s="110"/>
      <c r="BS21" s="110"/>
      <c r="BT21" s="110"/>
      <c r="BU21" s="110"/>
      <c r="BV21" s="110"/>
      <c r="BW21" s="110"/>
    </row>
    <row r="22" spans="1:75" x14ac:dyDescent="0.2">
      <c r="A22" s="110"/>
      <c r="B22" s="110"/>
      <c r="C22" s="110"/>
      <c r="D22" s="110"/>
      <c r="E22" s="110"/>
      <c r="F22" s="110"/>
      <c r="G22" s="194"/>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c r="BI22" s="110"/>
      <c r="BJ22" s="110"/>
      <c r="BK22" s="110"/>
      <c r="BL22" s="110"/>
      <c r="BM22" s="110"/>
      <c r="BN22" s="110"/>
      <c r="BO22" s="110"/>
      <c r="BP22" s="110"/>
      <c r="BQ22" s="110"/>
      <c r="BR22" s="110"/>
      <c r="BS22" s="110"/>
      <c r="BT22" s="110"/>
      <c r="BU22" s="110"/>
      <c r="BV22" s="110"/>
      <c r="BW22" s="110"/>
    </row>
    <row r="23" spans="1:75" x14ac:dyDescent="0.2">
      <c r="A23" s="110"/>
      <c r="B23" s="110"/>
      <c r="C23" s="110"/>
      <c r="D23" s="110"/>
      <c r="E23" s="110"/>
      <c r="F23" s="110"/>
      <c r="G23" s="194"/>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0"/>
      <c r="BP23" s="110"/>
      <c r="BQ23" s="110"/>
      <c r="BR23" s="110"/>
      <c r="BS23" s="110"/>
      <c r="BT23" s="110"/>
      <c r="BU23" s="110"/>
      <c r="BV23" s="110"/>
      <c r="BW23" s="110"/>
    </row>
    <row r="24" spans="1:75" x14ac:dyDescent="0.2">
      <c r="A24" s="110"/>
      <c r="B24" s="110"/>
      <c r="C24" s="110"/>
      <c r="D24" s="110"/>
      <c r="E24" s="110"/>
      <c r="F24" s="110"/>
      <c r="G24" s="194"/>
      <c r="H24" s="110"/>
      <c r="I24" s="110"/>
      <c r="J24" s="110"/>
      <c r="K24" s="110"/>
      <c r="L24" s="110"/>
      <c r="M24" s="110"/>
      <c r="N24" s="110"/>
      <c r="O24" s="110"/>
      <c r="P24" s="110"/>
      <c r="Q24" s="110"/>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10"/>
      <c r="BV24" s="110"/>
      <c r="BW24" s="110"/>
    </row>
    <row r="25" spans="1:75" x14ac:dyDescent="0.2">
      <c r="A25" s="110"/>
      <c r="B25" s="110"/>
      <c r="C25" s="110"/>
      <c r="D25" s="110"/>
      <c r="E25" s="110"/>
      <c r="F25" s="110"/>
      <c r="G25" s="194"/>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10"/>
      <c r="BV25" s="110"/>
      <c r="BW25" s="110"/>
    </row>
    <row r="26" spans="1:75" x14ac:dyDescent="0.2">
      <c r="A26" s="110"/>
      <c r="B26" s="110"/>
      <c r="C26" s="110"/>
      <c r="D26" s="110"/>
      <c r="E26" s="110"/>
      <c r="F26" s="110"/>
      <c r="G26" s="194"/>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10"/>
      <c r="BV26" s="110"/>
      <c r="BW26" s="110"/>
    </row>
    <row r="27" spans="1:75" x14ac:dyDescent="0.2">
      <c r="A27" s="110"/>
      <c r="B27" s="110"/>
      <c r="C27" s="110"/>
      <c r="D27" s="110"/>
      <c r="E27" s="110"/>
      <c r="F27" s="110"/>
      <c r="G27" s="194"/>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0"/>
      <c r="BL27" s="110"/>
      <c r="BM27" s="110"/>
      <c r="BN27" s="110"/>
      <c r="BO27" s="110"/>
      <c r="BP27" s="110"/>
      <c r="BQ27" s="110"/>
      <c r="BR27" s="110"/>
      <c r="BS27" s="110"/>
      <c r="BT27" s="110"/>
      <c r="BU27" s="110"/>
      <c r="BV27" s="110"/>
      <c r="BW27" s="110"/>
    </row>
    <row r="28" spans="1:75" x14ac:dyDescent="0.2">
      <c r="A28" s="110"/>
      <c r="B28" s="110"/>
      <c r="C28" s="110"/>
      <c r="D28" s="110"/>
      <c r="E28" s="110"/>
      <c r="F28" s="110"/>
      <c r="G28" s="194"/>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c r="BO28" s="110"/>
      <c r="BP28" s="110"/>
      <c r="BQ28" s="110"/>
      <c r="BR28" s="110"/>
      <c r="BS28" s="110"/>
      <c r="BT28" s="110"/>
      <c r="BU28" s="110"/>
      <c r="BV28" s="110"/>
      <c r="BW28" s="110"/>
    </row>
    <row r="29" spans="1:75" x14ac:dyDescent="0.2">
      <c r="A29" s="110"/>
      <c r="B29" s="110"/>
      <c r="C29" s="110"/>
      <c r="D29" s="110"/>
      <c r="E29" s="110"/>
      <c r="F29" s="110"/>
      <c r="G29" s="194"/>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row>
    <row r="30" spans="1:75" x14ac:dyDescent="0.2">
      <c r="A30" s="110"/>
      <c r="B30" s="110"/>
      <c r="C30" s="110"/>
      <c r="D30" s="110"/>
      <c r="E30" s="110"/>
      <c r="F30" s="110"/>
      <c r="G30" s="194"/>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10"/>
      <c r="BS30" s="110"/>
      <c r="BT30" s="110"/>
      <c r="BU30" s="110"/>
      <c r="BV30" s="110"/>
      <c r="BW30" s="110"/>
    </row>
    <row r="31" spans="1:75" x14ac:dyDescent="0.2">
      <c r="A31" s="110"/>
      <c r="B31" s="110"/>
      <c r="C31" s="110"/>
      <c r="D31" s="110"/>
      <c r="E31" s="110"/>
      <c r="F31" s="110"/>
      <c r="G31" s="194"/>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row>
    <row r="32" spans="1:75" x14ac:dyDescent="0.2">
      <c r="A32" s="110"/>
      <c r="B32" s="110"/>
      <c r="C32" s="110"/>
      <c r="D32" s="110"/>
      <c r="E32" s="110"/>
      <c r="F32" s="110"/>
      <c r="G32" s="194"/>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c r="AX32" s="110"/>
      <c r="AY32" s="110"/>
      <c r="AZ32" s="110"/>
      <c r="BA32" s="110"/>
      <c r="BB32" s="110"/>
      <c r="BC32" s="110"/>
      <c r="BD32" s="110"/>
      <c r="BE32" s="110"/>
      <c r="BF32" s="110"/>
      <c r="BG32" s="110"/>
      <c r="BH32" s="110"/>
      <c r="BI32" s="110"/>
      <c r="BJ32" s="110"/>
      <c r="BK32" s="110"/>
      <c r="BL32" s="110"/>
      <c r="BM32" s="110"/>
      <c r="BN32" s="110"/>
      <c r="BO32" s="110"/>
      <c r="BP32" s="110"/>
      <c r="BQ32" s="110"/>
      <c r="BR32" s="110"/>
      <c r="BS32" s="110"/>
      <c r="BT32" s="110"/>
      <c r="BU32" s="110"/>
      <c r="BV32" s="110"/>
      <c r="BW32" s="110"/>
    </row>
    <row r="33" spans="1:18" x14ac:dyDescent="0.2">
      <c r="A33" s="110"/>
      <c r="B33" s="110"/>
      <c r="C33" s="110"/>
      <c r="D33" s="110"/>
      <c r="E33" s="110"/>
      <c r="F33" s="110"/>
      <c r="G33" s="194"/>
      <c r="H33" s="110"/>
      <c r="I33" s="110"/>
      <c r="J33" s="110"/>
      <c r="K33" s="110"/>
      <c r="L33" s="110"/>
      <c r="M33" s="110"/>
      <c r="N33" s="110"/>
      <c r="O33" s="110"/>
      <c r="P33" s="110"/>
      <c r="Q33" s="110"/>
      <c r="R33" s="110"/>
    </row>
    <row r="34" spans="1:18" x14ac:dyDescent="0.2">
      <c r="A34" s="110"/>
      <c r="B34" s="110"/>
      <c r="C34" s="110"/>
      <c r="D34" s="110"/>
      <c r="E34" s="110"/>
      <c r="F34" s="110"/>
      <c r="G34" s="194"/>
      <c r="H34" s="110"/>
      <c r="I34" s="110"/>
      <c r="J34" s="110"/>
      <c r="K34" s="110"/>
      <c r="L34" s="110"/>
      <c r="M34" s="110"/>
      <c r="N34" s="110"/>
      <c r="O34" s="110"/>
      <c r="P34" s="110"/>
      <c r="Q34" s="110"/>
      <c r="R34" s="110"/>
    </row>
    <row r="35" spans="1:18" x14ac:dyDescent="0.2">
      <c r="A35" s="110"/>
      <c r="B35" s="110"/>
      <c r="C35" s="110"/>
      <c r="D35" s="110"/>
      <c r="E35" s="110"/>
      <c r="F35" s="110"/>
      <c r="G35" s="194"/>
      <c r="H35" s="110"/>
      <c r="I35" s="110"/>
      <c r="J35" s="110"/>
      <c r="K35" s="110"/>
      <c r="L35" s="110"/>
      <c r="M35" s="110"/>
      <c r="N35" s="110"/>
      <c r="O35" s="110"/>
      <c r="P35" s="110"/>
      <c r="Q35" s="110"/>
      <c r="R35" s="110"/>
    </row>
    <row r="36" spans="1:18" x14ac:dyDescent="0.2">
      <c r="A36" s="110"/>
      <c r="B36" s="110"/>
      <c r="C36" s="110"/>
      <c r="D36" s="110"/>
      <c r="E36" s="110"/>
      <c r="F36" s="110"/>
      <c r="G36" s="194"/>
      <c r="H36" s="110"/>
      <c r="I36" s="110"/>
      <c r="J36" s="110"/>
      <c r="K36" s="110"/>
      <c r="L36" s="110"/>
      <c r="M36" s="110"/>
      <c r="N36" s="110"/>
      <c r="O36" s="110"/>
      <c r="P36" s="110"/>
      <c r="Q36" s="110"/>
      <c r="R36" s="110"/>
    </row>
    <row r="37" spans="1:18" x14ac:dyDescent="0.2">
      <c r="A37" s="110"/>
      <c r="B37" s="110"/>
      <c r="C37" s="110"/>
      <c r="D37" s="110"/>
      <c r="E37" s="110"/>
      <c r="F37" s="110"/>
      <c r="G37" s="194"/>
      <c r="H37" s="110"/>
      <c r="I37" s="110"/>
      <c r="J37" s="110"/>
      <c r="K37" s="110"/>
      <c r="L37" s="110"/>
      <c r="M37" s="110"/>
      <c r="N37" s="110"/>
      <c r="O37" s="110"/>
      <c r="P37" s="110"/>
      <c r="Q37" s="110"/>
      <c r="R37" s="110"/>
    </row>
    <row r="38" spans="1:18" x14ac:dyDescent="0.2">
      <c r="A38" s="110"/>
      <c r="B38" s="110"/>
      <c r="C38" s="110"/>
      <c r="D38" s="110"/>
      <c r="E38" s="110"/>
      <c r="F38" s="110"/>
      <c r="G38" s="194"/>
      <c r="H38" s="110"/>
      <c r="I38" s="110"/>
      <c r="J38" s="110"/>
      <c r="K38" s="110"/>
      <c r="L38" s="110"/>
      <c r="M38" s="110"/>
      <c r="N38" s="110"/>
      <c r="O38" s="110"/>
      <c r="P38" s="110"/>
      <c r="Q38" s="110"/>
      <c r="R38" s="110"/>
    </row>
    <row r="39" spans="1:18" x14ac:dyDescent="0.2">
      <c r="A39" s="110"/>
      <c r="B39" s="110"/>
      <c r="C39" s="110"/>
      <c r="D39" s="110"/>
      <c r="E39" s="110"/>
      <c r="F39" s="110"/>
      <c r="G39" s="194"/>
      <c r="H39" s="110"/>
      <c r="I39" s="110"/>
      <c r="J39" s="110"/>
      <c r="K39" s="110"/>
      <c r="L39" s="110"/>
      <c r="M39" s="110"/>
      <c r="N39" s="110"/>
      <c r="O39" s="110"/>
      <c r="P39" s="110"/>
      <c r="Q39" s="110"/>
      <c r="R39" s="110"/>
    </row>
    <row r="40" spans="1:18" x14ac:dyDescent="0.2">
      <c r="A40" s="110"/>
      <c r="B40" s="110"/>
      <c r="C40" s="110"/>
      <c r="D40" s="110"/>
      <c r="E40" s="110"/>
      <c r="F40" s="110"/>
      <c r="G40" s="194"/>
      <c r="H40" s="110"/>
      <c r="I40" s="110"/>
      <c r="J40" s="110"/>
      <c r="K40" s="110"/>
      <c r="L40" s="110"/>
      <c r="M40" s="110"/>
      <c r="N40" s="110"/>
      <c r="O40" s="110"/>
      <c r="P40" s="110"/>
      <c r="Q40" s="110"/>
      <c r="R40" s="110"/>
    </row>
    <row r="41" spans="1:18" x14ac:dyDescent="0.2">
      <c r="A41" s="110"/>
      <c r="B41" s="110"/>
      <c r="C41" s="110"/>
      <c r="D41" s="110"/>
      <c r="E41" s="110"/>
      <c r="F41" s="110"/>
      <c r="G41" s="194"/>
      <c r="H41" s="110"/>
      <c r="I41" s="110"/>
      <c r="J41" s="110"/>
      <c r="K41" s="110"/>
      <c r="L41" s="110"/>
      <c r="M41" s="110"/>
      <c r="N41" s="110"/>
      <c r="O41" s="110"/>
      <c r="P41" s="110"/>
      <c r="Q41" s="110"/>
      <c r="R41" s="110"/>
    </row>
    <row r="42" spans="1:18" x14ac:dyDescent="0.2">
      <c r="A42" s="110"/>
      <c r="B42" s="110"/>
      <c r="C42" s="110"/>
      <c r="D42" s="110"/>
      <c r="E42" s="110"/>
      <c r="F42" s="110"/>
      <c r="G42" s="194"/>
      <c r="H42" s="110"/>
      <c r="I42" s="110"/>
      <c r="J42" s="110"/>
      <c r="K42" s="110"/>
      <c r="L42" s="110"/>
      <c r="M42" s="110"/>
      <c r="N42" s="110"/>
      <c r="O42" s="110"/>
      <c r="P42" s="110"/>
      <c r="Q42" s="110"/>
      <c r="R42" s="110"/>
    </row>
    <row r="43" spans="1:18" x14ac:dyDescent="0.2">
      <c r="A43" s="110"/>
      <c r="B43" s="110"/>
      <c r="C43" s="110"/>
      <c r="D43" s="110"/>
      <c r="E43" s="110"/>
      <c r="F43" s="110"/>
      <c r="G43" s="194"/>
      <c r="H43" s="110"/>
      <c r="I43" s="110"/>
      <c r="J43" s="110"/>
      <c r="K43" s="110"/>
      <c r="L43" s="110"/>
      <c r="M43" s="110"/>
      <c r="N43" s="110"/>
      <c r="O43" s="110"/>
      <c r="P43" s="110"/>
      <c r="Q43" s="110"/>
      <c r="R43" s="110"/>
    </row>
    <row r="44" spans="1:18" x14ac:dyDescent="0.2">
      <c r="A44" s="110"/>
      <c r="B44" s="110"/>
      <c r="C44" s="110"/>
      <c r="D44" s="110"/>
      <c r="E44" s="110"/>
      <c r="F44" s="110"/>
      <c r="G44" s="194"/>
      <c r="H44" s="110"/>
      <c r="I44" s="110"/>
      <c r="J44" s="110"/>
      <c r="K44" s="110"/>
      <c r="L44" s="110"/>
      <c r="M44" s="110"/>
      <c r="N44" s="110"/>
      <c r="O44" s="110"/>
      <c r="P44" s="110"/>
      <c r="Q44" s="110"/>
      <c r="R44" s="110"/>
    </row>
    <row r="45" spans="1:18" x14ac:dyDescent="0.2">
      <c r="A45" s="110"/>
      <c r="B45" s="110"/>
      <c r="C45" s="110"/>
      <c r="D45" s="110"/>
      <c r="E45" s="110"/>
      <c r="F45" s="110"/>
      <c r="G45" s="194"/>
      <c r="H45" s="110"/>
      <c r="I45" s="110"/>
      <c r="J45" s="110"/>
      <c r="K45" s="110"/>
      <c r="L45" s="110"/>
      <c r="M45" s="110"/>
      <c r="N45" s="110"/>
      <c r="O45" s="110"/>
      <c r="P45" s="110"/>
      <c r="Q45" s="110"/>
      <c r="R45" s="110"/>
    </row>
    <row r="46" spans="1:18" x14ac:dyDescent="0.2">
      <c r="A46" s="110"/>
      <c r="B46" s="110"/>
      <c r="C46" s="110"/>
      <c r="D46" s="110"/>
      <c r="E46" s="110"/>
      <c r="F46" s="110"/>
      <c r="G46" s="194"/>
      <c r="H46" s="110"/>
      <c r="I46" s="110"/>
      <c r="J46" s="110"/>
      <c r="K46" s="110"/>
      <c r="L46" s="110"/>
      <c r="M46" s="110"/>
      <c r="N46" s="110"/>
      <c r="O46" s="110"/>
      <c r="P46" s="110"/>
      <c r="Q46" s="110"/>
      <c r="R46" s="110"/>
    </row>
    <row r="47" spans="1:18" x14ac:dyDescent="0.2">
      <c r="A47" s="110"/>
      <c r="B47" s="110"/>
      <c r="C47" s="110"/>
      <c r="D47" s="110"/>
      <c r="E47" s="110"/>
      <c r="F47" s="110"/>
      <c r="G47" s="194"/>
      <c r="H47" s="110"/>
      <c r="I47" s="110"/>
      <c r="J47" s="110"/>
      <c r="K47" s="110"/>
      <c r="L47" s="110"/>
      <c r="M47" s="110"/>
      <c r="N47" s="110"/>
      <c r="O47" s="110"/>
      <c r="P47" s="110"/>
      <c r="Q47" s="110"/>
      <c r="R47" s="110"/>
    </row>
    <row r="48" spans="1:18" x14ac:dyDescent="0.2">
      <c r="A48" s="110"/>
      <c r="B48" s="110"/>
      <c r="C48" s="110"/>
      <c r="D48" s="110"/>
      <c r="E48" s="110"/>
      <c r="F48" s="110"/>
      <c r="G48" s="194"/>
      <c r="H48" s="110"/>
      <c r="I48" s="110"/>
      <c r="J48" s="110"/>
      <c r="K48" s="110"/>
      <c r="L48" s="110"/>
      <c r="M48" s="110"/>
      <c r="N48" s="110"/>
      <c r="O48" s="110"/>
      <c r="P48" s="110"/>
      <c r="Q48" s="110"/>
      <c r="R48" s="110"/>
    </row>
    <row r="49" spans="1:18" x14ac:dyDescent="0.2">
      <c r="A49" s="110"/>
      <c r="B49" s="110"/>
      <c r="C49" s="110"/>
      <c r="D49" s="110"/>
      <c r="E49" s="110"/>
      <c r="F49" s="110"/>
      <c r="G49" s="194"/>
      <c r="H49" s="110"/>
      <c r="I49" s="110"/>
      <c r="J49" s="110"/>
      <c r="K49" s="110"/>
      <c r="L49" s="110"/>
      <c r="M49" s="110"/>
      <c r="N49" s="110"/>
      <c r="O49" s="110"/>
      <c r="P49" s="110"/>
      <c r="Q49" s="110"/>
      <c r="R49" s="110"/>
    </row>
    <row r="50" spans="1:18" x14ac:dyDescent="0.2">
      <c r="A50" s="110"/>
      <c r="B50" s="110"/>
      <c r="C50" s="110"/>
      <c r="D50" s="110"/>
      <c r="E50" s="110"/>
      <c r="F50" s="110"/>
      <c r="G50" s="194"/>
      <c r="H50" s="110"/>
      <c r="I50" s="110"/>
      <c r="J50" s="110"/>
      <c r="K50" s="110"/>
      <c r="L50" s="110"/>
      <c r="M50" s="110"/>
      <c r="N50" s="110"/>
      <c r="O50" s="110"/>
      <c r="P50" s="110"/>
      <c r="Q50" s="110"/>
      <c r="R50" s="110"/>
    </row>
    <row r="51" spans="1:18" x14ac:dyDescent="0.2">
      <c r="A51" s="110"/>
      <c r="B51" s="110"/>
      <c r="C51" s="110"/>
      <c r="D51" s="110"/>
      <c r="E51" s="110"/>
      <c r="F51" s="110"/>
      <c r="G51" s="194"/>
      <c r="H51" s="110"/>
      <c r="I51" s="110"/>
      <c r="J51" s="110"/>
      <c r="K51" s="110"/>
      <c r="L51" s="110"/>
      <c r="M51" s="110"/>
      <c r="N51" s="110"/>
      <c r="O51" s="110"/>
      <c r="P51" s="110"/>
      <c r="Q51" s="110"/>
      <c r="R51" s="110"/>
    </row>
    <row r="52" spans="1:18" x14ac:dyDescent="0.2">
      <c r="A52" s="110"/>
      <c r="B52" s="110"/>
      <c r="C52" s="110"/>
      <c r="D52" s="110"/>
      <c r="E52" s="110"/>
      <c r="F52" s="110"/>
      <c r="G52" s="194"/>
      <c r="H52" s="110"/>
      <c r="I52" s="110"/>
      <c r="J52" s="110"/>
      <c r="K52" s="110"/>
      <c r="L52" s="110"/>
      <c r="M52" s="110"/>
      <c r="N52" s="110"/>
      <c r="O52" s="110"/>
      <c r="P52" s="110"/>
      <c r="Q52" s="110"/>
      <c r="R52" s="110"/>
    </row>
    <row r="53" spans="1:18" x14ac:dyDescent="0.2">
      <c r="A53" s="110"/>
      <c r="B53" s="110"/>
      <c r="C53" s="110"/>
      <c r="D53" s="110"/>
      <c r="E53" s="110"/>
      <c r="F53" s="110"/>
      <c r="G53" s="194"/>
      <c r="H53" s="110"/>
      <c r="I53" s="110"/>
      <c r="J53" s="110"/>
      <c r="K53" s="110"/>
      <c r="L53" s="110"/>
      <c r="M53" s="110"/>
      <c r="N53" s="110"/>
      <c r="O53" s="110"/>
      <c r="P53" s="110"/>
      <c r="Q53" s="110"/>
      <c r="R53" s="110"/>
    </row>
    <row r="54" spans="1:18" x14ac:dyDescent="0.2">
      <c r="A54" s="110"/>
      <c r="B54" s="110"/>
      <c r="C54" s="110"/>
      <c r="D54" s="110"/>
      <c r="E54" s="110"/>
      <c r="F54" s="110"/>
      <c r="G54" s="194"/>
      <c r="H54" s="110"/>
      <c r="I54" s="110"/>
      <c r="J54" s="110"/>
      <c r="K54" s="110"/>
      <c r="L54" s="110"/>
      <c r="M54" s="110"/>
      <c r="N54" s="110"/>
      <c r="O54" s="110"/>
      <c r="P54" s="110"/>
      <c r="Q54" s="110"/>
      <c r="R54" s="110"/>
    </row>
    <row r="55" spans="1:18" x14ac:dyDescent="0.2">
      <c r="A55" s="110"/>
      <c r="B55" s="110"/>
      <c r="C55" s="110"/>
      <c r="D55" s="110"/>
      <c r="E55" s="110"/>
      <c r="F55" s="110"/>
      <c r="G55" s="194"/>
      <c r="H55" s="110"/>
      <c r="I55" s="110"/>
      <c r="J55" s="110"/>
      <c r="K55" s="110"/>
      <c r="L55" s="110"/>
      <c r="M55" s="110"/>
      <c r="N55" s="110"/>
      <c r="O55" s="110"/>
      <c r="P55" s="110"/>
      <c r="Q55" s="110"/>
      <c r="R55" s="110"/>
    </row>
    <row r="56" spans="1:18" x14ac:dyDescent="0.2">
      <c r="A56" s="110"/>
      <c r="B56" s="110"/>
      <c r="C56" s="110"/>
      <c r="D56" s="110"/>
      <c r="E56" s="110"/>
      <c r="F56" s="110"/>
      <c r="G56" s="194"/>
      <c r="H56" s="110"/>
      <c r="I56" s="110"/>
      <c r="J56" s="110"/>
      <c r="K56" s="110"/>
      <c r="L56" s="110"/>
      <c r="M56" s="110"/>
      <c r="N56" s="110"/>
      <c r="O56" s="110"/>
      <c r="P56" s="110"/>
      <c r="Q56" s="110"/>
      <c r="R56" s="110"/>
    </row>
  </sheetData>
  <sheetProtection password="9C8D" sheet="1" objects="1" scenarios="1"/>
  <mergeCells count="6">
    <mergeCell ref="A12:E12"/>
    <mergeCell ref="A1:E1"/>
    <mergeCell ref="A2:E2"/>
    <mergeCell ref="A3:E3"/>
    <mergeCell ref="A4:E4"/>
    <mergeCell ref="A11:E11"/>
  </mergeCells>
  <pageMargins left="0.78740157499999996" right="0.78740157499999996" top="0.984251969" bottom="0.984251969" header="0.49212598499999999" footer="0.49212598499999999"/>
  <pageSetup paperSize="9" scale="80"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indowProtection="1" showGridLines="0" workbookViewId="0">
      <selection activeCell="A2" sqref="A2:F2"/>
    </sheetView>
  </sheetViews>
  <sheetFormatPr defaultRowHeight="12.75" x14ac:dyDescent="0.2"/>
  <cols>
    <col min="1" max="1" width="9.140625" style="271"/>
    <col min="2" max="2" width="52.28515625" style="271" customWidth="1"/>
    <col min="3" max="3" width="12.85546875" style="271" customWidth="1"/>
    <col min="4" max="4" width="10.42578125" style="271" customWidth="1"/>
    <col min="5" max="5" width="19.7109375" style="271" customWidth="1"/>
    <col min="6" max="6" width="11.42578125" style="271" customWidth="1"/>
    <col min="7" max="7" width="9.140625" style="271"/>
    <col min="8" max="8" width="12" style="271" bestFit="1" customWidth="1"/>
    <col min="9" max="16384" width="9.140625" style="271"/>
  </cols>
  <sheetData>
    <row r="1" spans="1:9" ht="20.100000000000001" customHeight="1" x14ac:dyDescent="0.25">
      <c r="A1" s="1309" t="s">
        <v>123</v>
      </c>
      <c r="B1" s="1309"/>
      <c r="C1" s="1309"/>
      <c r="D1" s="1309"/>
      <c r="E1" s="1309"/>
      <c r="F1" s="1309"/>
      <c r="G1" s="605"/>
      <c r="H1" s="605"/>
    </row>
    <row r="2" spans="1:9" ht="20.100000000000001" customHeight="1" x14ac:dyDescent="0.25">
      <c r="A2" s="1310" t="s">
        <v>573</v>
      </c>
      <c r="B2" s="1310"/>
      <c r="C2" s="1310"/>
      <c r="D2" s="1310"/>
      <c r="E2" s="1310"/>
      <c r="F2" s="1310"/>
      <c r="G2" s="605"/>
      <c r="H2" s="605"/>
    </row>
    <row r="3" spans="1:9" ht="20.100000000000001" customHeight="1" x14ac:dyDescent="0.2">
      <c r="A3" s="1311" t="s">
        <v>574</v>
      </c>
      <c r="B3" s="1311"/>
      <c r="C3" s="1311"/>
      <c r="D3" s="1311"/>
      <c r="E3" s="1311"/>
      <c r="F3" s="1311"/>
      <c r="G3" s="600"/>
      <c r="H3" s="605"/>
    </row>
    <row r="4" spans="1:9" x14ac:dyDescent="0.2">
      <c r="A4" s="606"/>
      <c r="B4" s="272"/>
      <c r="C4" s="272"/>
      <c r="D4" s="272"/>
      <c r="E4" s="272"/>
      <c r="F4" s="607"/>
      <c r="G4" s="608"/>
      <c r="H4" s="605"/>
    </row>
    <row r="5" spans="1:9" x14ac:dyDescent="0.2">
      <c r="A5" s="606"/>
      <c r="B5" s="609"/>
      <c r="C5" s="609"/>
      <c r="D5" s="609"/>
      <c r="E5" s="609"/>
      <c r="F5" s="610" t="s">
        <v>1</v>
      </c>
      <c r="G5" s="605"/>
      <c r="H5" s="605"/>
    </row>
    <row r="6" spans="1:9" x14ac:dyDescent="0.2">
      <c r="A6" s="1312" t="s">
        <v>241</v>
      </c>
      <c r="B6" s="1312" t="s">
        <v>575</v>
      </c>
      <c r="C6" s="1312" t="s">
        <v>189</v>
      </c>
      <c r="D6" s="1312" t="s">
        <v>8</v>
      </c>
      <c r="E6" s="1312" t="s">
        <v>206</v>
      </c>
      <c r="F6" s="1312" t="s">
        <v>8</v>
      </c>
      <c r="G6" s="1306"/>
      <c r="H6" s="611"/>
      <c r="I6" s="353"/>
    </row>
    <row r="7" spans="1:9" ht="20.25" customHeight="1" x14ac:dyDescent="0.2">
      <c r="A7" s="1313"/>
      <c r="B7" s="1313"/>
      <c r="C7" s="1313"/>
      <c r="D7" s="1313"/>
      <c r="E7" s="1313"/>
      <c r="F7" s="1313"/>
      <c r="G7" s="1306"/>
      <c r="H7" s="612"/>
      <c r="I7" s="357"/>
    </row>
    <row r="8" spans="1:9" ht="24.95" customHeight="1" x14ac:dyDescent="0.2">
      <c r="A8" s="613" t="s">
        <v>181</v>
      </c>
      <c r="B8" s="614" t="s">
        <v>576</v>
      </c>
      <c r="C8" s="615">
        <v>4</v>
      </c>
      <c r="D8" s="616">
        <f>IF($C8=0,0,ROUND($C8/$C$12*100,2))</f>
        <v>28.57</v>
      </c>
      <c r="E8" s="615">
        <v>645</v>
      </c>
      <c r="F8" s="521">
        <f>IF($E8=0,0,ROUND($E8/$E$12*100,2))</f>
        <v>2.79</v>
      </c>
      <c r="G8" s="612"/>
      <c r="H8" s="612"/>
      <c r="I8" s="357"/>
    </row>
    <row r="9" spans="1:9" s="277" customFormat="1" ht="24.95" customHeight="1" x14ac:dyDescent="0.2">
      <c r="A9" s="617" t="s">
        <v>182</v>
      </c>
      <c r="B9" s="574" t="s">
        <v>577</v>
      </c>
      <c r="C9" s="615">
        <v>7</v>
      </c>
      <c r="D9" s="616">
        <f>IF($C9=0,0,ROUND($C9/$C$12*100,2))</f>
        <v>50</v>
      </c>
      <c r="E9" s="615">
        <v>18509</v>
      </c>
      <c r="F9" s="521">
        <f>IF($E9=0,0,ROUND($E9/$E$12*100,2))</f>
        <v>80.08</v>
      </c>
      <c r="G9" s="618"/>
      <c r="H9" s="619"/>
      <c r="I9" s="569"/>
    </row>
    <row r="10" spans="1:9" ht="24.95" customHeight="1" x14ac:dyDescent="0.2">
      <c r="A10" s="613" t="s">
        <v>172</v>
      </c>
      <c r="B10" s="614" t="s">
        <v>578</v>
      </c>
      <c r="C10" s="615">
        <v>3</v>
      </c>
      <c r="D10" s="616">
        <f>IF($C10=0,0,ROUND($C10/$C$12*100,2))</f>
        <v>21.43</v>
      </c>
      <c r="E10" s="615">
        <v>3958</v>
      </c>
      <c r="F10" s="521">
        <f>IF($E10=0,0,ROUND($E10/$E$12*100,2))</f>
        <v>17.13</v>
      </c>
      <c r="G10" s="605"/>
      <c r="H10" s="605"/>
      <c r="I10" s="620"/>
    </row>
    <row r="11" spans="1:9" ht="24.95" customHeight="1" x14ac:dyDescent="0.2">
      <c r="A11" s="613" t="s">
        <v>177</v>
      </c>
      <c r="B11" s="614" t="s">
        <v>579</v>
      </c>
      <c r="C11" s="615">
        <v>0</v>
      </c>
      <c r="D11" s="616">
        <f>IF($C11=0,0,ROUND($C11/$C$12*100,2))</f>
        <v>0</v>
      </c>
      <c r="E11" s="615">
        <v>0</v>
      </c>
      <c r="F11" s="521">
        <f>IF($E11=0,0,ROUND($E11/$E$12*100,2))</f>
        <v>0</v>
      </c>
      <c r="G11" s="605"/>
      <c r="H11" s="605"/>
      <c r="I11" s="620"/>
    </row>
    <row r="12" spans="1:9" ht="25.5" customHeight="1" x14ac:dyDescent="0.2">
      <c r="A12" s="1307" t="s">
        <v>265</v>
      </c>
      <c r="B12" s="1307"/>
      <c r="C12" s="621">
        <f>SUM(C8:C10)</f>
        <v>14</v>
      </c>
      <c r="D12" s="622">
        <f>SUM(D8:D10)</f>
        <v>100</v>
      </c>
      <c r="E12" s="621">
        <f>SUM(E8:E10)</f>
        <v>23112</v>
      </c>
      <c r="F12" s="623">
        <f>SUM(F8:F10)</f>
        <v>100</v>
      </c>
      <c r="G12" s="624"/>
      <c r="H12" s="624"/>
      <c r="I12" s="625"/>
    </row>
    <row r="13" spans="1:9" x14ac:dyDescent="0.2">
      <c r="A13" s="1308"/>
      <c r="B13" s="1308"/>
      <c r="C13" s="1308"/>
      <c r="D13" s="1308"/>
      <c r="E13" s="1308"/>
      <c r="F13" s="1308"/>
      <c r="G13" s="626"/>
      <c r="H13" s="626"/>
    </row>
    <row r="14" spans="1:9" x14ac:dyDescent="0.2">
      <c r="B14" s="377"/>
      <c r="C14" s="377"/>
      <c r="D14" s="377"/>
      <c r="E14" s="627"/>
      <c r="G14" s="605"/>
      <c r="H14" s="605"/>
    </row>
    <row r="15" spans="1:9" x14ac:dyDescent="0.2">
      <c r="A15" s="628"/>
      <c r="B15" s="628"/>
      <c r="C15" s="276"/>
      <c r="D15" s="276"/>
      <c r="E15" s="356"/>
      <c r="F15" s="357"/>
      <c r="G15" s="605"/>
      <c r="H15" s="605"/>
    </row>
    <row r="16" spans="1:9" x14ac:dyDescent="0.2">
      <c r="A16" s="628"/>
      <c r="B16" s="629"/>
      <c r="C16" s="352"/>
      <c r="D16" s="352"/>
      <c r="E16" s="352"/>
      <c r="F16" s="357"/>
      <c r="G16" s="549"/>
      <c r="H16" s="605"/>
    </row>
    <row r="17" spans="1:6" x14ac:dyDescent="0.2">
      <c r="A17" s="628"/>
      <c r="B17" s="629"/>
    </row>
    <row r="19" spans="1:6" x14ac:dyDescent="0.2">
      <c r="F19" s="41"/>
    </row>
    <row r="20" spans="1:6" x14ac:dyDescent="0.2">
      <c r="F20" s="41"/>
    </row>
    <row r="21" spans="1:6" x14ac:dyDescent="0.2">
      <c r="F21" s="41"/>
    </row>
    <row r="22" spans="1:6" x14ac:dyDescent="0.2">
      <c r="F22" s="147"/>
    </row>
  </sheetData>
  <sheetProtection password="9C8D" sheet="1" objects="1" scenarios="1"/>
  <mergeCells count="12">
    <mergeCell ref="G6:G7"/>
    <mergeCell ref="A12:B12"/>
    <mergeCell ref="A13:F13"/>
    <mergeCell ref="A1:F1"/>
    <mergeCell ref="A2:F2"/>
    <mergeCell ref="A3:F3"/>
    <mergeCell ref="A6:A7"/>
    <mergeCell ref="B6:B7"/>
    <mergeCell ref="C6:C7"/>
    <mergeCell ref="D6:D7"/>
    <mergeCell ref="E6:E7"/>
    <mergeCell ref="F6:F7"/>
  </mergeCells>
  <printOptions horizontalCentered="1"/>
  <pageMargins left="0.78740157480314965" right="0.78740157480314965" top="0.98425196850393704" bottom="0.98425196850393704" header="0.51181102362204722" footer="0.51181102362204722"/>
  <pageSetup paperSize="9" scale="95"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indowProtection="1" showGridLines="0" zoomScale="75" workbookViewId="0">
      <selection activeCell="I16" sqref="I16"/>
    </sheetView>
  </sheetViews>
  <sheetFormatPr defaultRowHeight="12.75" x14ac:dyDescent="0.2"/>
  <cols>
    <col min="1" max="1" width="88.5703125" style="271" customWidth="1"/>
    <col min="2" max="2" width="15" style="271" customWidth="1"/>
    <col min="3" max="3" width="16.85546875" style="271" customWidth="1"/>
    <col min="4" max="4" width="13.42578125" style="271" customWidth="1"/>
    <col min="5" max="5" width="11.140625" style="271" customWidth="1"/>
    <col min="6" max="6" width="15.5703125" style="271" customWidth="1"/>
    <col min="7" max="16384" width="9.140625" style="271"/>
  </cols>
  <sheetData>
    <row r="1" spans="1:7" ht="20.100000000000001" customHeight="1" x14ac:dyDescent="0.2">
      <c r="A1" s="1261" t="s">
        <v>133</v>
      </c>
      <c r="B1" s="1261"/>
      <c r="C1" s="1261"/>
      <c r="D1" s="1261"/>
      <c r="E1" s="1261"/>
      <c r="F1" s="1261"/>
    </row>
    <row r="2" spans="1:7" ht="20.100000000000001" customHeight="1" x14ac:dyDescent="0.2">
      <c r="A2" s="1263" t="s">
        <v>588</v>
      </c>
      <c r="B2" s="1263"/>
      <c r="C2" s="1263"/>
      <c r="D2" s="1263"/>
      <c r="E2" s="1263"/>
      <c r="F2" s="1263"/>
    </row>
    <row r="3" spans="1:7" ht="20.100000000000001" customHeight="1" x14ac:dyDescent="0.2">
      <c r="A3" s="1264" t="str">
        <f>'[9]01'!A3:F3</f>
        <v>Exercício 2015</v>
      </c>
      <c r="B3" s="1264"/>
      <c r="C3" s="1264"/>
      <c r="D3" s="1264"/>
      <c r="E3" s="1264"/>
      <c r="F3" s="1264"/>
    </row>
    <row r="4" spans="1:7" ht="15" x14ac:dyDescent="0.2">
      <c r="A4" s="1317"/>
      <c r="B4" s="1317"/>
      <c r="C4" s="1318"/>
      <c r="D4" s="1318"/>
      <c r="E4" s="650"/>
      <c r="F4" s="650"/>
    </row>
    <row r="5" spans="1:7" x14ac:dyDescent="0.2">
      <c r="A5" s="649"/>
      <c r="B5" s="649"/>
      <c r="C5" s="272"/>
      <c r="D5" s="272"/>
      <c r="E5" s="272"/>
      <c r="F5" s="272"/>
    </row>
    <row r="6" spans="1:7" x14ac:dyDescent="0.2">
      <c r="A6" s="1319" t="s">
        <v>147</v>
      </c>
      <c r="B6" s="1319"/>
      <c r="C6" s="1319"/>
      <c r="D6" s="1319"/>
      <c r="E6" s="1319"/>
      <c r="F6" s="1319"/>
    </row>
    <row r="7" spans="1:7" ht="29.25" customHeight="1" x14ac:dyDescent="0.2">
      <c r="A7" s="1320" t="s">
        <v>587</v>
      </c>
      <c r="B7" s="1320" t="s">
        <v>3</v>
      </c>
      <c r="C7" s="1320"/>
      <c r="D7" s="1320"/>
      <c r="E7" s="1320"/>
      <c r="F7" s="1320" t="s">
        <v>586</v>
      </c>
      <c r="G7" s="1306"/>
    </row>
    <row r="8" spans="1:7" ht="34.5" customHeight="1" x14ac:dyDescent="0.2">
      <c r="A8" s="1320"/>
      <c r="B8" s="601" t="s">
        <v>189</v>
      </c>
      <c r="C8" s="601" t="s">
        <v>585</v>
      </c>
      <c r="D8" s="601" t="s">
        <v>7</v>
      </c>
      <c r="E8" s="601" t="s">
        <v>8</v>
      </c>
      <c r="F8" s="1320"/>
      <c r="G8" s="1306"/>
    </row>
    <row r="9" spans="1:7" ht="20.100000000000001" customHeight="1" x14ac:dyDescent="0.2">
      <c r="A9" s="648" t="s">
        <v>9</v>
      </c>
      <c r="B9" s="639">
        <f>SUM(B10:B11)</f>
        <v>5</v>
      </c>
      <c r="C9" s="639">
        <f>SUM(C10:C11)</f>
        <v>5</v>
      </c>
      <c r="D9" s="639">
        <f>SUM(D10:D11)</f>
        <v>790</v>
      </c>
      <c r="E9" s="640">
        <f>SUM(E10:E11)</f>
        <v>3.41</v>
      </c>
      <c r="F9" s="647">
        <f>SUM(F10:F11)</f>
        <v>0</v>
      </c>
    </row>
    <row r="10" spans="1:7" ht="20.100000000000001" customHeight="1" x14ac:dyDescent="0.2">
      <c r="A10" s="646" t="s">
        <v>584</v>
      </c>
      <c r="B10" s="643">
        <f>3</f>
        <v>3</v>
      </c>
      <c r="C10" s="633">
        <f>3</f>
        <v>3</v>
      </c>
      <c r="D10" s="633">
        <f>179</f>
        <v>179</v>
      </c>
      <c r="E10" s="634">
        <f>IF($D10=0,0,ROUND(D10/$D$15*100,2))</f>
        <v>0.77</v>
      </c>
      <c r="F10" s="644">
        <v>0</v>
      </c>
    </row>
    <row r="11" spans="1:7" ht="20.100000000000001" customHeight="1" x14ac:dyDescent="0.2">
      <c r="A11" s="645" t="s">
        <v>583</v>
      </c>
      <c r="B11" s="643">
        <f>2</f>
        <v>2</v>
      </c>
      <c r="C11" s="633">
        <f>2</f>
        <v>2</v>
      </c>
      <c r="D11" s="633">
        <v>611</v>
      </c>
      <c r="E11" s="634">
        <f>IF($D11=0,0,ROUND(D11/$D$15*100,2))</f>
        <v>2.64</v>
      </c>
      <c r="F11" s="644">
        <v>0</v>
      </c>
      <c r="G11" s="379"/>
    </row>
    <row r="12" spans="1:7" ht="20.100000000000001" customHeight="1" x14ac:dyDescent="0.2">
      <c r="A12" s="642" t="s">
        <v>27</v>
      </c>
      <c r="B12" s="641">
        <f>SUM(B13:B14)</f>
        <v>9</v>
      </c>
      <c r="C12" s="641">
        <f>SUM(C13:C14)</f>
        <v>9</v>
      </c>
      <c r="D12" s="641">
        <f>SUM(D13:D14)</f>
        <v>22322</v>
      </c>
      <c r="E12" s="640">
        <f>SUM(E13:E14)</f>
        <v>96.58</v>
      </c>
      <c r="F12" s="639">
        <f>SUM(F13:F14)</f>
        <v>0</v>
      </c>
    </row>
    <row r="13" spans="1:7" ht="20.100000000000001" customHeight="1" x14ac:dyDescent="0.2">
      <c r="A13" s="637" t="s">
        <v>582</v>
      </c>
      <c r="B13" s="636">
        <f>1+4+1</f>
        <v>6</v>
      </c>
      <c r="C13" s="635">
        <f>1+4+1</f>
        <v>6</v>
      </c>
      <c r="D13" s="635">
        <f>50+18330+3347</f>
        <v>21727</v>
      </c>
      <c r="E13" s="634">
        <f>IF($D13=0,0,ROUND(D13/$D$15*100,2))</f>
        <v>94.01</v>
      </c>
      <c r="F13" s="633">
        <v>0</v>
      </c>
    </row>
    <row r="14" spans="1:7" ht="20.100000000000001" customHeight="1" x14ac:dyDescent="0.2">
      <c r="A14" s="638" t="s">
        <v>581</v>
      </c>
      <c r="B14" s="636">
        <f>3</f>
        <v>3</v>
      </c>
      <c r="C14" s="635">
        <f>3</f>
        <v>3</v>
      </c>
      <c r="D14" s="635">
        <f>595</f>
        <v>595</v>
      </c>
      <c r="E14" s="634">
        <f>IF($D14=0,0,ROUND(D14/$D$15*100,2))</f>
        <v>2.57</v>
      </c>
      <c r="F14" s="633">
        <v>0</v>
      </c>
    </row>
    <row r="15" spans="1:7" ht="27.75" customHeight="1" x14ac:dyDescent="0.2">
      <c r="A15" s="601" t="s">
        <v>29</v>
      </c>
      <c r="B15" s="632">
        <v>14</v>
      </c>
      <c r="C15" s="632">
        <v>14</v>
      </c>
      <c r="D15" s="632">
        <v>23112</v>
      </c>
      <c r="E15" s="631">
        <v>99.99</v>
      </c>
      <c r="F15" s="575">
        <v>0</v>
      </c>
    </row>
    <row r="16" spans="1:7" x14ac:dyDescent="0.2">
      <c r="A16" s="1314" t="s">
        <v>580</v>
      </c>
      <c r="B16" s="1315"/>
      <c r="C16" s="1316"/>
      <c r="D16" s="1316"/>
    </row>
    <row r="17" spans="1:4" x14ac:dyDescent="0.2">
      <c r="A17" s="379"/>
      <c r="B17" s="630"/>
      <c r="C17" s="379"/>
      <c r="D17" s="630"/>
    </row>
    <row r="18" spans="1:4" x14ac:dyDescent="0.2">
      <c r="A18" s="279"/>
      <c r="B18" s="379"/>
      <c r="C18" s="379"/>
      <c r="D18" s="630"/>
    </row>
    <row r="19" spans="1:4" x14ac:dyDescent="0.2">
      <c r="A19" s="379"/>
      <c r="B19" s="630"/>
      <c r="C19" s="379"/>
      <c r="D19" s="379"/>
    </row>
    <row r="20" spans="1:4" x14ac:dyDescent="0.2">
      <c r="A20" s="379"/>
      <c r="B20" s="630"/>
      <c r="C20" s="379"/>
      <c r="D20" s="630"/>
    </row>
    <row r="21" spans="1:4" x14ac:dyDescent="0.2">
      <c r="A21" s="379"/>
      <c r="B21" s="379"/>
      <c r="C21" s="379"/>
      <c r="D21" s="379"/>
    </row>
    <row r="22" spans="1:4" x14ac:dyDescent="0.2">
      <c r="A22" s="379"/>
      <c r="B22" s="379"/>
      <c r="C22" s="379"/>
      <c r="D22" s="379"/>
    </row>
    <row r="23" spans="1:4" x14ac:dyDescent="0.2">
      <c r="A23" s="379"/>
      <c r="B23" s="379"/>
      <c r="C23" s="379"/>
      <c r="D23" s="379"/>
    </row>
    <row r="24" spans="1:4" x14ac:dyDescent="0.2">
      <c r="A24" s="379"/>
      <c r="B24" s="379"/>
      <c r="C24" s="379"/>
      <c r="D24" s="379"/>
    </row>
    <row r="25" spans="1:4" x14ac:dyDescent="0.2">
      <c r="A25" s="379"/>
      <c r="B25" s="379"/>
      <c r="C25" s="379"/>
      <c r="D25" s="379"/>
    </row>
    <row r="26" spans="1:4" x14ac:dyDescent="0.2">
      <c r="A26" s="379"/>
      <c r="B26" s="379"/>
      <c r="C26" s="379"/>
      <c r="D26" s="379"/>
    </row>
    <row r="27" spans="1:4" x14ac:dyDescent="0.2">
      <c r="A27" s="379"/>
      <c r="B27" s="379"/>
      <c r="C27" s="379"/>
      <c r="D27" s="379"/>
    </row>
    <row r="28" spans="1:4" x14ac:dyDescent="0.2">
      <c r="A28" s="379"/>
      <c r="B28" s="379"/>
      <c r="C28" s="379"/>
      <c r="D28" s="379"/>
    </row>
    <row r="29" spans="1:4" x14ac:dyDescent="0.2">
      <c r="A29" s="379"/>
      <c r="B29" s="379"/>
      <c r="C29" s="379"/>
      <c r="D29" s="379"/>
    </row>
    <row r="30" spans="1:4" x14ac:dyDescent="0.2">
      <c r="A30" s="379"/>
      <c r="B30" s="379"/>
      <c r="C30" s="379"/>
      <c r="D30" s="379"/>
    </row>
    <row r="31" spans="1:4" x14ac:dyDescent="0.2">
      <c r="A31" s="379"/>
      <c r="B31" s="379"/>
      <c r="C31" s="379"/>
      <c r="D31" s="379"/>
    </row>
    <row r="32" spans="1:4" x14ac:dyDescent="0.2">
      <c r="A32" s="379"/>
      <c r="B32" s="379"/>
      <c r="C32" s="379"/>
      <c r="D32" s="379"/>
    </row>
    <row r="33" spans="1:4" x14ac:dyDescent="0.2">
      <c r="A33" s="379"/>
      <c r="B33" s="379"/>
      <c r="C33" s="379"/>
      <c r="D33" s="379"/>
    </row>
    <row r="34" spans="1:4" x14ac:dyDescent="0.2">
      <c r="A34" s="379"/>
      <c r="B34" s="379"/>
      <c r="C34" s="379"/>
      <c r="D34" s="379"/>
    </row>
    <row r="35" spans="1:4" x14ac:dyDescent="0.2">
      <c r="A35" s="379"/>
      <c r="B35" s="379"/>
      <c r="C35" s="379"/>
      <c r="D35" s="379"/>
    </row>
    <row r="36" spans="1:4" x14ac:dyDescent="0.2">
      <c r="A36" s="379"/>
      <c r="B36" s="379"/>
      <c r="C36" s="379"/>
      <c r="D36" s="379"/>
    </row>
    <row r="37" spans="1:4" x14ac:dyDescent="0.2">
      <c r="A37" s="379"/>
      <c r="B37" s="379"/>
      <c r="C37" s="379"/>
      <c r="D37" s="379"/>
    </row>
    <row r="38" spans="1:4" x14ac:dyDescent="0.2">
      <c r="A38" s="379"/>
      <c r="B38" s="379"/>
      <c r="C38" s="379"/>
      <c r="D38" s="379"/>
    </row>
    <row r="39" spans="1:4" x14ac:dyDescent="0.2">
      <c r="A39" s="379"/>
      <c r="B39" s="379"/>
      <c r="C39" s="379"/>
      <c r="D39" s="379"/>
    </row>
  </sheetData>
  <sheetProtection password="9C8D" sheet="1" objects="1" scenarios="1"/>
  <mergeCells count="10">
    <mergeCell ref="G7:G8"/>
    <mergeCell ref="A16:D16"/>
    <mergeCell ref="A4:D4"/>
    <mergeCell ref="A6:F6"/>
    <mergeCell ref="A1:F1"/>
    <mergeCell ref="A2:F2"/>
    <mergeCell ref="A3:F3"/>
    <mergeCell ref="A7:A8"/>
    <mergeCell ref="B7:E7"/>
    <mergeCell ref="F7:F8"/>
  </mergeCells>
  <pageMargins left="0" right="0" top="0" bottom="0" header="0.51181102362204722" footer="0.51181102362204722"/>
  <pageSetup paperSize="9" scale="60"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windowProtection="1" showGridLines="0" workbookViewId="0">
      <selection activeCell="A2" sqref="A2:D2"/>
    </sheetView>
  </sheetViews>
  <sheetFormatPr defaultRowHeight="12.75" x14ac:dyDescent="0.2"/>
  <cols>
    <col min="1" max="1" width="38.85546875" style="271" customWidth="1"/>
    <col min="2" max="2" width="13.42578125" style="271" customWidth="1"/>
    <col min="3" max="3" width="16.140625" style="271" customWidth="1"/>
    <col min="4" max="4" width="14.85546875" style="271" customWidth="1"/>
    <col min="5" max="16384" width="9.140625" style="271"/>
  </cols>
  <sheetData>
    <row r="1" spans="1:5" ht="20.100000000000001" customHeight="1" x14ac:dyDescent="0.2">
      <c r="A1" s="1322" t="s">
        <v>145</v>
      </c>
      <c r="B1" s="1322"/>
      <c r="C1" s="1322"/>
      <c r="D1" s="1322"/>
    </row>
    <row r="2" spans="1:5" ht="20.100000000000001" customHeight="1" x14ac:dyDescent="0.25">
      <c r="A2" s="1323" t="s">
        <v>589</v>
      </c>
      <c r="B2" s="1323"/>
      <c r="C2" s="1323"/>
      <c r="D2" s="1323"/>
    </row>
    <row r="3" spans="1:5" ht="20.100000000000001" customHeight="1" x14ac:dyDescent="0.2">
      <c r="A3" s="1323" t="str">
        <f>'[9]01'!A3:F3</f>
        <v>Exercício 2015</v>
      </c>
      <c r="B3" s="1323"/>
      <c r="C3" s="1323"/>
      <c r="D3" s="1323"/>
    </row>
    <row r="4" spans="1:5" ht="15" x14ac:dyDescent="0.2">
      <c r="A4" s="597"/>
      <c r="B4" s="597"/>
      <c r="C4" s="597"/>
      <c r="D4" s="651"/>
    </row>
    <row r="5" spans="1:5" ht="15" customHeight="1" x14ac:dyDescent="0.2">
      <c r="A5" s="1324" t="s">
        <v>1</v>
      </c>
      <c r="B5" s="1324"/>
      <c r="C5" s="1324"/>
      <c r="D5" s="1324"/>
    </row>
    <row r="6" spans="1:5" ht="34.5" customHeight="1" x14ac:dyDescent="0.2">
      <c r="A6" s="596" t="s">
        <v>195</v>
      </c>
      <c r="B6" s="596" t="s">
        <v>189</v>
      </c>
      <c r="C6" s="596" t="s">
        <v>7</v>
      </c>
      <c r="D6" s="596" t="s">
        <v>8</v>
      </c>
      <c r="E6" s="652"/>
    </row>
    <row r="7" spans="1:5" ht="20.25" customHeight="1" x14ac:dyDescent="0.2">
      <c r="A7" s="653" t="s">
        <v>37</v>
      </c>
      <c r="B7" s="654">
        <f>SUM(B8:B9)</f>
        <v>3</v>
      </c>
      <c r="C7" s="655">
        <f>SUM(C8:C9)</f>
        <v>491</v>
      </c>
      <c r="D7" s="656">
        <f>SUM(D8:D9)</f>
        <v>62.15</v>
      </c>
    </row>
    <row r="8" spans="1:5" ht="18" customHeight="1" x14ac:dyDescent="0.2">
      <c r="A8" s="657" t="s">
        <v>38</v>
      </c>
      <c r="B8" s="658">
        <f>1+1</f>
        <v>2</v>
      </c>
      <c r="C8" s="633">
        <f>97+342</f>
        <v>439</v>
      </c>
      <c r="D8" s="659">
        <f>IF($C8=0,0,ROUND(C8/$C$13*100,2))</f>
        <v>55.57</v>
      </c>
      <c r="E8" s="51"/>
    </row>
    <row r="9" spans="1:5" ht="18" customHeight="1" x14ac:dyDescent="0.2">
      <c r="A9" s="657" t="s">
        <v>40</v>
      </c>
      <c r="B9" s="658">
        <f>1</f>
        <v>1</v>
      </c>
      <c r="C9" s="633">
        <v>52</v>
      </c>
      <c r="D9" s="659">
        <f>IF($C9=0,0,ROUND(C9/$C$13*100,2))</f>
        <v>6.58</v>
      </c>
    </row>
    <row r="10" spans="1:5" ht="18" customHeight="1" x14ac:dyDescent="0.2">
      <c r="A10" s="653" t="s">
        <v>49</v>
      </c>
      <c r="B10" s="654">
        <f>SUM(B11:B12)</f>
        <v>3</v>
      </c>
      <c r="C10" s="655">
        <f>SUM(C11:C12)</f>
        <v>299</v>
      </c>
      <c r="D10" s="656">
        <f>SUM(D11:D12)</f>
        <v>37.85</v>
      </c>
    </row>
    <row r="11" spans="1:5" ht="18" customHeight="1" x14ac:dyDescent="0.2">
      <c r="A11" s="657" t="s">
        <v>52</v>
      </c>
      <c r="B11" s="658">
        <f>1</f>
        <v>1</v>
      </c>
      <c r="C11" s="633">
        <v>29</v>
      </c>
      <c r="D11" s="659">
        <f>IF($C11=0,0,ROUND(C11/$C$13*100,2))</f>
        <v>3.67</v>
      </c>
    </row>
    <row r="12" spans="1:5" ht="18" customHeight="1" x14ac:dyDescent="0.2">
      <c r="A12" s="657" t="s">
        <v>590</v>
      </c>
      <c r="B12" s="658">
        <v>2</v>
      </c>
      <c r="C12" s="633">
        <v>270</v>
      </c>
      <c r="D12" s="659">
        <f>IF($C12=0,0,ROUND(C12/$C$13*100,2))</f>
        <v>34.18</v>
      </c>
    </row>
    <row r="13" spans="1:5" ht="18" customHeight="1" x14ac:dyDescent="0.2">
      <c r="A13" s="573" t="s">
        <v>29</v>
      </c>
      <c r="B13" s="660">
        <v>6</v>
      </c>
      <c r="C13" s="86">
        <v>790</v>
      </c>
      <c r="D13" s="661">
        <v>100</v>
      </c>
      <c r="E13" s="285"/>
    </row>
    <row r="14" spans="1:5" ht="24" customHeight="1" x14ac:dyDescent="0.2">
      <c r="A14" s="1325" t="s">
        <v>591</v>
      </c>
      <c r="B14" s="1326"/>
      <c r="C14" s="1326"/>
      <c r="D14" s="1326"/>
    </row>
    <row r="15" spans="1:5" ht="11.25" customHeight="1" x14ac:dyDescent="0.2">
      <c r="A15" s="1327"/>
      <c r="B15" s="1327"/>
      <c r="C15" s="1327"/>
    </row>
    <row r="16" spans="1:5" ht="12.75" customHeight="1" x14ac:dyDescent="0.2">
      <c r="A16" s="1321"/>
      <c r="B16" s="1321"/>
      <c r="C16" s="1321"/>
    </row>
    <row r="17" spans="1:4" ht="15.75" x14ac:dyDescent="0.25">
      <c r="A17" s="598"/>
      <c r="B17" s="662"/>
      <c r="C17" s="662"/>
      <c r="D17" s="285"/>
    </row>
    <row r="18" spans="1:4" x14ac:dyDescent="0.2">
      <c r="B18" s="285"/>
      <c r="C18" s="663"/>
    </row>
    <row r="19" spans="1:4" x14ac:dyDescent="0.2">
      <c r="C19" s="91"/>
    </row>
    <row r="20" spans="1:4" x14ac:dyDescent="0.2">
      <c r="C20" s="91"/>
    </row>
    <row r="21" spans="1:4" x14ac:dyDescent="0.2">
      <c r="C21" s="91"/>
    </row>
    <row r="22" spans="1:4" x14ac:dyDescent="0.2">
      <c r="C22" s="91"/>
    </row>
    <row r="23" spans="1:4" x14ac:dyDescent="0.2">
      <c r="C23" s="91"/>
    </row>
    <row r="24" spans="1:4" x14ac:dyDescent="0.2">
      <c r="C24" s="91"/>
    </row>
    <row r="25" spans="1:4" x14ac:dyDescent="0.2">
      <c r="C25" s="91"/>
    </row>
    <row r="26" spans="1:4" x14ac:dyDescent="0.2">
      <c r="C26" s="91"/>
    </row>
    <row r="27" spans="1:4" x14ac:dyDescent="0.2">
      <c r="C27" s="91"/>
    </row>
    <row r="28" spans="1:4" x14ac:dyDescent="0.2">
      <c r="C28" s="91"/>
    </row>
    <row r="29" spans="1:4" x14ac:dyDescent="0.2">
      <c r="C29" s="91"/>
    </row>
    <row r="30" spans="1:4" x14ac:dyDescent="0.2">
      <c r="C30" s="91"/>
    </row>
    <row r="31" spans="1:4" x14ac:dyDescent="0.2">
      <c r="C31" s="91"/>
    </row>
    <row r="32" spans="1:4" x14ac:dyDescent="0.2">
      <c r="C32" s="91"/>
    </row>
    <row r="33" spans="3:3" x14ac:dyDescent="0.2">
      <c r="C33" s="91"/>
    </row>
    <row r="34" spans="3:3" x14ac:dyDescent="0.2">
      <c r="C34" s="91"/>
    </row>
    <row r="35" spans="3:3" x14ac:dyDescent="0.2">
      <c r="C35" s="91"/>
    </row>
    <row r="36" spans="3:3" x14ac:dyDescent="0.2">
      <c r="C36" s="91"/>
    </row>
    <row r="37" spans="3:3" x14ac:dyDescent="0.2">
      <c r="C37" s="91"/>
    </row>
    <row r="38" spans="3:3" x14ac:dyDescent="0.2">
      <c r="C38" s="91"/>
    </row>
    <row r="39" spans="3:3" x14ac:dyDescent="0.2">
      <c r="C39" s="91"/>
    </row>
    <row r="40" spans="3:3" x14ac:dyDescent="0.2">
      <c r="C40" s="91"/>
    </row>
    <row r="41" spans="3:3" x14ac:dyDescent="0.2">
      <c r="C41" s="91"/>
    </row>
    <row r="42" spans="3:3" x14ac:dyDescent="0.2">
      <c r="C42" s="91"/>
    </row>
    <row r="43" spans="3:3" x14ac:dyDescent="0.2">
      <c r="C43" s="91"/>
    </row>
    <row r="44" spans="3:3" x14ac:dyDescent="0.2">
      <c r="C44" s="91"/>
    </row>
    <row r="45" spans="3:3" x14ac:dyDescent="0.2">
      <c r="C45" s="91"/>
    </row>
    <row r="46" spans="3:3" x14ac:dyDescent="0.2">
      <c r="C46" s="91"/>
    </row>
    <row r="47" spans="3:3" x14ac:dyDescent="0.2">
      <c r="C47" s="91"/>
    </row>
    <row r="48" spans="3:3" x14ac:dyDescent="0.2">
      <c r="C48" s="91"/>
    </row>
    <row r="49" spans="3:3" x14ac:dyDescent="0.2">
      <c r="C49" s="91"/>
    </row>
    <row r="50" spans="3:3" x14ac:dyDescent="0.2">
      <c r="C50" s="91"/>
    </row>
    <row r="51" spans="3:3" x14ac:dyDescent="0.2">
      <c r="C51" s="91"/>
    </row>
    <row r="52" spans="3:3" x14ac:dyDescent="0.2">
      <c r="C52" s="91"/>
    </row>
    <row r="53" spans="3:3" x14ac:dyDescent="0.2">
      <c r="C53" s="91"/>
    </row>
    <row r="54" spans="3:3" x14ac:dyDescent="0.2">
      <c r="C54" s="91"/>
    </row>
    <row r="55" spans="3:3" x14ac:dyDescent="0.2">
      <c r="C55" s="91"/>
    </row>
    <row r="56" spans="3:3" x14ac:dyDescent="0.2">
      <c r="C56" s="91"/>
    </row>
    <row r="57" spans="3:3" x14ac:dyDescent="0.2">
      <c r="C57" s="91"/>
    </row>
    <row r="58" spans="3:3" x14ac:dyDescent="0.2">
      <c r="C58" s="91"/>
    </row>
    <row r="59" spans="3:3" x14ac:dyDescent="0.2">
      <c r="C59" s="91"/>
    </row>
    <row r="60" spans="3:3" x14ac:dyDescent="0.2">
      <c r="C60" s="91"/>
    </row>
    <row r="61" spans="3:3" x14ac:dyDescent="0.2">
      <c r="C61" s="91"/>
    </row>
    <row r="62" spans="3:3" x14ac:dyDescent="0.2">
      <c r="C62" s="91"/>
    </row>
    <row r="63" spans="3:3" x14ac:dyDescent="0.2">
      <c r="C63" s="91"/>
    </row>
    <row r="64" spans="3:3" x14ac:dyDescent="0.2">
      <c r="C64" s="91"/>
    </row>
    <row r="65" spans="3:3" x14ac:dyDescent="0.2">
      <c r="C65" s="91"/>
    </row>
    <row r="66" spans="3:3" x14ac:dyDescent="0.2">
      <c r="C66" s="91"/>
    </row>
    <row r="67" spans="3:3" x14ac:dyDescent="0.2">
      <c r="C67" s="91"/>
    </row>
    <row r="68" spans="3:3" x14ac:dyDescent="0.2">
      <c r="C68" s="91"/>
    </row>
    <row r="69" spans="3:3" x14ac:dyDescent="0.2">
      <c r="C69" s="91"/>
    </row>
    <row r="70" spans="3:3" x14ac:dyDescent="0.2">
      <c r="C70" s="91"/>
    </row>
    <row r="71" spans="3:3" x14ac:dyDescent="0.2">
      <c r="C71" s="91"/>
    </row>
    <row r="72" spans="3:3" x14ac:dyDescent="0.2">
      <c r="C72" s="91"/>
    </row>
    <row r="73" spans="3:3" x14ac:dyDescent="0.2">
      <c r="C73" s="91"/>
    </row>
    <row r="74" spans="3:3" x14ac:dyDescent="0.2">
      <c r="C74" s="91"/>
    </row>
    <row r="75" spans="3:3" x14ac:dyDescent="0.2">
      <c r="C75" s="91"/>
    </row>
    <row r="76" spans="3:3" x14ac:dyDescent="0.2">
      <c r="C76" s="91"/>
    </row>
    <row r="77" spans="3:3" x14ac:dyDescent="0.2">
      <c r="C77" s="91"/>
    </row>
    <row r="78" spans="3:3" x14ac:dyDescent="0.2">
      <c r="C78" s="91"/>
    </row>
    <row r="79" spans="3:3" x14ac:dyDescent="0.2">
      <c r="C79" s="91"/>
    </row>
    <row r="80" spans="3:3" x14ac:dyDescent="0.2">
      <c r="C80" s="91"/>
    </row>
    <row r="81" spans="3:3" x14ac:dyDescent="0.2">
      <c r="C81" s="91"/>
    </row>
    <row r="82" spans="3:3" x14ac:dyDescent="0.2">
      <c r="C82" s="91"/>
    </row>
    <row r="83" spans="3:3" x14ac:dyDescent="0.2">
      <c r="C83" s="91"/>
    </row>
    <row r="84" spans="3:3" x14ac:dyDescent="0.2">
      <c r="C84" s="91"/>
    </row>
    <row r="85" spans="3:3" x14ac:dyDescent="0.2">
      <c r="C85" s="91"/>
    </row>
    <row r="86" spans="3:3" x14ac:dyDescent="0.2">
      <c r="C86" s="91"/>
    </row>
    <row r="87" spans="3:3" x14ac:dyDescent="0.2">
      <c r="C87" s="91"/>
    </row>
    <row r="88" spans="3:3" x14ac:dyDescent="0.2">
      <c r="C88" s="91"/>
    </row>
    <row r="89" spans="3:3" x14ac:dyDescent="0.2">
      <c r="C89" s="91"/>
    </row>
    <row r="90" spans="3:3" x14ac:dyDescent="0.2">
      <c r="C90" s="91"/>
    </row>
    <row r="91" spans="3:3" x14ac:dyDescent="0.2">
      <c r="C91" s="91"/>
    </row>
    <row r="92" spans="3:3" x14ac:dyDescent="0.2">
      <c r="C92" s="91"/>
    </row>
    <row r="93" spans="3:3" x14ac:dyDescent="0.2">
      <c r="C93" s="91"/>
    </row>
    <row r="94" spans="3:3" x14ac:dyDescent="0.2">
      <c r="C94" s="91"/>
    </row>
    <row r="95" spans="3:3" x14ac:dyDescent="0.2">
      <c r="C95" s="91"/>
    </row>
    <row r="96" spans="3:3" x14ac:dyDescent="0.2">
      <c r="C96" s="91"/>
    </row>
    <row r="97" spans="3:3" x14ac:dyDescent="0.2">
      <c r="C97" s="91"/>
    </row>
    <row r="98" spans="3:3" x14ac:dyDescent="0.2">
      <c r="C98" s="91"/>
    </row>
    <row r="99" spans="3:3" x14ac:dyDescent="0.2">
      <c r="C99" s="91"/>
    </row>
    <row r="100" spans="3:3" x14ac:dyDescent="0.2">
      <c r="C100" s="91"/>
    </row>
    <row r="101" spans="3:3" x14ac:dyDescent="0.2">
      <c r="C101" s="91"/>
    </row>
    <row r="102" spans="3:3" x14ac:dyDescent="0.2">
      <c r="C102" s="91"/>
    </row>
    <row r="103" spans="3:3" x14ac:dyDescent="0.2">
      <c r="C103" s="91"/>
    </row>
    <row r="104" spans="3:3" x14ac:dyDescent="0.2">
      <c r="C104" s="91"/>
    </row>
    <row r="105" spans="3:3" x14ac:dyDescent="0.2">
      <c r="C105" s="91"/>
    </row>
    <row r="106" spans="3:3" x14ac:dyDescent="0.2">
      <c r="C106" s="91"/>
    </row>
    <row r="107" spans="3:3" x14ac:dyDescent="0.2">
      <c r="C107" s="91"/>
    </row>
    <row r="108" spans="3:3" x14ac:dyDescent="0.2">
      <c r="C108" s="91"/>
    </row>
    <row r="109" spans="3:3" x14ac:dyDescent="0.2">
      <c r="C109" s="91"/>
    </row>
    <row r="110" spans="3:3" x14ac:dyDescent="0.2">
      <c r="C110" s="91"/>
    </row>
    <row r="111" spans="3:3" x14ac:dyDescent="0.2">
      <c r="C111" s="91"/>
    </row>
    <row r="112" spans="3:3" x14ac:dyDescent="0.2">
      <c r="C112" s="91"/>
    </row>
    <row r="113" spans="3:3" x14ac:dyDescent="0.2">
      <c r="C113" s="91"/>
    </row>
    <row r="114" spans="3:3" x14ac:dyDescent="0.2">
      <c r="C114" s="91"/>
    </row>
    <row r="115" spans="3:3" x14ac:dyDescent="0.2">
      <c r="C115" s="91"/>
    </row>
    <row r="116" spans="3:3" x14ac:dyDescent="0.2">
      <c r="C116" s="91"/>
    </row>
    <row r="117" spans="3:3" x14ac:dyDescent="0.2">
      <c r="C117" s="91"/>
    </row>
    <row r="118" spans="3:3" x14ac:dyDescent="0.2">
      <c r="C118" s="91"/>
    </row>
    <row r="119" spans="3:3" x14ac:dyDescent="0.2">
      <c r="C119" s="91"/>
    </row>
    <row r="120" spans="3:3" x14ac:dyDescent="0.2">
      <c r="C120" s="91"/>
    </row>
    <row r="121" spans="3:3" x14ac:dyDescent="0.2">
      <c r="C121" s="91"/>
    </row>
    <row r="122" spans="3:3" x14ac:dyDescent="0.2">
      <c r="C122" s="91"/>
    </row>
    <row r="123" spans="3:3" x14ac:dyDescent="0.2">
      <c r="C123" s="91"/>
    </row>
    <row r="124" spans="3:3" x14ac:dyDescent="0.2">
      <c r="C124" s="91"/>
    </row>
    <row r="125" spans="3:3" x14ac:dyDescent="0.2">
      <c r="C125" s="91"/>
    </row>
    <row r="126" spans="3:3" x14ac:dyDescent="0.2">
      <c r="C126" s="91"/>
    </row>
    <row r="127" spans="3:3" x14ac:dyDescent="0.2">
      <c r="C127" s="91"/>
    </row>
    <row r="128" spans="3:3" x14ac:dyDescent="0.2">
      <c r="C128" s="91"/>
    </row>
    <row r="129" spans="3:3" x14ac:dyDescent="0.2">
      <c r="C129" s="91"/>
    </row>
    <row r="130" spans="3:3" x14ac:dyDescent="0.2">
      <c r="C130" s="91"/>
    </row>
    <row r="131" spans="3:3" x14ac:dyDescent="0.2">
      <c r="C131" s="91"/>
    </row>
    <row r="132" spans="3:3" x14ac:dyDescent="0.2">
      <c r="C132" s="91"/>
    </row>
    <row r="133" spans="3:3" x14ac:dyDescent="0.2">
      <c r="C133" s="91"/>
    </row>
    <row r="134" spans="3:3" x14ac:dyDescent="0.2">
      <c r="C134" s="91"/>
    </row>
    <row r="135" spans="3:3" x14ac:dyDescent="0.2">
      <c r="C135" s="91"/>
    </row>
    <row r="136" spans="3:3" x14ac:dyDescent="0.2">
      <c r="C136" s="91"/>
    </row>
    <row r="137" spans="3:3" x14ac:dyDescent="0.2">
      <c r="C137" s="91"/>
    </row>
    <row r="138" spans="3:3" x14ac:dyDescent="0.2">
      <c r="C138" s="91"/>
    </row>
    <row r="139" spans="3:3" x14ac:dyDescent="0.2">
      <c r="C139" s="91"/>
    </row>
    <row r="140" spans="3:3" x14ac:dyDescent="0.2">
      <c r="C140" s="91"/>
    </row>
    <row r="141" spans="3:3" x14ac:dyDescent="0.2">
      <c r="C141" s="91"/>
    </row>
    <row r="142" spans="3:3" x14ac:dyDescent="0.2">
      <c r="C142" s="91"/>
    </row>
    <row r="143" spans="3:3" x14ac:dyDescent="0.2">
      <c r="C143" s="91"/>
    </row>
    <row r="144" spans="3:3" x14ac:dyDescent="0.2">
      <c r="C144" s="91"/>
    </row>
    <row r="145" spans="3:3" x14ac:dyDescent="0.2">
      <c r="C145" s="91"/>
    </row>
    <row r="146" spans="3:3" x14ac:dyDescent="0.2">
      <c r="C146" s="91"/>
    </row>
    <row r="147" spans="3:3" x14ac:dyDescent="0.2">
      <c r="C147" s="91"/>
    </row>
    <row r="148" spans="3:3" x14ac:dyDescent="0.2">
      <c r="C148" s="91"/>
    </row>
    <row r="149" spans="3:3" x14ac:dyDescent="0.2">
      <c r="C149" s="91"/>
    </row>
    <row r="150" spans="3:3" x14ac:dyDescent="0.2">
      <c r="C150" s="91"/>
    </row>
    <row r="151" spans="3:3" x14ac:dyDescent="0.2">
      <c r="C151" s="91"/>
    </row>
    <row r="152" spans="3:3" x14ac:dyDescent="0.2">
      <c r="C152" s="91"/>
    </row>
    <row r="153" spans="3:3" x14ac:dyDescent="0.2">
      <c r="C153" s="91"/>
    </row>
    <row r="154" spans="3:3" x14ac:dyDescent="0.2">
      <c r="C154" s="91"/>
    </row>
    <row r="155" spans="3:3" x14ac:dyDescent="0.2">
      <c r="C155" s="91"/>
    </row>
    <row r="156" spans="3:3" x14ac:dyDescent="0.2">
      <c r="C156" s="91"/>
    </row>
    <row r="157" spans="3:3" x14ac:dyDescent="0.2">
      <c r="C157" s="91"/>
    </row>
    <row r="158" spans="3:3" x14ac:dyDescent="0.2">
      <c r="C158" s="91"/>
    </row>
    <row r="159" spans="3:3" x14ac:dyDescent="0.2">
      <c r="C159" s="91"/>
    </row>
    <row r="160" spans="3:3" x14ac:dyDescent="0.2">
      <c r="C160" s="91"/>
    </row>
    <row r="161" spans="3:3" x14ac:dyDescent="0.2">
      <c r="C161" s="91"/>
    </row>
    <row r="162" spans="3:3" x14ac:dyDescent="0.2">
      <c r="C162" s="91"/>
    </row>
    <row r="163" spans="3:3" x14ac:dyDescent="0.2">
      <c r="C163" s="91"/>
    </row>
    <row r="164" spans="3:3" x14ac:dyDescent="0.2">
      <c r="C164" s="91"/>
    </row>
    <row r="165" spans="3:3" x14ac:dyDescent="0.2">
      <c r="C165" s="91"/>
    </row>
    <row r="166" spans="3:3" x14ac:dyDescent="0.2">
      <c r="C166" s="91"/>
    </row>
    <row r="167" spans="3:3" x14ac:dyDescent="0.2">
      <c r="C167" s="91"/>
    </row>
    <row r="168" spans="3:3" x14ac:dyDescent="0.2">
      <c r="C168" s="91"/>
    </row>
    <row r="169" spans="3:3" x14ac:dyDescent="0.2">
      <c r="C169" s="91"/>
    </row>
    <row r="170" spans="3:3" x14ac:dyDescent="0.2">
      <c r="C170" s="91"/>
    </row>
    <row r="171" spans="3:3" x14ac:dyDescent="0.2">
      <c r="C171" s="91"/>
    </row>
    <row r="172" spans="3:3" x14ac:dyDescent="0.2">
      <c r="C172" s="91"/>
    </row>
    <row r="173" spans="3:3" x14ac:dyDescent="0.2">
      <c r="C173" s="91"/>
    </row>
    <row r="174" spans="3:3" x14ac:dyDescent="0.2">
      <c r="C174" s="91"/>
    </row>
    <row r="175" spans="3:3" x14ac:dyDescent="0.2">
      <c r="C175" s="91"/>
    </row>
    <row r="176" spans="3:3" x14ac:dyDescent="0.2">
      <c r="C176" s="91"/>
    </row>
    <row r="177" spans="3:3" x14ac:dyDescent="0.2">
      <c r="C177" s="91"/>
    </row>
    <row r="178" spans="3:3" x14ac:dyDescent="0.2">
      <c r="C178" s="91"/>
    </row>
    <row r="179" spans="3:3" x14ac:dyDescent="0.2">
      <c r="C179" s="91"/>
    </row>
    <row r="180" spans="3:3" x14ac:dyDescent="0.2">
      <c r="C180" s="91"/>
    </row>
    <row r="181" spans="3:3" x14ac:dyDescent="0.2">
      <c r="C181" s="91"/>
    </row>
  </sheetData>
  <sheetProtection password="9C8D" sheet="1" objects="1" scenarios="1"/>
  <mergeCells count="7">
    <mergeCell ref="A16:C16"/>
    <mergeCell ref="A1:D1"/>
    <mergeCell ref="A2:D2"/>
    <mergeCell ref="A3:D3"/>
    <mergeCell ref="A5:D5"/>
    <mergeCell ref="A14:D14"/>
    <mergeCell ref="A15:C15"/>
  </mergeCells>
  <pageMargins left="0.78740157499999996" right="0.78740157499999996" top="0.984251969" bottom="0.984251969" header="0.49212598499999999" footer="0.49212598499999999"/>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indowProtection="1" showGridLines="0" workbookViewId="0">
      <selection activeCell="A2" sqref="A2:E2"/>
    </sheetView>
  </sheetViews>
  <sheetFormatPr defaultRowHeight="12.75" x14ac:dyDescent="0.2"/>
  <cols>
    <col min="1" max="1" width="32.7109375" style="271" customWidth="1"/>
    <col min="2" max="2" width="16.42578125" style="271" customWidth="1"/>
    <col min="3" max="3" width="13.28515625" style="271" customWidth="1"/>
    <col min="4" max="4" width="18.7109375" style="271" customWidth="1"/>
    <col min="5" max="5" width="17.42578125" style="271" customWidth="1"/>
    <col min="6" max="16384" width="9.140625" style="271"/>
  </cols>
  <sheetData>
    <row r="1" spans="1:7" ht="20.100000000000001" customHeight="1" x14ac:dyDescent="0.2">
      <c r="A1" s="1322" t="s">
        <v>382</v>
      </c>
      <c r="B1" s="1322"/>
      <c r="C1" s="1318"/>
      <c r="D1" s="1318"/>
      <c r="E1" s="1318"/>
    </row>
    <row r="2" spans="1:7" ht="39" customHeight="1" x14ac:dyDescent="0.2">
      <c r="A2" s="1317" t="s">
        <v>592</v>
      </c>
      <c r="B2" s="1317"/>
      <c r="C2" s="1317"/>
      <c r="D2" s="1317"/>
      <c r="E2" s="1317"/>
    </row>
    <row r="3" spans="1:7" ht="20.100000000000001" customHeight="1" x14ac:dyDescent="0.2">
      <c r="A3" s="1317" t="str">
        <f>'[9]01'!A3:F3</f>
        <v>Exercício 2015</v>
      </c>
      <c r="B3" s="1317"/>
      <c r="C3" s="1318"/>
      <c r="D3" s="1318"/>
      <c r="E3" s="1318"/>
    </row>
    <row r="4" spans="1:7" x14ac:dyDescent="0.2">
      <c r="A4" s="376"/>
      <c r="B4" s="376"/>
      <c r="C4" s="272"/>
      <c r="D4" s="272"/>
      <c r="E4" s="272"/>
    </row>
    <row r="5" spans="1:7" x14ac:dyDescent="0.2">
      <c r="A5" s="1328" t="s">
        <v>1</v>
      </c>
      <c r="B5" s="1328"/>
      <c r="C5" s="1328"/>
      <c r="D5" s="1328"/>
      <c r="E5" s="1328"/>
    </row>
    <row r="6" spans="1:7" ht="34.5" customHeight="1" x14ac:dyDescent="0.2">
      <c r="A6" s="596" t="s">
        <v>195</v>
      </c>
      <c r="B6" s="596" t="s">
        <v>189</v>
      </c>
      <c r="C6" s="596" t="s">
        <v>7</v>
      </c>
      <c r="D6" s="664" t="s">
        <v>35</v>
      </c>
      <c r="E6" s="664" t="s">
        <v>36</v>
      </c>
      <c r="F6" s="652"/>
    </row>
    <row r="7" spans="1:7" ht="15.95" customHeight="1" x14ac:dyDescent="0.2">
      <c r="A7" s="673" t="s">
        <v>363</v>
      </c>
      <c r="B7" s="665">
        <f>SUM(B8:B10)</f>
        <v>9</v>
      </c>
      <c r="C7" s="666">
        <f>SUM(C8:C10)</f>
        <v>22322</v>
      </c>
      <c r="D7" s="667">
        <f>SUM(D8:D10)</f>
        <v>100</v>
      </c>
      <c r="E7" s="667">
        <f>SUM(E8:E10)</f>
        <v>5.2</v>
      </c>
      <c r="F7" s="669"/>
      <c r="G7" s="670"/>
    </row>
    <row r="8" spans="1:7" ht="15.95" customHeight="1" x14ac:dyDescent="0.2">
      <c r="A8" s="671" t="s">
        <v>367</v>
      </c>
      <c r="B8" s="672">
        <f>1</f>
        <v>1</v>
      </c>
      <c r="C8" s="557">
        <f>297</f>
        <v>297</v>
      </c>
      <c r="D8" s="668">
        <f>IF($C8=0,0,ROUND(C8/$C$11*100,2))</f>
        <v>1.33</v>
      </c>
      <c r="E8" s="668">
        <f>IF('[10]20'!$D$10=0,0,ROUND(C8/'[10]20'!$D$10*100,2))</f>
        <v>7.0000000000000007E-2</v>
      </c>
      <c r="F8" s="669"/>
      <c r="G8" s="670"/>
    </row>
    <row r="9" spans="1:7" ht="15.95" customHeight="1" x14ac:dyDescent="0.2">
      <c r="A9" s="671" t="s">
        <v>593</v>
      </c>
      <c r="B9" s="672">
        <f>1+1</f>
        <v>2</v>
      </c>
      <c r="C9" s="557">
        <f>2700+3347</f>
        <v>6047</v>
      </c>
      <c r="D9" s="668">
        <f>IF($C9=0,0,ROUND(C9/$C$11*100,2))</f>
        <v>27.09</v>
      </c>
      <c r="E9" s="668">
        <f>IF('[10]20'!$D$10=0,0,ROUND(C9/'[10]20'!$D$10*100,2))</f>
        <v>1.41</v>
      </c>
      <c r="F9" s="669"/>
      <c r="G9" s="670"/>
    </row>
    <row r="10" spans="1:7" ht="15.95" customHeight="1" x14ac:dyDescent="0.2">
      <c r="A10" s="671" t="s">
        <v>48</v>
      </c>
      <c r="B10" s="672">
        <f>4+2</f>
        <v>6</v>
      </c>
      <c r="C10" s="557">
        <f>645+15333</f>
        <v>15978</v>
      </c>
      <c r="D10" s="668">
        <f>IF($C10=0,0,ROUND(C10/$C$11*100,2))</f>
        <v>71.58</v>
      </c>
      <c r="E10" s="668">
        <f>IF('[10]20'!$D$10=0,0,ROUND(C10/'[10]20'!$D$10*100,2))</f>
        <v>3.72</v>
      </c>
      <c r="F10" s="669"/>
      <c r="G10" s="670"/>
    </row>
    <row r="11" spans="1:7" ht="18" customHeight="1" x14ac:dyDescent="0.2">
      <c r="A11" s="596" t="s">
        <v>29</v>
      </c>
      <c r="B11" s="674">
        <v>9</v>
      </c>
      <c r="C11" s="660">
        <v>22322</v>
      </c>
      <c r="D11" s="675">
        <v>100</v>
      </c>
      <c r="E11" s="675">
        <v>5.2</v>
      </c>
    </row>
    <row r="12" spans="1:7" ht="13.5" customHeight="1" x14ac:dyDescent="0.2">
      <c r="A12" s="1329" t="s">
        <v>109</v>
      </c>
      <c r="B12" s="1330"/>
      <c r="C12" s="1331"/>
      <c r="D12" s="1331"/>
      <c r="E12" s="1331"/>
    </row>
    <row r="13" spans="1:7" x14ac:dyDescent="0.2">
      <c r="B13" s="285"/>
      <c r="C13" s="285"/>
    </row>
    <row r="14" spans="1:7" x14ac:dyDescent="0.2">
      <c r="A14" s="1332"/>
      <c r="B14" s="1332"/>
      <c r="C14" s="1332"/>
      <c r="D14" s="1332"/>
    </row>
    <row r="15" spans="1:7" x14ac:dyDescent="0.2">
      <c r="A15" s="1332"/>
      <c r="B15" s="1332"/>
      <c r="C15" s="1332"/>
      <c r="D15" s="1332"/>
    </row>
    <row r="16" spans="1:7" x14ac:dyDescent="0.2">
      <c r="A16" s="1321"/>
      <c r="B16" s="1321"/>
      <c r="C16" s="1321"/>
    </row>
    <row r="17" spans="2:4" x14ac:dyDescent="0.2">
      <c r="B17" s="285"/>
      <c r="C17" s="285"/>
      <c r="D17" s="285"/>
    </row>
  </sheetData>
  <sheetProtection password="9C8D" sheet="1" objects="1" scenarios="1"/>
  <mergeCells count="7">
    <mergeCell ref="A16:C16"/>
    <mergeCell ref="A1:E1"/>
    <mergeCell ref="A2:E2"/>
    <mergeCell ref="A3:E3"/>
    <mergeCell ref="A5:E5"/>
    <mergeCell ref="A12:E12"/>
    <mergeCell ref="A14:D15"/>
  </mergeCells>
  <pageMargins left="0.39370078740157483" right="0"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windowProtection="1" showGridLines="0" zoomScale="90" workbookViewId="0">
      <selection activeCell="B9" sqref="B9"/>
    </sheetView>
  </sheetViews>
  <sheetFormatPr defaultRowHeight="15" x14ac:dyDescent="0.3"/>
  <cols>
    <col min="1" max="1" width="73.42578125" style="1005" customWidth="1"/>
    <col min="2" max="2" width="14" style="1005" bestFit="1" customWidth="1"/>
    <col min="3" max="3" width="15.85546875" style="1005" customWidth="1"/>
    <col min="4" max="16384" width="9.140625" style="1005"/>
  </cols>
  <sheetData>
    <row r="1" spans="1:3" ht="18" x14ac:dyDescent="0.3">
      <c r="A1" s="1193" t="s">
        <v>1008</v>
      </c>
      <c r="B1" s="1194"/>
    </row>
    <row r="2" spans="1:3" ht="18" x14ac:dyDescent="0.3">
      <c r="A2" s="1195" t="s">
        <v>977</v>
      </c>
      <c r="B2" s="1196"/>
    </row>
    <row r="3" spans="1:3" ht="22.5" customHeight="1" x14ac:dyDescent="0.3">
      <c r="A3" s="1199" t="str">
        <f>+[2]Dados!A13</f>
        <v>Exercício de 2015</v>
      </c>
      <c r="B3" s="1200"/>
    </row>
    <row r="4" spans="1:3" x14ac:dyDescent="0.3">
      <c r="A4" s="1204"/>
      <c r="B4" s="1204"/>
    </row>
    <row r="5" spans="1:3" x14ac:dyDescent="0.3">
      <c r="A5" s="1201" t="s">
        <v>1</v>
      </c>
      <c r="B5" s="1201"/>
    </row>
    <row r="6" spans="1:3" ht="16.5" customHeight="1" x14ac:dyDescent="0.3">
      <c r="A6" s="1039" t="s">
        <v>978</v>
      </c>
      <c r="B6" s="1040">
        <f>SUM(B7:B8)</f>
        <v>7790705</v>
      </c>
      <c r="C6" s="1041"/>
    </row>
    <row r="7" spans="1:3" ht="16.5" customHeight="1" x14ac:dyDescent="0.3">
      <c r="A7" s="1042" t="s">
        <v>979</v>
      </c>
      <c r="B7" s="1043">
        <v>1530838</v>
      </c>
      <c r="C7" s="1041"/>
    </row>
    <row r="8" spans="1:3" ht="16.5" customHeight="1" x14ac:dyDescent="0.3">
      <c r="A8" s="1042" t="s">
        <v>980</v>
      </c>
      <c r="B8" s="1043">
        <v>6259867</v>
      </c>
      <c r="C8" s="1041"/>
    </row>
    <row r="9" spans="1:3" ht="16.5" x14ac:dyDescent="0.3">
      <c r="A9" s="1039" t="s">
        <v>981</v>
      </c>
      <c r="B9" s="1040">
        <f>SUM(B10:B11)</f>
        <v>11324340</v>
      </c>
    </row>
    <row r="10" spans="1:3" ht="16.5" x14ac:dyDescent="0.3">
      <c r="A10" s="1042" t="s">
        <v>979</v>
      </c>
      <c r="B10" s="1043">
        <v>5231546</v>
      </c>
    </row>
    <row r="11" spans="1:3" ht="16.5" x14ac:dyDescent="0.3">
      <c r="A11" s="1042" t="s">
        <v>980</v>
      </c>
      <c r="B11" s="1043">
        <v>6092794</v>
      </c>
    </row>
    <row r="12" spans="1:3" ht="16.5" x14ac:dyDescent="0.3">
      <c r="A12" s="1039" t="s">
        <v>982</v>
      </c>
      <c r="B12" s="1044">
        <f>B9-B6</f>
        <v>3533635</v>
      </c>
    </row>
    <row r="13" spans="1:3" ht="18" customHeight="1" x14ac:dyDescent="0.3">
      <c r="A13" s="1021" t="s">
        <v>983</v>
      </c>
      <c r="B13" s="1045">
        <v>6394782</v>
      </c>
      <c r="C13" s="1016"/>
    </row>
    <row r="14" spans="1:3" ht="18" customHeight="1" x14ac:dyDescent="0.3">
      <c r="A14" s="1021" t="s">
        <v>984</v>
      </c>
      <c r="B14" s="1045">
        <v>1122202</v>
      </c>
      <c r="C14" s="1046"/>
    </row>
    <row r="15" spans="1:3" ht="18" customHeight="1" x14ac:dyDescent="0.3">
      <c r="A15" s="1047" t="s">
        <v>985</v>
      </c>
      <c r="B15" s="1045">
        <v>9486806</v>
      </c>
      <c r="C15" s="1048"/>
    </row>
    <row r="16" spans="1:3" ht="18" customHeight="1" x14ac:dyDescent="0.3">
      <c r="A16" s="1047" t="s">
        <v>986</v>
      </c>
      <c r="B16" s="1045">
        <v>412048</v>
      </c>
      <c r="C16" s="1048"/>
    </row>
    <row r="17" spans="1:3" ht="18" customHeight="1" x14ac:dyDescent="0.3">
      <c r="A17" s="1047" t="s">
        <v>987</v>
      </c>
      <c r="B17" s="1045">
        <v>190183</v>
      </c>
    </row>
    <row r="18" spans="1:3" ht="18" customHeight="1" x14ac:dyDescent="0.3">
      <c r="A18" s="1021" t="s">
        <v>988</v>
      </c>
      <c r="B18" s="1045">
        <v>2005</v>
      </c>
      <c r="C18" s="1046"/>
    </row>
    <row r="19" spans="1:3" ht="18" customHeight="1" x14ac:dyDescent="0.3">
      <c r="A19" s="1021" t="s">
        <v>989</v>
      </c>
      <c r="B19" s="1045">
        <v>4841</v>
      </c>
      <c r="C19" s="1046"/>
    </row>
    <row r="20" spans="1:3" ht="18" customHeight="1" x14ac:dyDescent="0.3">
      <c r="A20" s="1047" t="s">
        <v>990</v>
      </c>
      <c r="B20" s="1045">
        <v>7</v>
      </c>
    </row>
    <row r="21" spans="1:3" ht="18" customHeight="1" x14ac:dyDescent="0.3">
      <c r="A21" s="1047" t="s">
        <v>991</v>
      </c>
      <c r="B21" s="1045">
        <v>-11186862</v>
      </c>
    </row>
    <row r="22" spans="1:3" ht="18" customHeight="1" x14ac:dyDescent="0.3">
      <c r="A22" s="1047" t="s">
        <v>992</v>
      </c>
      <c r="B22" s="1045">
        <v>-1278956</v>
      </c>
    </row>
    <row r="23" spans="1:3" ht="18" customHeight="1" x14ac:dyDescent="0.3">
      <c r="A23" s="1047" t="s">
        <v>993</v>
      </c>
      <c r="B23" s="1045">
        <v>-38613</v>
      </c>
    </row>
    <row r="24" spans="1:3" ht="18" customHeight="1" x14ac:dyDescent="0.3">
      <c r="A24" s="1047" t="s">
        <v>994</v>
      </c>
      <c r="B24" s="1045">
        <v>-1168276</v>
      </c>
    </row>
    <row r="25" spans="1:3" ht="18" customHeight="1" x14ac:dyDescent="0.3">
      <c r="A25" s="1047" t="s">
        <v>995</v>
      </c>
      <c r="B25" s="1045">
        <v>-3465</v>
      </c>
    </row>
    <row r="26" spans="1:3" ht="18" customHeight="1" x14ac:dyDescent="0.3">
      <c r="A26" s="1047" t="s">
        <v>996</v>
      </c>
      <c r="B26" s="1045">
        <v>-234753</v>
      </c>
    </row>
    <row r="27" spans="1:3" ht="18" customHeight="1" x14ac:dyDescent="0.3">
      <c r="A27" s="1047" t="s">
        <v>997</v>
      </c>
      <c r="B27" s="1045">
        <v>-55011</v>
      </c>
    </row>
    <row r="28" spans="1:3" ht="18" customHeight="1" x14ac:dyDescent="0.3">
      <c r="A28" s="1047" t="s">
        <v>998</v>
      </c>
      <c r="B28" s="1045">
        <v>-31266</v>
      </c>
    </row>
    <row r="29" spans="1:3" ht="18" customHeight="1" x14ac:dyDescent="0.3">
      <c r="A29" s="1021" t="s">
        <v>999</v>
      </c>
      <c r="B29" s="1045">
        <v>-105</v>
      </c>
    </row>
    <row r="30" spans="1:3" ht="18" customHeight="1" x14ac:dyDescent="0.3">
      <c r="A30" s="1021" t="s">
        <v>1000</v>
      </c>
      <c r="B30" s="1045">
        <v>-10308</v>
      </c>
    </row>
    <row r="31" spans="1:3" ht="18" customHeight="1" x14ac:dyDescent="0.3">
      <c r="A31" s="1021" t="s">
        <v>1001</v>
      </c>
      <c r="B31" s="1045">
        <v>-14857</v>
      </c>
    </row>
    <row r="32" spans="1:3" ht="18" customHeight="1" x14ac:dyDescent="0.3">
      <c r="A32" s="1021" t="s">
        <v>1002</v>
      </c>
      <c r="B32" s="1045">
        <v>-5230</v>
      </c>
    </row>
    <row r="33" spans="1:4" ht="18" customHeight="1" x14ac:dyDescent="0.3">
      <c r="A33" s="1021" t="s">
        <v>1003</v>
      </c>
      <c r="B33" s="1045">
        <v>-3724</v>
      </c>
      <c r="C33" s="1021"/>
      <c r="D33" s="1021"/>
    </row>
    <row r="34" spans="1:4" ht="18" customHeight="1" x14ac:dyDescent="0.3">
      <c r="A34" s="1021" t="s">
        <v>1004</v>
      </c>
      <c r="B34" s="1045">
        <v>-9347</v>
      </c>
      <c r="C34" s="1021"/>
      <c r="D34" s="1021"/>
    </row>
    <row r="35" spans="1:4" ht="18" customHeight="1" x14ac:dyDescent="0.3">
      <c r="A35" s="1021" t="s">
        <v>1005</v>
      </c>
      <c r="B35" s="1045">
        <v>-34454</v>
      </c>
    </row>
    <row r="36" spans="1:4" ht="18" customHeight="1" x14ac:dyDescent="0.3">
      <c r="A36" s="1021" t="s">
        <v>1006</v>
      </c>
      <c r="B36" s="1045">
        <v>-3491</v>
      </c>
    </row>
    <row r="37" spans="1:4" ht="18" customHeight="1" x14ac:dyDescent="0.3">
      <c r="A37" s="1047" t="s">
        <v>1007</v>
      </c>
      <c r="B37" s="1045">
        <v>-521</v>
      </c>
    </row>
    <row r="38" spans="1:4" ht="27" customHeight="1" x14ac:dyDescent="0.3">
      <c r="A38" s="1049" t="s">
        <v>29</v>
      </c>
      <c r="B38" s="1050">
        <f>SUM(B13:B37)</f>
        <v>3533635</v>
      </c>
      <c r="C38" s="1046"/>
    </row>
    <row r="39" spans="1:4" ht="15.75" x14ac:dyDescent="0.35">
      <c r="A39" s="1202" t="s">
        <v>402</v>
      </c>
      <c r="B39" s="1202"/>
    </row>
    <row r="40" spans="1:4" x14ac:dyDescent="0.3">
      <c r="B40" s="1046">
        <f>+B38-B12</f>
        <v>0</v>
      </c>
    </row>
    <row r="41" spans="1:4" x14ac:dyDescent="0.3">
      <c r="A41" s="1019"/>
      <c r="B41" s="1051"/>
    </row>
    <row r="42" spans="1:4" x14ac:dyDescent="0.3">
      <c r="B42" s="1046"/>
    </row>
  </sheetData>
  <sheetProtection password="9C8D" sheet="1" objects="1" scenarios="1"/>
  <mergeCells count="6">
    <mergeCell ref="A39:B39"/>
    <mergeCell ref="A1:B1"/>
    <mergeCell ref="A2:B2"/>
    <mergeCell ref="A3:B3"/>
    <mergeCell ref="A4:B4"/>
    <mergeCell ref="A5:B5"/>
  </mergeCells>
  <pageMargins left="0.78740157499999996" right="0.78740157499999996" top="0.984251969" bottom="0.984251969" header="0.49212598499999999" footer="0.49212598499999999"/>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indowProtection="1" showGridLines="0" workbookViewId="0">
      <selection activeCell="B29" sqref="B29"/>
    </sheetView>
  </sheetViews>
  <sheetFormatPr defaultRowHeight="12.75" x14ac:dyDescent="0.2"/>
  <cols>
    <col min="1" max="1" width="37.85546875" style="271" customWidth="1"/>
    <col min="2" max="2" width="15.5703125" style="271" customWidth="1"/>
    <col min="3" max="3" width="10.7109375" style="271" customWidth="1"/>
    <col min="4" max="4" width="15.7109375" style="271" customWidth="1"/>
    <col min="5" max="5" width="14.42578125" style="271" customWidth="1"/>
    <col min="6" max="16384" width="9.140625" style="271"/>
  </cols>
  <sheetData>
    <row r="1" spans="1:6" ht="20.100000000000001" customHeight="1" x14ac:dyDescent="0.2">
      <c r="A1" s="1261" t="s">
        <v>1057</v>
      </c>
      <c r="B1" s="1262"/>
      <c r="C1" s="1262"/>
      <c r="D1" s="1262"/>
      <c r="E1" s="1262"/>
    </row>
    <row r="2" spans="1:6" ht="20.100000000000001" customHeight="1" x14ac:dyDescent="0.2">
      <c r="A2" s="1333" t="s">
        <v>594</v>
      </c>
      <c r="B2" s="1333"/>
      <c r="C2" s="1333"/>
      <c r="D2" s="1333"/>
      <c r="E2" s="1333"/>
    </row>
    <row r="3" spans="1:6" ht="20.100000000000001" customHeight="1" x14ac:dyDescent="0.2">
      <c r="A3" s="1263" t="str">
        <f>'[9]01'!A3:F3</f>
        <v>Exercício 2015</v>
      </c>
      <c r="B3" s="1334"/>
      <c r="C3" s="1334"/>
      <c r="D3" s="1334"/>
      <c r="E3" s="1334"/>
    </row>
    <row r="4" spans="1:6" x14ac:dyDescent="0.2">
      <c r="A4" s="676"/>
      <c r="B4" s="676"/>
      <c r="C4" s="676"/>
      <c r="D4" s="676"/>
      <c r="E4" s="676"/>
    </row>
    <row r="5" spans="1:6" x14ac:dyDescent="0.2">
      <c r="A5" s="1335" t="s">
        <v>1</v>
      </c>
      <c r="B5" s="1335"/>
      <c r="C5" s="1335"/>
      <c r="D5" s="1335"/>
      <c r="E5" s="1335"/>
    </row>
    <row r="6" spans="1:6" ht="30" x14ac:dyDescent="0.2">
      <c r="A6" s="596" t="s">
        <v>595</v>
      </c>
      <c r="B6" s="596" t="s">
        <v>529</v>
      </c>
      <c r="C6" s="596" t="s">
        <v>8</v>
      </c>
      <c r="D6" s="596" t="s">
        <v>596</v>
      </c>
      <c r="E6" s="596" t="s">
        <v>8</v>
      </c>
      <c r="F6" s="652"/>
    </row>
    <row r="7" spans="1:6" ht="23.25" customHeight="1" x14ac:dyDescent="0.2">
      <c r="A7" s="677" t="s">
        <v>161</v>
      </c>
      <c r="B7" s="678">
        <f>1+2+1</f>
        <v>4</v>
      </c>
      <c r="C7" s="679">
        <f>IF($B7=0,0,ROUND(B7/$B$9*100,1))</f>
        <v>28.6</v>
      </c>
      <c r="D7" s="680">
        <f>85+2797+3347</f>
        <v>6229</v>
      </c>
      <c r="E7" s="679">
        <f>IF($D$9=0,0,ROUND(D7/$D$9*100,1))</f>
        <v>27</v>
      </c>
    </row>
    <row r="8" spans="1:6" ht="24" customHeight="1" x14ac:dyDescent="0.2">
      <c r="A8" s="677" t="s">
        <v>401</v>
      </c>
      <c r="B8" s="678">
        <f>3+5+2</f>
        <v>10</v>
      </c>
      <c r="C8" s="679">
        <f>IF($B8=0,0,ROUND(B8/$B$9*100,1))</f>
        <v>71.400000000000006</v>
      </c>
      <c r="D8" s="680">
        <f>560+15712+611</f>
        <v>16883</v>
      </c>
      <c r="E8" s="679">
        <f>IF($D$9=0,0,ROUND(D8/$D$9*100,1))</f>
        <v>73</v>
      </c>
    </row>
    <row r="9" spans="1:6" ht="18" customHeight="1" x14ac:dyDescent="0.25">
      <c r="A9" s="681" t="s">
        <v>530</v>
      </c>
      <c r="B9" s="682">
        <f>B8+B7</f>
        <v>14</v>
      </c>
      <c r="C9" s="683">
        <f>SUM(C7:C8)</f>
        <v>100</v>
      </c>
      <c r="D9" s="684">
        <f>D7+D8</f>
        <v>23112</v>
      </c>
      <c r="E9" s="683">
        <f>SUM(E7:E8)</f>
        <v>100</v>
      </c>
    </row>
    <row r="10" spans="1:6" ht="16.5" customHeight="1" x14ac:dyDescent="0.2">
      <c r="A10" s="1336" t="s">
        <v>597</v>
      </c>
      <c r="B10" s="1337"/>
      <c r="C10" s="1337"/>
      <c r="D10" s="1337"/>
      <c r="E10" s="1337"/>
    </row>
    <row r="12" spans="1:6" x14ac:dyDescent="0.2">
      <c r="A12" s="1321"/>
      <c r="B12" s="1321"/>
      <c r="C12" s="1321"/>
    </row>
    <row r="14" spans="1:6" x14ac:dyDescent="0.2">
      <c r="B14" s="285"/>
      <c r="D14" s="285"/>
    </row>
  </sheetData>
  <sheetProtection password="9C8D" sheet="1" objects="1" scenarios="1"/>
  <mergeCells count="6">
    <mergeCell ref="A12:C12"/>
    <mergeCell ref="A1:E1"/>
    <mergeCell ref="A2:E2"/>
    <mergeCell ref="A3:E3"/>
    <mergeCell ref="A5:E5"/>
    <mergeCell ref="A10:E10"/>
  </mergeCells>
  <pageMargins left="0.59055118110236227" right="0.39370078740157483" top="0.98425196850393704" bottom="0.98425196850393704" header="0.51181102362204722" footer="0.51181102362204722"/>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windowProtection="1" showGridLines="0" workbookViewId="0">
      <selection activeCell="A2" sqref="A2:M2"/>
    </sheetView>
  </sheetViews>
  <sheetFormatPr defaultRowHeight="12.75" x14ac:dyDescent="0.2"/>
  <cols>
    <col min="1" max="1" width="17.28515625" style="271" customWidth="1"/>
    <col min="2" max="2" width="9.7109375" style="271" customWidth="1"/>
    <col min="3" max="3" width="7.7109375" style="271" customWidth="1"/>
    <col min="4" max="4" width="9.7109375" style="271" customWidth="1"/>
    <col min="5" max="5" width="7.7109375" style="271" customWidth="1"/>
    <col min="6" max="6" width="9.7109375" style="271" customWidth="1"/>
    <col min="7" max="7" width="7.7109375" style="271" customWidth="1"/>
    <col min="8" max="8" width="9.7109375" style="271" customWidth="1"/>
    <col min="9" max="9" width="7.7109375" style="271" customWidth="1"/>
    <col min="10" max="10" width="9.7109375" style="271" customWidth="1"/>
    <col min="11" max="11" width="9.140625" style="271"/>
    <col min="12" max="12" width="9.7109375" style="271" customWidth="1"/>
    <col min="13" max="13" width="7.7109375" style="271" customWidth="1"/>
    <col min="14" max="16384" width="9.140625" style="271"/>
  </cols>
  <sheetData>
    <row r="1" spans="1:14" ht="20.100000000000001" customHeight="1" x14ac:dyDescent="0.2">
      <c r="A1" s="1261" t="s">
        <v>1058</v>
      </c>
      <c r="B1" s="1261"/>
      <c r="C1" s="1261"/>
      <c r="D1" s="1261"/>
      <c r="E1" s="1261"/>
      <c r="F1" s="1261"/>
      <c r="G1" s="1261"/>
      <c r="H1" s="1261"/>
      <c r="I1" s="1261"/>
      <c r="J1" s="1261"/>
      <c r="K1" s="1261"/>
      <c r="L1" s="1261"/>
      <c r="M1" s="1261"/>
    </row>
    <row r="2" spans="1:14" ht="20.100000000000001" customHeight="1" x14ac:dyDescent="0.2">
      <c r="A2" s="1333" t="s">
        <v>598</v>
      </c>
      <c r="B2" s="1333"/>
      <c r="C2" s="1333"/>
      <c r="D2" s="1333"/>
      <c r="E2" s="1333"/>
      <c r="F2" s="1333"/>
      <c r="G2" s="1333"/>
      <c r="H2" s="1333"/>
      <c r="I2" s="1333"/>
      <c r="J2" s="1333"/>
      <c r="K2" s="1333"/>
      <c r="L2" s="1333"/>
      <c r="M2" s="1333"/>
    </row>
    <row r="3" spans="1:14" ht="20.100000000000001" customHeight="1" x14ac:dyDescent="0.2">
      <c r="A3" s="1263" t="str">
        <f>'[9]01'!A3:F3</f>
        <v>Exercício 2015</v>
      </c>
      <c r="B3" s="1263"/>
      <c r="C3" s="1263"/>
      <c r="D3" s="1263"/>
      <c r="E3" s="1263"/>
      <c r="F3" s="1263"/>
      <c r="G3" s="1263"/>
      <c r="H3" s="1263"/>
      <c r="I3" s="1263"/>
      <c r="J3" s="1263"/>
      <c r="K3" s="1263"/>
      <c r="L3" s="1263"/>
      <c r="M3" s="1263"/>
    </row>
    <row r="4" spans="1:14" x14ac:dyDescent="0.2">
      <c r="A4" s="606"/>
      <c r="B4" s="606"/>
      <c r="C4" s="606"/>
      <c r="D4" s="606"/>
      <c r="E4" s="606"/>
      <c r="F4" s="606"/>
      <c r="G4" s="606"/>
      <c r="H4" s="606"/>
      <c r="I4" s="606"/>
      <c r="J4" s="606"/>
      <c r="K4" s="606"/>
      <c r="L4" s="685"/>
      <c r="M4" s="606"/>
    </row>
    <row r="5" spans="1:14" x14ac:dyDescent="0.2">
      <c r="A5" s="1341"/>
      <c r="B5" s="1341"/>
      <c r="C5" s="1341"/>
      <c r="D5" s="1341"/>
      <c r="E5" s="1341"/>
      <c r="F5" s="1341"/>
      <c r="G5" s="1341"/>
      <c r="H5" s="1341"/>
      <c r="I5" s="1341"/>
      <c r="J5" s="1341"/>
      <c r="K5" s="1341"/>
      <c r="L5" s="1341"/>
      <c r="M5" s="606"/>
    </row>
    <row r="6" spans="1:14" ht="27.75" customHeight="1" x14ac:dyDescent="0.2">
      <c r="A6" s="1312" t="s">
        <v>599</v>
      </c>
      <c r="B6" s="1312" t="s">
        <v>138</v>
      </c>
      <c r="C6" s="1312"/>
      <c r="D6" s="1312" t="s">
        <v>139</v>
      </c>
      <c r="E6" s="1312"/>
      <c r="F6" s="1312" t="s">
        <v>302</v>
      </c>
      <c r="G6" s="1312"/>
      <c r="H6" s="1312" t="s">
        <v>280</v>
      </c>
      <c r="I6" s="1312"/>
      <c r="J6" s="1312" t="s">
        <v>191</v>
      </c>
      <c r="K6" s="1312"/>
      <c r="L6" s="1312" t="s">
        <v>29</v>
      </c>
      <c r="M6" s="1342"/>
      <c r="N6" s="1338"/>
    </row>
    <row r="7" spans="1:14" ht="18" customHeight="1" x14ac:dyDescent="0.2">
      <c r="A7" s="1312"/>
      <c r="B7" s="599" t="s">
        <v>249</v>
      </c>
      <c r="C7" s="599" t="s">
        <v>381</v>
      </c>
      <c r="D7" s="599" t="s">
        <v>249</v>
      </c>
      <c r="E7" s="599" t="s">
        <v>381</v>
      </c>
      <c r="F7" s="599" t="s">
        <v>249</v>
      </c>
      <c r="G7" s="599" t="s">
        <v>381</v>
      </c>
      <c r="H7" s="599" t="s">
        <v>249</v>
      </c>
      <c r="I7" s="599" t="s">
        <v>381</v>
      </c>
      <c r="J7" s="599" t="s">
        <v>249</v>
      </c>
      <c r="K7" s="599" t="s">
        <v>381</v>
      </c>
      <c r="L7" s="599" t="s">
        <v>249</v>
      </c>
      <c r="M7" s="599" t="s">
        <v>381</v>
      </c>
      <c r="N7" s="1338"/>
    </row>
    <row r="8" spans="1:14" ht="24.95" customHeight="1" x14ac:dyDescent="0.2">
      <c r="A8" s="686" t="s">
        <v>149</v>
      </c>
      <c r="B8" s="687">
        <v>0</v>
      </c>
      <c r="C8" s="688">
        <f>IF($B8=0,0,ROUND($B8/$B$12*100,2))</f>
        <v>0</v>
      </c>
      <c r="D8" s="687">
        <v>0</v>
      </c>
      <c r="E8" s="688">
        <f>IF($D8=0,0,ROUND($D8/$D$12*100,2))</f>
        <v>0</v>
      </c>
      <c r="F8" s="687">
        <v>0</v>
      </c>
      <c r="G8" s="688">
        <f>IF($F8=0,0,ROUND($F8/$F$12*100,2))</f>
        <v>0</v>
      </c>
      <c r="H8" s="687">
        <v>0</v>
      </c>
      <c r="I8" s="688">
        <f>IF($H8=0,0,ROUND($H8/$H$12*100,2))</f>
        <v>0</v>
      </c>
      <c r="J8" s="687">
        <f>3</f>
        <v>3</v>
      </c>
      <c r="K8" s="688">
        <f>IF($J8=0,0,ROUND($J8/$J$12*100,2))</f>
        <v>33.33</v>
      </c>
      <c r="L8" s="687">
        <f>B8+D8+F8+H8+J8</f>
        <v>3</v>
      </c>
      <c r="M8" s="688">
        <f>IF(L$12=0,0,ROUND(L8/L$12*100,2))</f>
        <v>21.43</v>
      </c>
    </row>
    <row r="9" spans="1:14" ht="24.95" customHeight="1" x14ac:dyDescent="0.2">
      <c r="A9" s="686" t="s">
        <v>150</v>
      </c>
      <c r="B9" s="687">
        <f>3+1</f>
        <v>4</v>
      </c>
      <c r="C9" s="688">
        <f>IF($B9=0,0,ROUND($B9/$B$12*100,2))</f>
        <v>80</v>
      </c>
      <c r="D9" s="687">
        <v>0</v>
      </c>
      <c r="E9" s="688">
        <f>IF($D9=0,0,ROUND($D9/$D$12*100,2))</f>
        <v>0</v>
      </c>
      <c r="F9" s="687">
        <v>0</v>
      </c>
      <c r="G9" s="688">
        <f>IF($F9=0,0,ROUND($F9/$F$12*100,2))</f>
        <v>0</v>
      </c>
      <c r="H9" s="687">
        <v>0</v>
      </c>
      <c r="I9" s="688">
        <f>IF($H9=0,0,ROUND($H9/$H$12*100,2))</f>
        <v>0</v>
      </c>
      <c r="J9" s="687">
        <f>1+2+1</f>
        <v>4</v>
      </c>
      <c r="K9" s="688">
        <f>IF($J9=0,0,ROUND($J9/$J$12*100,2))</f>
        <v>44.44</v>
      </c>
      <c r="L9" s="687">
        <f>B9+D9+F9+H9+J9</f>
        <v>8</v>
      </c>
      <c r="M9" s="688">
        <f>IF(L$12=0,0,ROUND(L9/L$12*100,2))</f>
        <v>57.14</v>
      </c>
    </row>
    <row r="10" spans="1:14" ht="24.95" customHeight="1" x14ac:dyDescent="0.2">
      <c r="A10" s="686" t="s">
        <v>600</v>
      </c>
      <c r="B10" s="687">
        <v>0</v>
      </c>
      <c r="C10" s="688">
        <f>IF($B10=0,0,ROUND($B10/$B$12*100,2))</f>
        <v>0</v>
      </c>
      <c r="D10" s="687">
        <v>0</v>
      </c>
      <c r="E10" s="688">
        <f>IF($D10=0,0,ROUND($D10/$D$12*100,2))</f>
        <v>0</v>
      </c>
      <c r="F10" s="687">
        <v>0</v>
      </c>
      <c r="G10" s="688">
        <f>IF($F10=0,0,ROUND($F10/$F$12*100,2))</f>
        <v>0</v>
      </c>
      <c r="H10" s="687">
        <v>0</v>
      </c>
      <c r="I10" s="688">
        <f>IF($H10=0,0,ROUND($H10/$H$12*100,2))</f>
        <v>0</v>
      </c>
      <c r="J10" s="687">
        <f>2</f>
        <v>2</v>
      </c>
      <c r="K10" s="688">
        <f>IF($J10=0,0,ROUND($J10/$J$12*100,2))</f>
        <v>22.22</v>
      </c>
      <c r="L10" s="687">
        <f>B10+D10+F10+H10+J10</f>
        <v>2</v>
      </c>
      <c r="M10" s="688">
        <f>IF(L$12=0,0,ROUND(L10/L$12*100,2))</f>
        <v>14.29</v>
      </c>
    </row>
    <row r="11" spans="1:14" ht="24.95" customHeight="1" x14ac:dyDescent="0.2">
      <c r="A11" s="671" t="s">
        <v>153</v>
      </c>
      <c r="B11" s="378">
        <f>1</f>
        <v>1</v>
      </c>
      <c r="C11" s="688">
        <f>IF($B11=0,0,ROUND($B11/$B$12*100,2))</f>
        <v>20</v>
      </c>
      <c r="D11" s="378">
        <v>0</v>
      </c>
      <c r="E11" s="688">
        <f>IF($D11=0,0,ROUND($D11/$D$12*100,2))</f>
        <v>0</v>
      </c>
      <c r="F11" s="378">
        <v>0</v>
      </c>
      <c r="G11" s="688">
        <f>IF($F11=0,0,ROUND($F11/$F$12*100,2))</f>
        <v>0</v>
      </c>
      <c r="H11" s="378">
        <v>0</v>
      </c>
      <c r="I11" s="688">
        <f>IF($H11=0,0,ROUND($H11/$H$12*100,2))</f>
        <v>0</v>
      </c>
      <c r="J11" s="378">
        <v>0</v>
      </c>
      <c r="K11" s="688">
        <f>IF($J11=0,0,ROUND($J11/$J$12*100,2))</f>
        <v>0</v>
      </c>
      <c r="L11" s="687">
        <f>B11+D11+F11+H11+J11</f>
        <v>1</v>
      </c>
      <c r="M11" s="688">
        <f>IF(L$12=0,0,ROUND(L11/L$12*100,2))</f>
        <v>7.14</v>
      </c>
    </row>
    <row r="12" spans="1:14" ht="23.25" customHeight="1" x14ac:dyDescent="0.25">
      <c r="A12" s="689" t="s">
        <v>29</v>
      </c>
      <c r="B12" s="690">
        <f t="shared" ref="B12:M12" si="0">SUM(B8:B11)</f>
        <v>5</v>
      </c>
      <c r="C12" s="691">
        <f t="shared" si="0"/>
        <v>100</v>
      </c>
      <c r="D12" s="690">
        <f t="shared" si="0"/>
        <v>0</v>
      </c>
      <c r="E12" s="691">
        <f t="shared" si="0"/>
        <v>0</v>
      </c>
      <c r="F12" s="690">
        <f t="shared" si="0"/>
        <v>0</v>
      </c>
      <c r="G12" s="691">
        <f t="shared" si="0"/>
        <v>0</v>
      </c>
      <c r="H12" s="690">
        <f t="shared" si="0"/>
        <v>0</v>
      </c>
      <c r="I12" s="691">
        <f t="shared" si="0"/>
        <v>0</v>
      </c>
      <c r="J12" s="690">
        <f t="shared" si="0"/>
        <v>9</v>
      </c>
      <c r="K12" s="691">
        <f t="shared" si="0"/>
        <v>99.99</v>
      </c>
      <c r="L12" s="690">
        <f t="shared" si="0"/>
        <v>14</v>
      </c>
      <c r="M12" s="691">
        <f t="shared" si="0"/>
        <v>99.999999999999986</v>
      </c>
    </row>
    <row r="13" spans="1:14" ht="15.75" customHeight="1" x14ac:dyDescent="0.2">
      <c r="A13" s="1339"/>
      <c r="B13" s="1339"/>
      <c r="C13" s="1339"/>
      <c r="D13" s="1339"/>
      <c r="E13" s="1339"/>
      <c r="F13" s="1339"/>
      <c r="G13" s="1339"/>
      <c r="H13" s="1339"/>
      <c r="I13" s="1339"/>
      <c r="J13" s="1339"/>
      <c r="K13" s="1339"/>
      <c r="L13" s="1339"/>
    </row>
    <row r="14" spans="1:14" ht="12.75" customHeight="1" x14ac:dyDescent="0.2">
      <c r="A14" s="1340"/>
      <c r="B14" s="1340"/>
      <c r="C14" s="1340"/>
      <c r="D14" s="1340"/>
      <c r="E14" s="1340"/>
      <c r="F14" s="1340"/>
      <c r="G14" s="1340"/>
      <c r="H14" s="1340"/>
      <c r="I14" s="1340"/>
      <c r="J14" s="1340"/>
      <c r="K14" s="1340"/>
      <c r="L14" s="1340"/>
      <c r="M14" s="1340"/>
    </row>
    <row r="15" spans="1:14" x14ac:dyDescent="0.2">
      <c r="A15" s="279"/>
      <c r="B15" s="692"/>
      <c r="L15" s="285"/>
    </row>
    <row r="16" spans="1:14" x14ac:dyDescent="0.2">
      <c r="A16" s="1321"/>
      <c r="B16" s="1321"/>
      <c r="C16" s="1321"/>
    </row>
    <row r="17" spans="2:2" x14ac:dyDescent="0.2">
      <c r="B17" s="692"/>
    </row>
    <row r="18" spans="2:2" x14ac:dyDescent="0.2">
      <c r="B18" s="692"/>
    </row>
  </sheetData>
  <sheetProtection password="9C8D" sheet="1" objects="1" scenarios="1"/>
  <mergeCells count="15">
    <mergeCell ref="N6:N7"/>
    <mergeCell ref="A13:L13"/>
    <mergeCell ref="A14:M14"/>
    <mergeCell ref="A16:C16"/>
    <mergeCell ref="A1:M1"/>
    <mergeCell ref="A2:M2"/>
    <mergeCell ref="A3:M3"/>
    <mergeCell ref="A5:L5"/>
    <mergeCell ref="A6:A7"/>
    <mergeCell ref="B6:C6"/>
    <mergeCell ref="D6:E6"/>
    <mergeCell ref="F6:G6"/>
    <mergeCell ref="H6:I6"/>
    <mergeCell ref="J6:K6"/>
    <mergeCell ref="L6:M6"/>
  </mergeCells>
  <pageMargins left="0.78740157480314965" right="0.78740157480314965" top="0.98425196850393704" bottom="0.98425196850393704" header="0.51181102362204722" footer="0.51181102362204722"/>
  <pageSetup paperSize="9" scale="90" orientation="landscape"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indowProtection="1" showGridLines="0" workbookViewId="0">
      <selection activeCell="A2" sqref="A2:G2"/>
    </sheetView>
  </sheetViews>
  <sheetFormatPr defaultRowHeight="12.75" x14ac:dyDescent="0.2"/>
  <cols>
    <col min="1" max="1" width="19.5703125" style="271" customWidth="1"/>
    <col min="2" max="2" width="11.85546875" style="271" bestFit="1" customWidth="1"/>
    <col min="3" max="3" width="16.5703125" style="271" customWidth="1"/>
    <col min="4" max="4" width="11.85546875" style="271" customWidth="1"/>
    <col min="5" max="5" width="13.7109375" style="271" customWidth="1"/>
    <col min="6" max="6" width="15.140625" style="271" customWidth="1"/>
    <col min="7" max="7" width="12" style="271" customWidth="1"/>
    <col min="8" max="16384" width="9.140625" style="271"/>
  </cols>
  <sheetData>
    <row r="1" spans="1:13" ht="20.100000000000001" customHeight="1" x14ac:dyDescent="0.2">
      <c r="A1" s="1261" t="s">
        <v>1059</v>
      </c>
      <c r="B1" s="1262"/>
      <c r="C1" s="1262"/>
      <c r="D1" s="1262"/>
      <c r="E1" s="1262"/>
      <c r="F1" s="1262"/>
      <c r="G1" s="1262"/>
    </row>
    <row r="2" spans="1:13" ht="20.100000000000001" customHeight="1" x14ac:dyDescent="0.2">
      <c r="A2" s="1333" t="s">
        <v>601</v>
      </c>
      <c r="B2" s="1333"/>
      <c r="C2" s="1333"/>
      <c r="D2" s="1333"/>
      <c r="E2" s="1333"/>
      <c r="F2" s="1333"/>
      <c r="G2" s="1333"/>
    </row>
    <row r="3" spans="1:13" ht="20.100000000000001" customHeight="1" x14ac:dyDescent="0.2">
      <c r="A3" s="1263" t="str">
        <f>'[9]01'!A3:F3</f>
        <v>Exercício 2015</v>
      </c>
      <c r="B3" s="1334"/>
      <c r="C3" s="1334"/>
      <c r="D3" s="1334"/>
      <c r="E3" s="1334"/>
      <c r="F3" s="1334"/>
      <c r="G3" s="1334"/>
    </row>
    <row r="4" spans="1:13" x14ac:dyDescent="0.2">
      <c r="A4" s="272"/>
      <c r="B4" s="272"/>
      <c r="C4" s="272"/>
      <c r="D4" s="272"/>
      <c r="E4" s="272"/>
      <c r="F4" s="272"/>
      <c r="G4" s="272"/>
    </row>
    <row r="5" spans="1:13" x14ac:dyDescent="0.2">
      <c r="A5" s="1343" t="s">
        <v>1</v>
      </c>
      <c r="B5" s="1343"/>
      <c r="C5" s="1343"/>
      <c r="D5" s="1343"/>
      <c r="E5" s="1343"/>
      <c r="F5" s="1343"/>
      <c r="G5" s="1343"/>
    </row>
    <row r="6" spans="1:13" ht="35.25" customHeight="1" x14ac:dyDescent="0.2">
      <c r="A6" s="601" t="s">
        <v>216</v>
      </c>
      <c r="B6" s="601" t="s">
        <v>138</v>
      </c>
      <c r="C6" s="601" t="s">
        <v>139</v>
      </c>
      <c r="D6" s="601" t="s">
        <v>302</v>
      </c>
      <c r="E6" s="601" t="s">
        <v>602</v>
      </c>
      <c r="F6" s="601" t="s">
        <v>191</v>
      </c>
      <c r="G6" s="601" t="s">
        <v>29</v>
      </c>
      <c r="H6" s="652"/>
    </row>
    <row r="7" spans="1:13" ht="24.95" customHeight="1" x14ac:dyDescent="0.2">
      <c r="A7" s="686" t="s">
        <v>603</v>
      </c>
      <c r="B7" s="687">
        <v>0</v>
      </c>
      <c r="C7" s="693">
        <v>0</v>
      </c>
      <c r="D7" s="687">
        <v>0</v>
      </c>
      <c r="E7" s="693">
        <v>0</v>
      </c>
      <c r="F7" s="687">
        <f>195</f>
        <v>195</v>
      </c>
      <c r="G7" s="693">
        <f>SUM(B7:F7)</f>
        <v>195</v>
      </c>
      <c r="H7" s="51"/>
    </row>
    <row r="8" spans="1:13" ht="24.95" customHeight="1" x14ac:dyDescent="0.2">
      <c r="A8" s="686" t="s">
        <v>150</v>
      </c>
      <c r="B8" s="687">
        <f>179+342</f>
        <v>521</v>
      </c>
      <c r="C8" s="693">
        <v>0</v>
      </c>
      <c r="D8" s="687">
        <v>0</v>
      </c>
      <c r="E8" s="693">
        <v>0</v>
      </c>
      <c r="F8" s="687">
        <f>450+2955+3347</f>
        <v>6752</v>
      </c>
      <c r="G8" s="693">
        <f>SUM(B8:F8)</f>
        <v>7273</v>
      </c>
      <c r="H8" s="51"/>
    </row>
    <row r="9" spans="1:13" ht="24.95" customHeight="1" x14ac:dyDescent="0.2">
      <c r="A9" s="686" t="s">
        <v>151</v>
      </c>
      <c r="B9" s="687">
        <v>0</v>
      </c>
      <c r="C9" s="693">
        <v>0</v>
      </c>
      <c r="D9" s="687">
        <v>0</v>
      </c>
      <c r="E9" s="693">
        <v>0</v>
      </c>
      <c r="F9" s="687">
        <f>15375</f>
        <v>15375</v>
      </c>
      <c r="G9" s="693">
        <f>SUM(B9:F9)</f>
        <v>15375</v>
      </c>
      <c r="H9" s="51"/>
    </row>
    <row r="10" spans="1:13" ht="24.95" customHeight="1" x14ac:dyDescent="0.2">
      <c r="A10" s="671" t="s">
        <v>153</v>
      </c>
      <c r="B10" s="687">
        <v>269</v>
      </c>
      <c r="C10" s="693">
        <v>0</v>
      </c>
      <c r="D10" s="693">
        <v>0</v>
      </c>
      <c r="E10" s="693">
        <v>0</v>
      </c>
      <c r="F10" s="694">
        <v>0</v>
      </c>
      <c r="G10" s="693">
        <f>SUM(B10:F10)</f>
        <v>269</v>
      </c>
      <c r="H10" s="51"/>
    </row>
    <row r="11" spans="1:13" ht="25.5" customHeight="1" x14ac:dyDescent="0.2">
      <c r="A11" s="573" t="s">
        <v>29</v>
      </c>
      <c r="B11" s="660">
        <f t="shared" ref="B11:G11" si="0">SUM(B7:B10)</f>
        <v>790</v>
      </c>
      <c r="C11" s="660">
        <f t="shared" si="0"/>
        <v>0</v>
      </c>
      <c r="D11" s="660">
        <f t="shared" si="0"/>
        <v>0</v>
      </c>
      <c r="E11" s="660">
        <f t="shared" si="0"/>
        <v>0</v>
      </c>
      <c r="F11" s="660">
        <f t="shared" si="0"/>
        <v>22322</v>
      </c>
      <c r="G11" s="660">
        <f t="shared" si="0"/>
        <v>23112</v>
      </c>
    </row>
    <row r="12" spans="1:13" x14ac:dyDescent="0.2">
      <c r="A12" s="1344" t="s">
        <v>413</v>
      </c>
      <c r="B12" s="1345"/>
      <c r="C12" s="1345"/>
      <c r="D12" s="1345"/>
      <c r="E12" s="1345"/>
      <c r="F12" s="1345"/>
      <c r="G12" s="1345"/>
    </row>
    <row r="13" spans="1:13" x14ac:dyDescent="0.2">
      <c r="F13" s="695"/>
    </row>
    <row r="14" spans="1:13" x14ac:dyDescent="0.2">
      <c r="A14" s="1340"/>
      <c r="B14" s="1340"/>
      <c r="C14" s="1340"/>
      <c r="D14" s="1340"/>
      <c r="E14" s="1340"/>
      <c r="F14" s="1340"/>
      <c r="G14" s="1340"/>
      <c r="H14" s="1340"/>
      <c r="I14" s="1340"/>
      <c r="J14" s="1340"/>
      <c r="K14" s="1340"/>
      <c r="L14" s="1340"/>
      <c r="M14" s="1340"/>
    </row>
    <row r="15" spans="1:13" x14ac:dyDescent="0.2">
      <c r="A15" s="279"/>
      <c r="B15" s="285"/>
      <c r="D15" s="285"/>
      <c r="F15" s="39"/>
      <c r="G15" s="285"/>
    </row>
    <row r="16" spans="1:13" x14ac:dyDescent="0.2">
      <c r="F16" s="285"/>
    </row>
  </sheetData>
  <sheetProtection password="9C8D" sheet="1" objects="1" scenarios="1"/>
  <mergeCells count="6">
    <mergeCell ref="A14:M14"/>
    <mergeCell ref="A1:G1"/>
    <mergeCell ref="A2:G2"/>
    <mergeCell ref="A3:G3"/>
    <mergeCell ref="A5:G5"/>
    <mergeCell ref="A12:G12"/>
  </mergeCells>
  <pageMargins left="0.39370078740157483" right="0" top="0.98425196850393704" bottom="0.98425196850393704" header="0.51181102362204722" footer="0.51181102362204722"/>
  <pageSetup paperSize="9" scale="90"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indowProtection="1" showGridLines="0" workbookViewId="0">
      <selection activeCell="A2" sqref="A2:G2"/>
    </sheetView>
  </sheetViews>
  <sheetFormatPr defaultRowHeight="12.75" x14ac:dyDescent="0.2"/>
  <cols>
    <col min="1" max="1" width="16.7109375" style="271" customWidth="1"/>
    <col min="2" max="2" width="13.5703125" style="271" customWidth="1"/>
    <col min="3" max="3" width="17" style="271" customWidth="1"/>
    <col min="4" max="4" width="13.42578125" style="271" customWidth="1"/>
    <col min="5" max="5" width="16.28515625" style="271" customWidth="1"/>
    <col min="6" max="6" width="13.5703125" style="271" customWidth="1"/>
    <col min="7" max="7" width="16.42578125" style="271" customWidth="1"/>
    <col min="8" max="8" width="16.7109375" style="271" customWidth="1"/>
    <col min="9" max="9" width="16" style="271" customWidth="1"/>
    <col min="10" max="16384" width="9.140625" style="271"/>
  </cols>
  <sheetData>
    <row r="1" spans="1:9" ht="20.100000000000001" customHeight="1" x14ac:dyDescent="0.2">
      <c r="A1" s="1261" t="s">
        <v>1060</v>
      </c>
      <c r="B1" s="1261"/>
      <c r="C1" s="1261"/>
      <c r="D1" s="1261"/>
      <c r="E1" s="1261"/>
      <c r="F1" s="1261"/>
      <c r="G1" s="1261"/>
    </row>
    <row r="2" spans="1:9" ht="20.100000000000001" customHeight="1" x14ac:dyDescent="0.25">
      <c r="A2" s="1309" t="s">
        <v>620</v>
      </c>
      <c r="B2" s="1309"/>
      <c r="C2" s="1309"/>
      <c r="D2" s="1309"/>
      <c r="E2" s="1309"/>
      <c r="F2" s="1309"/>
      <c r="G2" s="1309"/>
    </row>
    <row r="3" spans="1:9" ht="20.100000000000001" customHeight="1" x14ac:dyDescent="0.2">
      <c r="A3" s="1317" t="s">
        <v>621</v>
      </c>
      <c r="B3" s="1317"/>
      <c r="C3" s="1317"/>
      <c r="D3" s="1317"/>
      <c r="E3" s="1317"/>
      <c r="F3" s="1317"/>
      <c r="G3" s="1317"/>
    </row>
    <row r="4" spans="1:9" ht="15.75" x14ac:dyDescent="0.2">
      <c r="A4" s="548"/>
      <c r="B4" s="548"/>
      <c r="C4" s="548"/>
    </row>
    <row r="5" spans="1:9" x14ac:dyDescent="0.2">
      <c r="A5" s="1324"/>
      <c r="B5" s="1324"/>
      <c r="C5" s="1324"/>
      <c r="D5" s="277"/>
      <c r="E5" s="1324" t="s">
        <v>1</v>
      </c>
      <c r="F5" s="1324"/>
      <c r="G5" s="1324"/>
    </row>
    <row r="6" spans="1:9" ht="24.75" customHeight="1" x14ac:dyDescent="0.2">
      <c r="A6" s="1320" t="s">
        <v>135</v>
      </c>
      <c r="B6" s="1349" t="s">
        <v>622</v>
      </c>
      <c r="C6" s="1350"/>
      <c r="D6" s="1350"/>
      <c r="E6" s="1350"/>
      <c r="F6" s="1350"/>
      <c r="G6" s="1350"/>
      <c r="H6" s="1350"/>
      <c r="I6" s="1350"/>
    </row>
    <row r="7" spans="1:9" ht="30" customHeight="1" x14ac:dyDescent="0.2">
      <c r="A7" s="1320"/>
      <c r="B7" s="1351" t="s">
        <v>623</v>
      </c>
      <c r="C7" s="1346"/>
      <c r="D7" s="1352" t="s">
        <v>624</v>
      </c>
      <c r="E7" s="1352"/>
      <c r="F7" s="1346" t="s">
        <v>625</v>
      </c>
      <c r="G7" s="1347"/>
      <c r="H7" s="1346" t="s">
        <v>626</v>
      </c>
      <c r="I7" s="1347"/>
    </row>
    <row r="8" spans="1:9" ht="30.75" customHeight="1" x14ac:dyDescent="0.2">
      <c r="A8" s="1320"/>
      <c r="B8" s="708" t="s">
        <v>627</v>
      </c>
      <c r="C8" s="709" t="s">
        <v>628</v>
      </c>
      <c r="D8" s="708" t="s">
        <v>627</v>
      </c>
      <c r="E8" s="709" t="s">
        <v>628</v>
      </c>
      <c r="F8" s="708" t="s">
        <v>627</v>
      </c>
      <c r="G8" s="709" t="s">
        <v>628</v>
      </c>
      <c r="H8" s="708" t="s">
        <v>627</v>
      </c>
      <c r="I8" s="709" t="s">
        <v>628</v>
      </c>
    </row>
    <row r="9" spans="1:9" ht="24.95" customHeight="1" x14ac:dyDescent="0.2">
      <c r="A9" s="710" t="s">
        <v>140</v>
      </c>
      <c r="B9" s="711">
        <v>332</v>
      </c>
      <c r="C9" s="712">
        <v>0</v>
      </c>
      <c r="D9" s="711">
        <v>10516</v>
      </c>
      <c r="E9" s="713">
        <v>0</v>
      </c>
      <c r="F9" s="76">
        <v>13420</v>
      </c>
      <c r="G9" s="712">
        <v>30.6</v>
      </c>
      <c r="H9" s="76">
        <v>0</v>
      </c>
      <c r="I9" s="712">
        <v>0</v>
      </c>
    </row>
    <row r="10" spans="1:9" ht="24.95" customHeight="1" x14ac:dyDescent="0.2">
      <c r="A10" s="710" t="s">
        <v>138</v>
      </c>
      <c r="B10" s="714">
        <v>42</v>
      </c>
      <c r="C10" s="715">
        <v>54.8</v>
      </c>
      <c r="D10" s="714">
        <v>18697</v>
      </c>
      <c r="E10" s="716">
        <v>0</v>
      </c>
      <c r="F10" s="76">
        <v>4572</v>
      </c>
      <c r="G10" s="715">
        <v>7.4</v>
      </c>
      <c r="H10" s="76">
        <v>0</v>
      </c>
      <c r="I10" s="715">
        <v>0</v>
      </c>
    </row>
    <row r="11" spans="1:9" ht="24.95" customHeight="1" x14ac:dyDescent="0.2">
      <c r="A11" s="717" t="s">
        <v>48</v>
      </c>
      <c r="B11" s="714">
        <v>1653</v>
      </c>
      <c r="C11" s="715">
        <v>4.4000000000000004</v>
      </c>
      <c r="D11" s="714">
        <v>22523</v>
      </c>
      <c r="E11" s="716">
        <v>0</v>
      </c>
      <c r="F11" s="76">
        <v>63249</v>
      </c>
      <c r="G11" s="715">
        <v>6.4</v>
      </c>
      <c r="H11" s="76">
        <v>22681</v>
      </c>
      <c r="I11" s="715">
        <v>0</v>
      </c>
    </row>
    <row r="12" spans="1:9" ht="24.95" customHeight="1" x14ac:dyDescent="0.25">
      <c r="A12" s="601" t="s">
        <v>29</v>
      </c>
      <c r="B12" s="718">
        <f>SUM(B9:B11)</f>
        <v>2027</v>
      </c>
      <c r="C12" s="719">
        <v>4.7</v>
      </c>
      <c r="D12" s="720">
        <f>SUM(D9:D11)</f>
        <v>51736</v>
      </c>
      <c r="E12" s="719">
        <v>0</v>
      </c>
      <c r="F12" s="718">
        <f>SUM(F9:F11)</f>
        <v>81241</v>
      </c>
      <c r="G12" s="719">
        <v>10.4</v>
      </c>
      <c r="H12" s="718">
        <f>SUM(H9:H11)</f>
        <v>22681</v>
      </c>
      <c r="I12" s="719">
        <v>0</v>
      </c>
    </row>
    <row r="13" spans="1:9" x14ac:dyDescent="0.2">
      <c r="B13" s="1348"/>
      <c r="C13" s="1348"/>
      <c r="D13" s="1348"/>
      <c r="E13" s="1348"/>
    </row>
    <row r="14" spans="1:9" x14ac:dyDescent="0.2">
      <c r="B14" s="285"/>
      <c r="C14" s="721"/>
    </row>
    <row r="15" spans="1:9" x14ac:dyDescent="0.2">
      <c r="B15" s="285"/>
      <c r="C15" s="722"/>
    </row>
    <row r="16" spans="1:9" x14ac:dyDescent="0.2">
      <c r="C16" s="572"/>
    </row>
    <row r="17" spans="2:4" x14ac:dyDescent="0.2">
      <c r="B17" s="285"/>
      <c r="C17" s="285"/>
    </row>
    <row r="19" spans="2:4" x14ac:dyDescent="0.2">
      <c r="D19" s="723"/>
    </row>
  </sheetData>
  <sheetProtection password="9C8D" sheet="1" objects="1" scenarios="1"/>
  <mergeCells count="13">
    <mergeCell ref="H7:I7"/>
    <mergeCell ref="B13:C13"/>
    <mergeCell ref="D13:E13"/>
    <mergeCell ref="A1:G1"/>
    <mergeCell ref="A2:G2"/>
    <mergeCell ref="A3:G3"/>
    <mergeCell ref="A5:C5"/>
    <mergeCell ref="E5:G5"/>
    <mergeCell ref="A6:A8"/>
    <mergeCell ref="B6:I6"/>
    <mergeCell ref="B7:C7"/>
    <mergeCell ref="D7:E7"/>
    <mergeCell ref="F7:G7"/>
  </mergeCells>
  <pageMargins left="0.78740157480314965" right="0.78740157480314965" top="0.98425196850393704" bottom="0.98425196850393704" header="0.51181102362204722" footer="0.51181102362204722"/>
  <pageSetup paperSize="9" scale="85" orientation="landscape"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5"/>
  <sheetViews>
    <sheetView windowProtection="1" showGridLines="0" workbookViewId="0">
      <selection activeCell="A2" sqref="A2:B2"/>
    </sheetView>
  </sheetViews>
  <sheetFormatPr defaultRowHeight="12.75" x14ac:dyDescent="0.2"/>
  <cols>
    <col min="1" max="1" width="46.42578125" style="271" customWidth="1"/>
    <col min="2" max="2" width="40.28515625" style="271" customWidth="1"/>
    <col min="3" max="16384" width="9.140625" style="271"/>
  </cols>
  <sheetData>
    <row r="1" spans="1:30" ht="20.100000000000001" customHeight="1" x14ac:dyDescent="0.25">
      <c r="A1" s="1353" t="s">
        <v>1061</v>
      </c>
      <c r="B1" s="1353"/>
      <c r="C1" s="686"/>
      <c r="D1" s="686"/>
      <c r="E1" s="686"/>
      <c r="F1" s="686"/>
      <c r="G1" s="686"/>
      <c r="H1" s="686"/>
      <c r="I1" s="686"/>
      <c r="J1" s="686"/>
      <c r="K1" s="686"/>
      <c r="L1" s="686"/>
      <c r="M1" s="686"/>
      <c r="N1" s="686"/>
      <c r="O1" s="686"/>
      <c r="P1" s="686"/>
      <c r="Q1" s="686"/>
      <c r="R1" s="686"/>
      <c r="S1" s="686"/>
      <c r="T1" s="686"/>
      <c r="U1" s="686"/>
      <c r="V1" s="686"/>
      <c r="W1" s="686"/>
      <c r="X1" s="686"/>
      <c r="Y1" s="686"/>
      <c r="Z1" s="686"/>
      <c r="AA1" s="686"/>
      <c r="AB1" s="686"/>
      <c r="AC1" s="686"/>
      <c r="AD1" s="686"/>
    </row>
    <row r="2" spans="1:30" ht="20.100000000000001" customHeight="1" x14ac:dyDescent="0.25">
      <c r="A2" s="1354" t="s">
        <v>604</v>
      </c>
      <c r="B2" s="1354"/>
      <c r="C2" s="686"/>
      <c r="D2" s="686"/>
      <c r="E2" s="686"/>
      <c r="F2" s="686"/>
      <c r="G2" s="686"/>
      <c r="H2" s="686"/>
      <c r="I2" s="686"/>
      <c r="J2" s="686"/>
      <c r="K2" s="686"/>
      <c r="L2" s="686"/>
      <c r="M2" s="686"/>
      <c r="N2" s="686"/>
      <c r="O2" s="686"/>
      <c r="P2" s="686"/>
      <c r="Q2" s="686"/>
      <c r="R2" s="686"/>
      <c r="S2" s="686"/>
      <c r="T2" s="686"/>
      <c r="U2" s="686"/>
      <c r="V2" s="686"/>
      <c r="W2" s="686"/>
      <c r="X2" s="686"/>
      <c r="Y2" s="686"/>
      <c r="Z2" s="686"/>
      <c r="AA2" s="686"/>
      <c r="AB2" s="686"/>
      <c r="AC2" s="686"/>
      <c r="AD2" s="686"/>
    </row>
    <row r="3" spans="1:30" ht="20.100000000000001" customHeight="1" x14ac:dyDescent="0.2">
      <c r="A3" s="1354" t="str">
        <f>'[9]01'!A3:F3</f>
        <v>Exercício 2015</v>
      </c>
      <c r="B3" s="1354"/>
      <c r="C3" s="686"/>
      <c r="D3" s="686"/>
      <c r="E3" s="686"/>
      <c r="F3" s="686"/>
      <c r="G3" s="686"/>
      <c r="H3" s="686"/>
      <c r="I3" s="686"/>
      <c r="J3" s="686"/>
      <c r="K3" s="686"/>
      <c r="L3" s="686"/>
      <c r="M3" s="686"/>
      <c r="N3" s="686"/>
      <c r="O3" s="686"/>
      <c r="P3" s="686"/>
      <c r="Q3" s="686"/>
      <c r="R3" s="686"/>
      <c r="S3" s="686"/>
      <c r="T3" s="686"/>
      <c r="U3" s="686"/>
      <c r="V3" s="686"/>
      <c r="W3" s="686"/>
      <c r="X3" s="686"/>
      <c r="Y3" s="686"/>
      <c r="Z3" s="686"/>
      <c r="AA3" s="686"/>
      <c r="AB3" s="686"/>
      <c r="AC3" s="686"/>
      <c r="AD3" s="686"/>
    </row>
    <row r="4" spans="1:30" ht="20.100000000000001" customHeight="1" x14ac:dyDescent="0.2">
      <c r="A4" s="696"/>
      <c r="B4" s="686"/>
      <c r="C4" s="686"/>
      <c r="D4" s="686"/>
      <c r="E4" s="686"/>
      <c r="F4" s="686"/>
      <c r="G4" s="686"/>
      <c r="H4" s="686"/>
      <c r="I4" s="686"/>
      <c r="J4" s="686"/>
      <c r="K4" s="686"/>
      <c r="L4" s="686"/>
      <c r="M4" s="686"/>
      <c r="N4" s="686"/>
      <c r="O4" s="686"/>
      <c r="P4" s="686"/>
      <c r="Q4" s="686"/>
      <c r="R4" s="686"/>
      <c r="S4" s="686"/>
      <c r="T4" s="686"/>
      <c r="U4" s="686"/>
      <c r="V4" s="686"/>
      <c r="W4" s="686"/>
      <c r="X4" s="686"/>
      <c r="Y4" s="686"/>
      <c r="Z4" s="686"/>
      <c r="AA4" s="686"/>
      <c r="AB4" s="686"/>
      <c r="AC4" s="686"/>
      <c r="AD4" s="686"/>
    </row>
    <row r="5" spans="1:30" ht="38.25" customHeight="1" x14ac:dyDescent="0.2">
      <c r="A5" s="697" t="s">
        <v>605</v>
      </c>
      <c r="B5" s="697" t="s">
        <v>606</v>
      </c>
      <c r="C5" s="652"/>
      <c r="D5" s="686"/>
      <c r="E5" s="686"/>
      <c r="F5" s="686"/>
      <c r="G5" s="686"/>
      <c r="H5" s="686"/>
      <c r="I5" s="686"/>
      <c r="J5" s="686"/>
      <c r="K5" s="686"/>
      <c r="L5" s="686"/>
      <c r="M5" s="686"/>
      <c r="N5" s="686"/>
      <c r="O5" s="686"/>
      <c r="P5" s="686"/>
      <c r="Q5" s="686"/>
      <c r="R5" s="686"/>
      <c r="S5" s="686"/>
      <c r="T5" s="686"/>
      <c r="U5" s="686"/>
      <c r="V5" s="686"/>
      <c r="W5" s="686"/>
      <c r="X5" s="686"/>
      <c r="Y5" s="686"/>
      <c r="Z5" s="686"/>
      <c r="AA5" s="686"/>
      <c r="AB5" s="686"/>
      <c r="AC5" s="686"/>
      <c r="AD5" s="686"/>
    </row>
    <row r="6" spans="1:30" ht="20.100000000000001" customHeight="1" x14ac:dyDescent="0.2">
      <c r="A6" s="698" t="s">
        <v>138</v>
      </c>
      <c r="B6" s="699">
        <f>3+2</f>
        <v>5</v>
      </c>
      <c r="C6" s="409"/>
      <c r="D6" s="686"/>
      <c r="E6" s="686"/>
      <c r="F6" s="686"/>
      <c r="G6" s="686"/>
      <c r="H6" s="686"/>
      <c r="I6" s="686"/>
      <c r="J6" s="686"/>
      <c r="K6" s="686"/>
      <c r="L6" s="686"/>
      <c r="M6" s="686"/>
      <c r="N6" s="686"/>
      <c r="O6" s="686"/>
      <c r="P6" s="686"/>
      <c r="Q6" s="686"/>
      <c r="R6" s="686"/>
      <c r="S6" s="686"/>
      <c r="T6" s="686"/>
      <c r="U6" s="686"/>
      <c r="V6" s="686"/>
      <c r="W6" s="686"/>
      <c r="X6" s="686"/>
      <c r="Y6" s="686"/>
      <c r="Z6" s="686"/>
      <c r="AA6" s="686"/>
      <c r="AB6" s="686"/>
      <c r="AC6" s="686"/>
      <c r="AD6" s="686"/>
    </row>
    <row r="7" spans="1:30" ht="20.100000000000001" customHeight="1" thickBot="1" x14ac:dyDescent="0.25">
      <c r="A7" s="700" t="s">
        <v>281</v>
      </c>
      <c r="B7" s="701">
        <f>4+2+1</f>
        <v>7</v>
      </c>
      <c r="C7" s="686"/>
      <c r="D7" s="686"/>
      <c r="E7" s="686"/>
      <c r="F7" s="686"/>
      <c r="G7" s="686"/>
      <c r="H7" s="686"/>
      <c r="I7" s="686"/>
      <c r="J7" s="686"/>
      <c r="K7" s="686"/>
      <c r="L7" s="686"/>
      <c r="M7" s="686"/>
      <c r="N7" s="686"/>
      <c r="O7" s="686"/>
      <c r="P7" s="686"/>
      <c r="Q7" s="686"/>
      <c r="R7" s="686"/>
      <c r="S7" s="686"/>
      <c r="T7" s="686"/>
      <c r="U7" s="686"/>
      <c r="V7" s="686"/>
      <c r="W7" s="686"/>
      <c r="X7" s="686"/>
      <c r="Y7" s="686"/>
      <c r="Z7" s="686"/>
      <c r="AA7" s="686"/>
      <c r="AB7" s="686"/>
      <c r="AC7" s="686"/>
      <c r="AD7" s="686"/>
    </row>
    <row r="8" spans="1:30" x14ac:dyDescent="0.2">
      <c r="A8" s="702" t="s">
        <v>607</v>
      </c>
      <c r="B8" s="686"/>
      <c r="C8" s="686"/>
      <c r="D8" s="686"/>
      <c r="E8" s="686"/>
      <c r="F8" s="686"/>
      <c r="G8" s="686"/>
      <c r="H8" s="686"/>
      <c r="I8" s="686"/>
      <c r="J8" s="686"/>
      <c r="K8" s="686"/>
      <c r="L8" s="686"/>
      <c r="M8" s="686"/>
      <c r="N8" s="686"/>
      <c r="O8" s="686"/>
      <c r="P8" s="686"/>
      <c r="Q8" s="686"/>
      <c r="R8" s="686"/>
      <c r="S8" s="686"/>
      <c r="T8" s="686"/>
      <c r="U8" s="686"/>
      <c r="V8" s="686"/>
      <c r="W8" s="686"/>
      <c r="X8" s="686"/>
      <c r="Y8" s="686"/>
      <c r="Z8" s="686"/>
      <c r="AA8" s="686"/>
      <c r="AB8" s="686"/>
      <c r="AC8" s="686"/>
      <c r="AD8" s="686"/>
    </row>
    <row r="9" spans="1:30" x14ac:dyDescent="0.2">
      <c r="A9" s="686"/>
      <c r="B9" s="686"/>
      <c r="C9" s="686"/>
      <c r="D9" s="686"/>
      <c r="E9" s="686"/>
      <c r="F9" s="686"/>
      <c r="G9" s="686"/>
      <c r="H9" s="686"/>
      <c r="I9" s="686"/>
      <c r="J9" s="686"/>
      <c r="K9" s="686"/>
      <c r="L9" s="686"/>
      <c r="M9" s="686"/>
      <c r="N9" s="686"/>
      <c r="O9" s="686"/>
      <c r="P9" s="686"/>
      <c r="Q9" s="686"/>
      <c r="R9" s="686"/>
      <c r="S9" s="686"/>
      <c r="T9" s="686"/>
      <c r="U9" s="686"/>
      <c r="V9" s="686"/>
      <c r="W9" s="686"/>
      <c r="X9" s="686"/>
      <c r="Y9" s="686"/>
      <c r="Z9" s="686"/>
      <c r="AA9" s="686"/>
      <c r="AB9" s="686"/>
      <c r="AC9" s="686"/>
      <c r="AD9" s="686"/>
    </row>
    <row r="10" spans="1:30" x14ac:dyDescent="0.2">
      <c r="A10" s="1340"/>
      <c r="B10" s="1340"/>
      <c r="C10" s="1340"/>
      <c r="D10" s="1340"/>
      <c r="E10" s="1340"/>
      <c r="F10" s="1340"/>
      <c r="G10" s="1340"/>
      <c r="H10" s="1340"/>
      <c r="I10" s="1340"/>
      <c r="J10" s="1340"/>
      <c r="K10" s="1340"/>
      <c r="L10" s="1340"/>
      <c r="M10" s="1340"/>
      <c r="N10" s="686"/>
      <c r="O10" s="686"/>
      <c r="P10" s="686"/>
      <c r="Q10" s="686"/>
      <c r="R10" s="686"/>
      <c r="S10" s="686"/>
      <c r="T10" s="686"/>
      <c r="U10" s="686"/>
      <c r="V10" s="686"/>
      <c r="W10" s="686"/>
      <c r="X10" s="686"/>
      <c r="Y10" s="686"/>
      <c r="Z10" s="686"/>
      <c r="AA10" s="686"/>
      <c r="AB10" s="686"/>
      <c r="AC10" s="686"/>
      <c r="AD10" s="686"/>
    </row>
    <row r="11" spans="1:30" x14ac:dyDescent="0.2">
      <c r="A11" s="686"/>
      <c r="B11" s="686"/>
      <c r="C11" s="686"/>
      <c r="D11" s="686"/>
      <c r="E11" s="686"/>
      <c r="F11" s="686"/>
      <c r="G11" s="686"/>
      <c r="H11" s="686"/>
      <c r="I11" s="686"/>
      <c r="J11" s="686"/>
      <c r="K11" s="686"/>
      <c r="L11" s="686"/>
      <c r="M11" s="686"/>
      <c r="N11" s="686"/>
      <c r="O11" s="686"/>
      <c r="P11" s="686"/>
      <c r="Q11" s="686"/>
      <c r="R11" s="686"/>
      <c r="S11" s="686"/>
      <c r="T11" s="686"/>
      <c r="U11" s="686"/>
      <c r="V11" s="686"/>
      <c r="W11" s="686"/>
      <c r="X11" s="686"/>
      <c r="Y11" s="686"/>
      <c r="Z11" s="686"/>
      <c r="AA11" s="686"/>
      <c r="AB11" s="686"/>
      <c r="AC11" s="686"/>
      <c r="AD11" s="686"/>
    </row>
    <row r="12" spans="1:30" x14ac:dyDescent="0.2">
      <c r="A12" s="686"/>
      <c r="B12" s="686"/>
      <c r="C12" s="686"/>
      <c r="D12" s="686"/>
      <c r="E12" s="686"/>
      <c r="F12" s="686"/>
      <c r="G12" s="686"/>
      <c r="H12" s="686"/>
      <c r="I12" s="686"/>
      <c r="J12" s="686"/>
      <c r="K12" s="686"/>
      <c r="L12" s="686"/>
      <c r="M12" s="686"/>
      <c r="N12" s="686"/>
      <c r="O12" s="686"/>
      <c r="P12" s="686"/>
      <c r="Q12" s="686"/>
      <c r="R12" s="686"/>
      <c r="S12" s="686"/>
      <c r="T12" s="686"/>
      <c r="U12" s="686"/>
      <c r="V12" s="686"/>
      <c r="W12" s="686"/>
      <c r="X12" s="686"/>
      <c r="Y12" s="686"/>
      <c r="Z12" s="686"/>
      <c r="AA12" s="686"/>
      <c r="AB12" s="686"/>
      <c r="AC12" s="686"/>
      <c r="AD12" s="686"/>
    </row>
    <row r="13" spans="1:30" x14ac:dyDescent="0.2">
      <c r="A13" s="686"/>
      <c r="B13" s="686"/>
      <c r="C13" s="686"/>
      <c r="D13" s="686"/>
      <c r="E13" s="686"/>
      <c r="F13" s="686"/>
      <c r="G13" s="686"/>
      <c r="H13" s="686"/>
      <c r="I13" s="686"/>
      <c r="J13" s="686"/>
      <c r="K13" s="686"/>
      <c r="L13" s="686"/>
      <c r="M13" s="686"/>
      <c r="N13" s="686"/>
      <c r="O13" s="686"/>
      <c r="P13" s="686"/>
      <c r="Q13" s="686"/>
      <c r="R13" s="686"/>
      <c r="S13" s="686"/>
      <c r="T13" s="686"/>
      <c r="U13" s="686"/>
      <c r="V13" s="686"/>
      <c r="W13" s="686"/>
      <c r="X13" s="686"/>
      <c r="Y13" s="686"/>
      <c r="Z13" s="686"/>
      <c r="AA13" s="686"/>
      <c r="AB13" s="686"/>
      <c r="AC13" s="686"/>
      <c r="AD13" s="686"/>
    </row>
    <row r="14" spans="1:30" x14ac:dyDescent="0.2">
      <c r="A14" s="686"/>
      <c r="B14" s="686"/>
      <c r="C14" s="686"/>
      <c r="D14" s="686"/>
      <c r="E14" s="686"/>
      <c r="F14" s="686"/>
      <c r="G14" s="686"/>
      <c r="H14" s="686"/>
      <c r="I14" s="686"/>
      <c r="J14" s="686"/>
      <c r="K14" s="686"/>
      <c r="L14" s="686"/>
      <c r="M14" s="686"/>
      <c r="N14" s="686"/>
      <c r="O14" s="686"/>
      <c r="P14" s="686"/>
      <c r="Q14" s="686"/>
      <c r="R14" s="686"/>
      <c r="S14" s="686"/>
      <c r="T14" s="686"/>
      <c r="U14" s="686"/>
      <c r="V14" s="686"/>
      <c r="W14" s="686"/>
      <c r="X14" s="686"/>
      <c r="Y14" s="686"/>
      <c r="Z14" s="686"/>
      <c r="AA14" s="686"/>
      <c r="AB14" s="686"/>
      <c r="AC14" s="686"/>
      <c r="AD14" s="686"/>
    </row>
    <row r="15" spans="1:30" x14ac:dyDescent="0.2">
      <c r="A15" s="686"/>
      <c r="B15" s="686"/>
      <c r="C15" s="686"/>
      <c r="D15" s="686"/>
      <c r="E15" s="686"/>
      <c r="F15" s="686"/>
      <c r="G15" s="686"/>
      <c r="H15" s="686"/>
      <c r="I15" s="686"/>
      <c r="J15" s="686"/>
      <c r="K15" s="686"/>
      <c r="L15" s="686"/>
      <c r="M15" s="686"/>
      <c r="N15" s="686"/>
      <c r="O15" s="686"/>
      <c r="P15" s="686"/>
      <c r="Q15" s="686"/>
      <c r="R15" s="686"/>
      <c r="S15" s="686"/>
      <c r="T15" s="686"/>
      <c r="U15" s="686"/>
      <c r="V15" s="686"/>
      <c r="W15" s="686"/>
      <c r="X15" s="686"/>
      <c r="Y15" s="686"/>
      <c r="Z15" s="686"/>
      <c r="AA15" s="686"/>
      <c r="AB15" s="686"/>
      <c r="AC15" s="686"/>
    </row>
    <row r="16" spans="1:30" x14ac:dyDescent="0.2">
      <c r="A16" s="686"/>
      <c r="B16" s="686"/>
      <c r="C16" s="686"/>
      <c r="D16" s="686"/>
      <c r="E16" s="686"/>
      <c r="F16" s="686"/>
      <c r="G16" s="686"/>
      <c r="H16" s="686"/>
      <c r="I16" s="686"/>
      <c r="J16" s="686"/>
      <c r="K16" s="686"/>
      <c r="L16" s="686"/>
      <c r="M16" s="686"/>
      <c r="N16" s="686"/>
      <c r="O16" s="686"/>
      <c r="P16" s="686"/>
      <c r="Q16" s="686"/>
      <c r="R16" s="686"/>
      <c r="S16" s="686"/>
      <c r="T16" s="686"/>
      <c r="U16" s="686"/>
      <c r="V16" s="686"/>
      <c r="W16" s="686"/>
      <c r="X16" s="686"/>
      <c r="Y16" s="686"/>
      <c r="Z16" s="686"/>
      <c r="AA16" s="686"/>
      <c r="AB16" s="686"/>
      <c r="AC16" s="686"/>
    </row>
    <row r="17" spans="1:29" x14ac:dyDescent="0.2">
      <c r="A17" s="686"/>
      <c r="B17" s="686"/>
      <c r="C17" s="686"/>
      <c r="D17" s="686"/>
      <c r="E17" s="686"/>
      <c r="F17" s="686"/>
      <c r="G17" s="686"/>
      <c r="H17" s="686"/>
      <c r="I17" s="686"/>
      <c r="J17" s="686"/>
      <c r="K17" s="686"/>
      <c r="L17" s="686"/>
      <c r="M17" s="686"/>
      <c r="N17" s="686"/>
      <c r="O17" s="686"/>
      <c r="P17" s="686"/>
      <c r="Q17" s="686"/>
      <c r="R17" s="686"/>
      <c r="S17" s="686"/>
      <c r="T17" s="686"/>
      <c r="U17" s="686"/>
      <c r="V17" s="686"/>
      <c r="W17" s="686"/>
      <c r="X17" s="686"/>
      <c r="Y17" s="686"/>
      <c r="Z17" s="686"/>
      <c r="AA17" s="686"/>
      <c r="AB17" s="686"/>
      <c r="AC17" s="686"/>
    </row>
    <row r="18" spans="1:29" x14ac:dyDescent="0.2">
      <c r="A18" s="686"/>
      <c r="B18" s="686"/>
      <c r="C18" s="686"/>
      <c r="D18" s="686"/>
      <c r="E18" s="686"/>
      <c r="F18" s="686"/>
      <c r="G18" s="686"/>
      <c r="H18" s="686"/>
      <c r="I18" s="686"/>
      <c r="J18" s="686"/>
      <c r="K18" s="686"/>
      <c r="L18" s="686"/>
      <c r="M18" s="686"/>
      <c r="N18" s="686"/>
      <c r="O18" s="686"/>
      <c r="P18" s="686"/>
      <c r="Q18" s="686"/>
      <c r="R18" s="686"/>
      <c r="S18" s="686"/>
      <c r="T18" s="686"/>
      <c r="U18" s="686"/>
      <c r="V18" s="686"/>
      <c r="W18" s="686"/>
      <c r="X18" s="686"/>
      <c r="Y18" s="686"/>
      <c r="Z18" s="686"/>
      <c r="AA18" s="686"/>
      <c r="AB18" s="686"/>
      <c r="AC18" s="686"/>
    </row>
    <row r="19" spans="1:29" x14ac:dyDescent="0.2">
      <c r="A19" s="686"/>
      <c r="B19" s="686"/>
      <c r="C19" s="686"/>
      <c r="D19" s="686"/>
      <c r="E19" s="686"/>
      <c r="F19" s="686"/>
      <c r="G19" s="686"/>
      <c r="H19" s="686"/>
      <c r="I19" s="686"/>
      <c r="J19" s="686"/>
      <c r="K19" s="686"/>
      <c r="L19" s="686"/>
      <c r="M19" s="686"/>
      <c r="N19" s="686"/>
      <c r="O19" s="686"/>
      <c r="P19" s="686"/>
      <c r="Q19" s="686"/>
      <c r="R19" s="686"/>
      <c r="S19" s="686"/>
      <c r="T19" s="686"/>
      <c r="U19" s="686"/>
      <c r="V19" s="686"/>
      <c r="W19" s="686"/>
      <c r="X19" s="686"/>
      <c r="Y19" s="686"/>
      <c r="Z19" s="686"/>
      <c r="AA19" s="686"/>
      <c r="AB19" s="686"/>
      <c r="AC19" s="686"/>
    </row>
    <row r="20" spans="1:29" x14ac:dyDescent="0.2">
      <c r="A20" s="686"/>
      <c r="B20" s="686"/>
      <c r="C20" s="686"/>
      <c r="D20" s="686"/>
      <c r="E20" s="686"/>
      <c r="F20" s="686"/>
      <c r="G20" s="686"/>
      <c r="H20" s="686"/>
      <c r="I20" s="686"/>
      <c r="J20" s="686"/>
      <c r="K20" s="686"/>
      <c r="L20" s="686"/>
      <c r="M20" s="686"/>
      <c r="N20" s="686"/>
      <c r="O20" s="686"/>
      <c r="P20" s="686"/>
      <c r="Q20" s="686"/>
      <c r="R20" s="686"/>
      <c r="S20" s="686"/>
      <c r="T20" s="686"/>
      <c r="U20" s="686"/>
      <c r="V20" s="686"/>
      <c r="W20" s="686"/>
      <c r="X20" s="686"/>
      <c r="Y20" s="686"/>
      <c r="Z20" s="686"/>
      <c r="AA20" s="686"/>
      <c r="AB20" s="686"/>
      <c r="AC20" s="686"/>
    </row>
    <row r="21" spans="1:29" x14ac:dyDescent="0.2">
      <c r="A21" s="686"/>
      <c r="B21" s="686"/>
      <c r="C21" s="686"/>
      <c r="D21" s="686"/>
      <c r="E21" s="686"/>
      <c r="F21" s="686"/>
      <c r="G21" s="686"/>
      <c r="H21" s="686"/>
      <c r="I21" s="686"/>
      <c r="J21" s="686"/>
      <c r="K21" s="686"/>
      <c r="L21" s="686"/>
      <c r="M21" s="686"/>
      <c r="N21" s="686"/>
      <c r="O21" s="686"/>
      <c r="P21" s="686"/>
      <c r="Q21" s="686"/>
      <c r="R21" s="686"/>
      <c r="S21" s="686"/>
      <c r="T21" s="686"/>
      <c r="U21" s="686"/>
      <c r="V21" s="686"/>
      <c r="W21" s="686"/>
      <c r="X21" s="686"/>
      <c r="Y21" s="686"/>
      <c r="Z21" s="686"/>
      <c r="AA21" s="686"/>
      <c r="AB21" s="686"/>
      <c r="AC21" s="686"/>
    </row>
    <row r="22" spans="1:29" x14ac:dyDescent="0.2">
      <c r="A22" s="686"/>
      <c r="B22" s="686"/>
      <c r="C22" s="686"/>
      <c r="D22" s="686"/>
      <c r="E22" s="686"/>
      <c r="F22" s="686"/>
      <c r="G22" s="686"/>
      <c r="H22" s="686"/>
      <c r="I22" s="686"/>
      <c r="J22" s="686"/>
      <c r="K22" s="686"/>
      <c r="L22" s="686"/>
      <c r="M22" s="686"/>
      <c r="N22" s="686"/>
      <c r="O22" s="686"/>
      <c r="P22" s="686"/>
      <c r="Q22" s="686"/>
      <c r="R22" s="686"/>
      <c r="S22" s="686"/>
      <c r="T22" s="686"/>
      <c r="U22" s="686"/>
      <c r="V22" s="686"/>
      <c r="W22" s="686"/>
      <c r="X22" s="686"/>
      <c r="Y22" s="686"/>
      <c r="Z22" s="686"/>
      <c r="AA22" s="686"/>
      <c r="AB22" s="686"/>
      <c r="AC22" s="686"/>
    </row>
    <row r="23" spans="1:29" x14ac:dyDescent="0.2">
      <c r="A23" s="686"/>
      <c r="B23" s="686"/>
      <c r="C23" s="686"/>
      <c r="D23" s="686"/>
      <c r="E23" s="686"/>
      <c r="F23" s="686"/>
      <c r="G23" s="686"/>
      <c r="H23" s="686"/>
      <c r="I23" s="686"/>
      <c r="J23" s="686"/>
      <c r="K23" s="686"/>
      <c r="L23" s="686"/>
      <c r="M23" s="686"/>
      <c r="N23" s="686"/>
      <c r="O23" s="686"/>
      <c r="P23" s="686"/>
      <c r="Q23" s="686"/>
      <c r="R23" s="686"/>
      <c r="S23" s="686"/>
      <c r="T23" s="686"/>
      <c r="U23" s="686"/>
      <c r="V23" s="686"/>
      <c r="W23" s="686"/>
      <c r="X23" s="686"/>
      <c r="Y23" s="686"/>
      <c r="Z23" s="686"/>
      <c r="AA23" s="686"/>
      <c r="AB23" s="686"/>
      <c r="AC23" s="686"/>
    </row>
    <row r="24" spans="1:29" x14ac:dyDescent="0.2">
      <c r="A24" s="686"/>
      <c r="B24" s="686"/>
      <c r="C24" s="686"/>
      <c r="D24" s="686"/>
      <c r="E24" s="686"/>
      <c r="F24" s="686"/>
      <c r="G24" s="686"/>
      <c r="H24" s="686"/>
      <c r="I24" s="686"/>
      <c r="J24" s="686"/>
      <c r="K24" s="686"/>
      <c r="L24" s="686"/>
      <c r="M24" s="686"/>
      <c r="N24" s="686"/>
      <c r="O24" s="686"/>
      <c r="P24" s="686"/>
      <c r="Q24" s="686"/>
      <c r="R24" s="686"/>
      <c r="S24" s="686"/>
      <c r="T24" s="686"/>
      <c r="U24" s="686"/>
      <c r="V24" s="686"/>
      <c r="W24" s="686"/>
      <c r="X24" s="686"/>
      <c r="Y24" s="686"/>
      <c r="Z24" s="686"/>
      <c r="AA24" s="686"/>
      <c r="AB24" s="686"/>
      <c r="AC24" s="686"/>
    </row>
    <row r="25" spans="1:29" x14ac:dyDescent="0.2">
      <c r="A25" s="686"/>
      <c r="B25" s="686"/>
      <c r="C25" s="686"/>
      <c r="D25" s="686"/>
      <c r="E25" s="686"/>
      <c r="F25" s="686"/>
      <c r="G25" s="686"/>
      <c r="H25" s="686"/>
      <c r="I25" s="686"/>
      <c r="J25" s="686"/>
      <c r="K25" s="686"/>
      <c r="L25" s="686"/>
      <c r="M25" s="686"/>
      <c r="N25" s="686"/>
      <c r="O25" s="686"/>
      <c r="P25" s="686"/>
      <c r="Q25" s="686"/>
      <c r="R25" s="686"/>
      <c r="S25" s="686"/>
      <c r="T25" s="686"/>
      <c r="U25" s="686"/>
      <c r="V25" s="686"/>
      <c r="W25" s="686"/>
      <c r="X25" s="686"/>
      <c r="Y25" s="686"/>
      <c r="Z25" s="686"/>
      <c r="AA25" s="686"/>
      <c r="AB25" s="686"/>
      <c r="AC25" s="686"/>
    </row>
    <row r="26" spans="1:29" x14ac:dyDescent="0.2">
      <c r="A26" s="686"/>
      <c r="B26" s="686"/>
      <c r="C26" s="686"/>
      <c r="D26" s="686"/>
      <c r="E26" s="686"/>
      <c r="F26" s="686"/>
      <c r="G26" s="686"/>
      <c r="H26" s="686"/>
      <c r="I26" s="686"/>
      <c r="J26" s="686"/>
      <c r="K26" s="686"/>
      <c r="L26" s="686"/>
      <c r="M26" s="686"/>
      <c r="N26" s="686"/>
      <c r="O26" s="686"/>
      <c r="P26" s="686"/>
      <c r="Q26" s="686"/>
      <c r="R26" s="686"/>
      <c r="S26" s="686"/>
      <c r="T26" s="686"/>
      <c r="U26" s="686"/>
      <c r="V26" s="686"/>
      <c r="W26" s="686"/>
      <c r="X26" s="686"/>
      <c r="Y26" s="686"/>
      <c r="Z26" s="686"/>
      <c r="AA26" s="686"/>
      <c r="AB26" s="686"/>
      <c r="AC26" s="686"/>
    </row>
    <row r="27" spans="1:29" x14ac:dyDescent="0.2">
      <c r="A27" s="686"/>
      <c r="B27" s="686"/>
      <c r="C27" s="686"/>
      <c r="D27" s="686"/>
      <c r="E27" s="686"/>
      <c r="F27" s="686"/>
      <c r="G27" s="686"/>
      <c r="H27" s="686"/>
      <c r="I27" s="686"/>
      <c r="J27" s="686"/>
      <c r="K27" s="686"/>
      <c r="L27" s="686"/>
      <c r="M27" s="686"/>
      <c r="N27" s="686"/>
      <c r="O27" s="686"/>
      <c r="P27" s="686"/>
      <c r="Q27" s="686"/>
      <c r="R27" s="686"/>
      <c r="S27" s="686"/>
      <c r="T27" s="686"/>
      <c r="U27" s="686"/>
      <c r="V27" s="686"/>
      <c r="W27" s="686"/>
      <c r="X27" s="686"/>
      <c r="Y27" s="686"/>
      <c r="Z27" s="686"/>
      <c r="AA27" s="686"/>
      <c r="AB27" s="686"/>
      <c r="AC27" s="686"/>
    </row>
    <row r="28" spans="1:29" x14ac:dyDescent="0.2">
      <c r="A28" s="686"/>
      <c r="B28" s="686"/>
      <c r="C28" s="686"/>
      <c r="D28" s="686"/>
      <c r="E28" s="686"/>
      <c r="F28" s="686"/>
      <c r="G28" s="686"/>
      <c r="H28" s="686"/>
      <c r="I28" s="686"/>
      <c r="J28" s="686"/>
      <c r="K28" s="686"/>
      <c r="L28" s="686"/>
      <c r="M28" s="686"/>
      <c r="N28" s="686"/>
      <c r="O28" s="686"/>
      <c r="P28" s="686"/>
      <c r="Q28" s="686"/>
      <c r="R28" s="686"/>
      <c r="S28" s="686"/>
      <c r="T28" s="686"/>
      <c r="U28" s="686"/>
      <c r="V28" s="686"/>
      <c r="W28" s="686"/>
      <c r="X28" s="686"/>
      <c r="Y28" s="686"/>
      <c r="Z28" s="686"/>
      <c r="AA28" s="686"/>
      <c r="AB28" s="686"/>
      <c r="AC28" s="686"/>
    </row>
    <row r="29" spans="1:29" x14ac:dyDescent="0.2">
      <c r="A29" s="686"/>
      <c r="B29" s="686"/>
      <c r="C29" s="686"/>
      <c r="D29" s="686"/>
      <c r="E29" s="686"/>
      <c r="F29" s="686"/>
      <c r="G29" s="686"/>
      <c r="H29" s="686"/>
      <c r="I29" s="686"/>
      <c r="J29" s="686"/>
      <c r="K29" s="686"/>
      <c r="L29" s="686"/>
      <c r="M29" s="686"/>
      <c r="N29" s="686"/>
      <c r="O29" s="686"/>
      <c r="P29" s="686"/>
      <c r="Q29" s="686"/>
      <c r="R29" s="686"/>
      <c r="S29" s="686"/>
      <c r="T29" s="686"/>
      <c r="U29" s="686"/>
      <c r="V29" s="686"/>
      <c r="W29" s="686"/>
      <c r="X29" s="686"/>
      <c r="Y29" s="686"/>
      <c r="Z29" s="686"/>
      <c r="AA29" s="686"/>
      <c r="AB29" s="686"/>
      <c r="AC29" s="686"/>
    </row>
    <row r="30" spans="1:29" x14ac:dyDescent="0.2">
      <c r="A30" s="686"/>
      <c r="B30" s="686"/>
      <c r="C30" s="686"/>
      <c r="D30" s="686"/>
      <c r="E30" s="686"/>
      <c r="F30" s="686"/>
      <c r="G30" s="686"/>
      <c r="H30" s="686"/>
      <c r="I30" s="686"/>
      <c r="J30" s="686"/>
      <c r="K30" s="686"/>
      <c r="L30" s="686"/>
      <c r="M30" s="686"/>
      <c r="N30" s="686"/>
      <c r="O30" s="686"/>
      <c r="P30" s="686"/>
      <c r="Q30" s="686"/>
      <c r="R30" s="686"/>
      <c r="S30" s="686"/>
      <c r="T30" s="686"/>
      <c r="U30" s="686"/>
      <c r="V30" s="686"/>
      <c r="W30" s="686"/>
      <c r="X30" s="686"/>
      <c r="Y30" s="686"/>
      <c r="Z30" s="686"/>
      <c r="AA30" s="686"/>
      <c r="AB30" s="686"/>
      <c r="AC30" s="686"/>
    </row>
    <row r="31" spans="1:29" x14ac:dyDescent="0.2">
      <c r="A31" s="686"/>
      <c r="B31" s="686"/>
      <c r="C31" s="686"/>
      <c r="D31" s="686"/>
      <c r="E31" s="686"/>
      <c r="F31" s="686"/>
      <c r="G31" s="686"/>
      <c r="H31" s="686"/>
      <c r="I31" s="686"/>
      <c r="J31" s="686"/>
      <c r="K31" s="686"/>
      <c r="L31" s="686"/>
      <c r="M31" s="686"/>
      <c r="N31" s="686"/>
      <c r="O31" s="686"/>
      <c r="P31" s="686"/>
      <c r="Q31" s="686"/>
      <c r="R31" s="686"/>
      <c r="S31" s="686"/>
      <c r="T31" s="686"/>
      <c r="U31" s="686"/>
      <c r="V31" s="686"/>
      <c r="W31" s="686"/>
      <c r="X31" s="686"/>
      <c r="Y31" s="686"/>
      <c r="Z31" s="686"/>
      <c r="AA31" s="686"/>
      <c r="AB31" s="686"/>
      <c r="AC31" s="686"/>
    </row>
    <row r="32" spans="1:29" x14ac:dyDescent="0.2">
      <c r="A32" s="686"/>
      <c r="B32" s="686"/>
      <c r="C32" s="686"/>
      <c r="D32" s="686"/>
      <c r="E32" s="686"/>
      <c r="F32" s="686"/>
      <c r="G32" s="686"/>
      <c r="H32" s="686"/>
      <c r="I32" s="686"/>
      <c r="J32" s="686"/>
      <c r="K32" s="686"/>
      <c r="L32" s="686"/>
      <c r="M32" s="686"/>
      <c r="N32" s="686"/>
      <c r="O32" s="686"/>
      <c r="P32" s="686"/>
      <c r="Q32" s="686"/>
      <c r="R32" s="686"/>
      <c r="S32" s="686"/>
      <c r="T32" s="686"/>
      <c r="U32" s="686"/>
      <c r="V32" s="686"/>
      <c r="W32" s="686"/>
      <c r="X32" s="686"/>
      <c r="Y32" s="686"/>
      <c r="Z32" s="686"/>
      <c r="AA32" s="686"/>
      <c r="AB32" s="686"/>
      <c r="AC32" s="686"/>
    </row>
    <row r="33" spans="1:29" x14ac:dyDescent="0.2">
      <c r="A33" s="686"/>
      <c r="B33" s="686"/>
      <c r="C33" s="686"/>
      <c r="D33" s="686"/>
      <c r="E33" s="686"/>
      <c r="F33" s="686"/>
      <c r="G33" s="686"/>
      <c r="H33" s="686"/>
      <c r="I33" s="686"/>
      <c r="J33" s="686"/>
      <c r="K33" s="686"/>
      <c r="L33" s="686"/>
      <c r="M33" s="686"/>
      <c r="N33" s="686"/>
      <c r="O33" s="686"/>
      <c r="P33" s="686"/>
      <c r="Q33" s="686"/>
      <c r="R33" s="686"/>
      <c r="S33" s="686"/>
      <c r="T33" s="686"/>
      <c r="U33" s="686"/>
      <c r="V33" s="686"/>
      <c r="W33" s="686"/>
      <c r="X33" s="686"/>
      <c r="Y33" s="686"/>
      <c r="Z33" s="686"/>
      <c r="AA33" s="686"/>
      <c r="AB33" s="686"/>
      <c r="AC33" s="686"/>
    </row>
    <row r="34" spans="1:29" x14ac:dyDescent="0.2">
      <c r="A34" s="686"/>
      <c r="B34" s="686"/>
      <c r="C34" s="686"/>
      <c r="D34" s="686"/>
      <c r="E34" s="686"/>
      <c r="F34" s="686"/>
      <c r="G34" s="686"/>
      <c r="H34" s="686"/>
      <c r="I34" s="686"/>
      <c r="J34" s="686"/>
      <c r="K34" s="686"/>
      <c r="L34" s="686"/>
      <c r="M34" s="686"/>
      <c r="N34" s="686"/>
      <c r="O34" s="686"/>
      <c r="P34" s="686"/>
      <c r="Q34" s="686"/>
      <c r="R34" s="686"/>
      <c r="S34" s="686"/>
      <c r="T34" s="686"/>
      <c r="U34" s="686"/>
      <c r="V34" s="686"/>
      <c r="W34" s="686"/>
      <c r="X34" s="686"/>
      <c r="Y34" s="686"/>
      <c r="Z34" s="686"/>
      <c r="AA34" s="686"/>
      <c r="AB34" s="686"/>
      <c r="AC34" s="686"/>
    </row>
    <row r="35" spans="1:29" x14ac:dyDescent="0.2">
      <c r="A35" s="686"/>
      <c r="B35" s="686"/>
      <c r="C35" s="686"/>
      <c r="D35" s="686"/>
      <c r="E35" s="686"/>
      <c r="F35" s="686"/>
      <c r="G35" s="686"/>
      <c r="H35" s="686"/>
      <c r="I35" s="686"/>
      <c r="J35" s="686"/>
      <c r="K35" s="686"/>
      <c r="L35" s="686"/>
      <c r="M35" s="686"/>
      <c r="N35" s="686"/>
      <c r="O35" s="686"/>
      <c r="P35" s="686"/>
      <c r="Q35" s="686"/>
      <c r="R35" s="686"/>
      <c r="S35" s="686"/>
      <c r="T35" s="686"/>
      <c r="U35" s="686"/>
      <c r="V35" s="686"/>
      <c r="W35" s="686"/>
      <c r="X35" s="686"/>
      <c r="Y35" s="686"/>
      <c r="Z35" s="686"/>
      <c r="AA35" s="686"/>
      <c r="AB35" s="686"/>
      <c r="AC35" s="686"/>
    </row>
    <row r="36" spans="1:29" x14ac:dyDescent="0.2">
      <c r="A36" s="686"/>
      <c r="B36" s="686"/>
      <c r="C36" s="686"/>
      <c r="D36" s="686"/>
      <c r="E36" s="686"/>
      <c r="F36" s="686"/>
      <c r="G36" s="686"/>
      <c r="H36" s="686"/>
      <c r="I36" s="686"/>
      <c r="J36" s="686"/>
      <c r="K36" s="686"/>
      <c r="L36" s="686"/>
      <c r="M36" s="686"/>
      <c r="N36" s="686"/>
      <c r="O36" s="686"/>
      <c r="P36" s="686"/>
      <c r="Q36" s="686"/>
      <c r="R36" s="686"/>
      <c r="S36" s="686"/>
      <c r="T36" s="686"/>
      <c r="U36" s="686"/>
      <c r="V36" s="686"/>
      <c r="W36" s="686"/>
      <c r="X36" s="686"/>
      <c r="Y36" s="686"/>
      <c r="Z36" s="686"/>
      <c r="AA36" s="686"/>
      <c r="AB36" s="686"/>
      <c r="AC36" s="686"/>
    </row>
    <row r="37" spans="1:29" x14ac:dyDescent="0.2">
      <c r="A37" s="686"/>
      <c r="B37" s="686"/>
      <c r="C37" s="686"/>
      <c r="D37" s="686"/>
      <c r="E37" s="686"/>
      <c r="F37" s="686"/>
      <c r="G37" s="686"/>
      <c r="H37" s="686"/>
      <c r="I37" s="686"/>
      <c r="J37" s="686"/>
      <c r="K37" s="686"/>
      <c r="L37" s="686"/>
      <c r="M37" s="686"/>
      <c r="N37" s="686"/>
      <c r="O37" s="686"/>
      <c r="P37" s="686"/>
      <c r="Q37" s="686"/>
      <c r="R37" s="686"/>
      <c r="S37" s="686"/>
      <c r="T37" s="686"/>
      <c r="U37" s="686"/>
      <c r="V37" s="686"/>
      <c r="W37" s="686"/>
      <c r="X37" s="686"/>
      <c r="Y37" s="686"/>
      <c r="Z37" s="686"/>
      <c r="AA37" s="686"/>
      <c r="AB37" s="686"/>
      <c r="AC37" s="686"/>
    </row>
    <row r="38" spans="1:29" x14ac:dyDescent="0.2">
      <c r="A38" s="686"/>
      <c r="B38" s="686"/>
      <c r="C38" s="686"/>
      <c r="D38" s="686"/>
      <c r="E38" s="686"/>
      <c r="F38" s="686"/>
      <c r="G38" s="686"/>
      <c r="H38" s="686"/>
      <c r="I38" s="686"/>
      <c r="J38" s="686"/>
      <c r="K38" s="686"/>
      <c r="L38" s="686"/>
      <c r="M38" s="686"/>
      <c r="N38" s="686"/>
      <c r="O38" s="686"/>
      <c r="P38" s="686"/>
      <c r="Q38" s="686"/>
      <c r="R38" s="686"/>
      <c r="S38" s="686"/>
      <c r="T38" s="686"/>
      <c r="U38" s="686"/>
      <c r="V38" s="686"/>
      <c r="W38" s="686"/>
      <c r="X38" s="686"/>
      <c r="Y38" s="686"/>
      <c r="Z38" s="686"/>
      <c r="AA38" s="686"/>
      <c r="AB38" s="686"/>
      <c r="AC38" s="686"/>
    </row>
    <row r="39" spans="1:29" x14ac:dyDescent="0.2">
      <c r="A39" s="686"/>
      <c r="B39" s="686"/>
      <c r="C39" s="686"/>
      <c r="D39" s="686"/>
      <c r="E39" s="686"/>
      <c r="F39" s="686"/>
      <c r="G39" s="686"/>
      <c r="H39" s="686"/>
      <c r="I39" s="686"/>
      <c r="J39" s="686"/>
      <c r="K39" s="686"/>
      <c r="L39" s="686"/>
      <c r="M39" s="686"/>
      <c r="N39" s="686"/>
      <c r="O39" s="686"/>
      <c r="P39" s="686"/>
      <c r="Q39" s="686"/>
      <c r="R39" s="686"/>
      <c r="S39" s="686"/>
      <c r="T39" s="686"/>
      <c r="U39" s="686"/>
      <c r="V39" s="686"/>
      <c r="W39" s="686"/>
      <c r="X39" s="686"/>
      <c r="Y39" s="686"/>
      <c r="Z39" s="686"/>
      <c r="AA39" s="686"/>
      <c r="AB39" s="686"/>
      <c r="AC39" s="686"/>
    </row>
    <row r="40" spans="1:29" x14ac:dyDescent="0.2">
      <c r="A40" s="686"/>
      <c r="B40" s="686"/>
      <c r="C40" s="686"/>
      <c r="D40" s="686"/>
      <c r="E40" s="686"/>
      <c r="F40" s="686"/>
      <c r="G40" s="686"/>
      <c r="H40" s="686"/>
      <c r="I40" s="686"/>
      <c r="J40" s="686"/>
      <c r="K40" s="686"/>
      <c r="L40" s="686"/>
      <c r="M40" s="686"/>
      <c r="N40" s="686"/>
      <c r="O40" s="686"/>
      <c r="P40" s="686"/>
      <c r="Q40" s="686"/>
      <c r="R40" s="686"/>
      <c r="S40" s="686"/>
      <c r="T40" s="686"/>
      <c r="U40" s="686"/>
      <c r="V40" s="686"/>
      <c r="W40" s="686"/>
      <c r="X40" s="686"/>
      <c r="Y40" s="686"/>
      <c r="Z40" s="686"/>
      <c r="AA40" s="686"/>
      <c r="AB40" s="686"/>
      <c r="AC40" s="686"/>
    </row>
    <row r="41" spans="1:29" x14ac:dyDescent="0.2">
      <c r="A41" s="686"/>
      <c r="B41" s="686"/>
      <c r="C41" s="686"/>
      <c r="D41" s="686"/>
      <c r="E41" s="686"/>
      <c r="F41" s="686"/>
      <c r="G41" s="686"/>
      <c r="H41" s="686"/>
      <c r="I41" s="686"/>
      <c r="J41" s="686"/>
      <c r="K41" s="686"/>
      <c r="L41" s="686"/>
      <c r="M41" s="686"/>
      <c r="N41" s="686"/>
      <c r="O41" s="686"/>
      <c r="P41" s="686"/>
      <c r="Q41" s="686"/>
      <c r="R41" s="686"/>
      <c r="S41" s="686"/>
      <c r="T41" s="686"/>
      <c r="U41" s="686"/>
      <c r="V41" s="686"/>
      <c r="W41" s="686"/>
      <c r="X41" s="686"/>
      <c r="Y41" s="686"/>
      <c r="Z41" s="686"/>
      <c r="AA41" s="686"/>
      <c r="AB41" s="686"/>
      <c r="AC41" s="686"/>
    </row>
    <row r="42" spans="1:29" x14ac:dyDescent="0.2">
      <c r="A42" s="686"/>
      <c r="B42" s="686"/>
      <c r="C42" s="686"/>
      <c r="D42" s="686"/>
      <c r="E42" s="686"/>
      <c r="F42" s="686"/>
      <c r="G42" s="686"/>
      <c r="H42" s="686"/>
      <c r="I42" s="686"/>
      <c r="J42" s="686"/>
      <c r="K42" s="686"/>
      <c r="L42" s="686"/>
      <c r="M42" s="686"/>
      <c r="N42" s="686"/>
      <c r="O42" s="686"/>
      <c r="P42" s="686"/>
      <c r="Q42" s="686"/>
      <c r="R42" s="686"/>
      <c r="S42" s="686"/>
      <c r="T42" s="686"/>
      <c r="U42" s="686"/>
      <c r="V42" s="686"/>
      <c r="W42" s="686"/>
      <c r="X42" s="686"/>
      <c r="Y42" s="686"/>
      <c r="Z42" s="686"/>
      <c r="AA42" s="686"/>
      <c r="AB42" s="686"/>
      <c r="AC42" s="686"/>
    </row>
    <row r="43" spans="1:29" x14ac:dyDescent="0.2">
      <c r="A43" s="686"/>
      <c r="B43" s="686"/>
      <c r="C43" s="686"/>
      <c r="D43" s="686"/>
      <c r="E43" s="686"/>
      <c r="F43" s="686"/>
      <c r="G43" s="686"/>
      <c r="H43" s="686"/>
      <c r="I43" s="686"/>
      <c r="J43" s="686"/>
      <c r="K43" s="686"/>
      <c r="L43" s="686"/>
      <c r="M43" s="686"/>
      <c r="N43" s="686"/>
      <c r="O43" s="686"/>
      <c r="P43" s="686"/>
      <c r="Q43" s="686"/>
      <c r="R43" s="686"/>
      <c r="S43" s="686"/>
      <c r="T43" s="686"/>
      <c r="U43" s="686"/>
      <c r="V43" s="686"/>
      <c r="W43" s="686"/>
      <c r="X43" s="686"/>
      <c r="Y43" s="686"/>
      <c r="Z43" s="686"/>
      <c r="AA43" s="686"/>
      <c r="AB43" s="686"/>
      <c r="AC43" s="686"/>
    </row>
    <row r="44" spans="1:29" x14ac:dyDescent="0.2">
      <c r="A44" s="686"/>
      <c r="B44" s="686"/>
      <c r="C44" s="686"/>
      <c r="D44" s="686"/>
      <c r="E44" s="686"/>
      <c r="F44" s="686"/>
      <c r="G44" s="686"/>
      <c r="H44" s="686"/>
      <c r="I44" s="686"/>
      <c r="J44" s="686"/>
      <c r="K44" s="686"/>
      <c r="L44" s="686"/>
      <c r="M44" s="686"/>
      <c r="N44" s="686"/>
      <c r="O44" s="686"/>
      <c r="P44" s="686"/>
      <c r="Q44" s="686"/>
      <c r="R44" s="686"/>
      <c r="S44" s="686"/>
      <c r="T44" s="686"/>
      <c r="U44" s="686"/>
      <c r="V44" s="686"/>
      <c r="W44" s="686"/>
      <c r="X44" s="686"/>
      <c r="Y44" s="686"/>
      <c r="Z44" s="686"/>
      <c r="AA44" s="686"/>
      <c r="AB44" s="686"/>
      <c r="AC44" s="686"/>
    </row>
    <row r="45" spans="1:29" x14ac:dyDescent="0.2">
      <c r="A45" s="686"/>
      <c r="B45" s="686"/>
      <c r="C45" s="686"/>
      <c r="D45" s="686"/>
      <c r="E45" s="686"/>
      <c r="F45" s="686"/>
      <c r="G45" s="686"/>
      <c r="H45" s="686"/>
      <c r="I45" s="686"/>
      <c r="J45" s="686"/>
      <c r="K45" s="686"/>
      <c r="L45" s="686"/>
      <c r="M45" s="686"/>
      <c r="N45" s="686"/>
      <c r="O45" s="686"/>
      <c r="P45" s="686"/>
      <c r="Q45" s="686"/>
      <c r="R45" s="686"/>
      <c r="S45" s="686"/>
      <c r="T45" s="686"/>
      <c r="U45" s="686"/>
      <c r="V45" s="686"/>
      <c r="W45" s="686"/>
      <c r="X45" s="686"/>
      <c r="Y45" s="686"/>
      <c r="Z45" s="686"/>
      <c r="AA45" s="686"/>
      <c r="AB45" s="686"/>
      <c r="AC45" s="686"/>
    </row>
    <row r="46" spans="1:29" x14ac:dyDescent="0.2">
      <c r="A46" s="686"/>
      <c r="B46" s="686"/>
      <c r="C46" s="686"/>
      <c r="D46" s="686"/>
      <c r="E46" s="686"/>
      <c r="F46" s="686"/>
      <c r="G46" s="686"/>
      <c r="H46" s="686"/>
      <c r="I46" s="686"/>
      <c r="J46" s="686"/>
      <c r="K46" s="686"/>
      <c r="L46" s="686"/>
      <c r="M46" s="686"/>
      <c r="N46" s="686"/>
      <c r="O46" s="686"/>
      <c r="P46" s="686"/>
      <c r="Q46" s="686"/>
      <c r="R46" s="686"/>
      <c r="S46" s="686"/>
      <c r="T46" s="686"/>
      <c r="U46" s="686"/>
      <c r="V46" s="686"/>
      <c r="W46" s="686"/>
      <c r="X46" s="686"/>
      <c r="Y46" s="686"/>
      <c r="Z46" s="686"/>
      <c r="AA46" s="686"/>
      <c r="AB46" s="686"/>
      <c r="AC46" s="686"/>
    </row>
    <row r="47" spans="1:29" x14ac:dyDescent="0.2">
      <c r="A47" s="686"/>
      <c r="B47" s="686"/>
      <c r="C47" s="686"/>
      <c r="D47" s="686"/>
      <c r="E47" s="686"/>
      <c r="F47" s="686"/>
      <c r="G47" s="686"/>
      <c r="H47" s="686"/>
      <c r="I47" s="686"/>
      <c r="J47" s="686"/>
      <c r="K47" s="686"/>
      <c r="L47" s="686"/>
      <c r="M47" s="686"/>
      <c r="N47" s="686"/>
      <c r="O47" s="686"/>
      <c r="P47" s="686"/>
      <c r="Q47" s="686"/>
      <c r="R47" s="686"/>
      <c r="S47" s="686"/>
      <c r="T47" s="686"/>
      <c r="U47" s="686"/>
      <c r="V47" s="686"/>
      <c r="W47" s="686"/>
      <c r="X47" s="686"/>
      <c r="Y47" s="686"/>
      <c r="Z47" s="686"/>
      <c r="AA47" s="686"/>
      <c r="AB47" s="686"/>
      <c r="AC47" s="686"/>
    </row>
    <row r="48" spans="1:29" x14ac:dyDescent="0.2">
      <c r="A48" s="686"/>
      <c r="B48" s="686"/>
      <c r="C48" s="686"/>
      <c r="D48" s="686"/>
      <c r="E48" s="686"/>
      <c r="F48" s="686"/>
      <c r="G48" s="686"/>
      <c r="H48" s="686"/>
      <c r="I48" s="686"/>
      <c r="J48" s="686"/>
      <c r="K48" s="686"/>
      <c r="L48" s="686"/>
      <c r="M48" s="686"/>
      <c r="N48" s="686"/>
      <c r="O48" s="686"/>
      <c r="P48" s="686"/>
      <c r="Q48" s="686"/>
      <c r="R48" s="686"/>
      <c r="S48" s="686"/>
      <c r="T48" s="686"/>
      <c r="U48" s="686"/>
      <c r="V48" s="686"/>
      <c r="W48" s="686"/>
      <c r="X48" s="686"/>
      <c r="Y48" s="686"/>
      <c r="Z48" s="686"/>
      <c r="AA48" s="686"/>
      <c r="AB48" s="686"/>
      <c r="AC48" s="686"/>
    </row>
    <row r="49" spans="1:29" x14ac:dyDescent="0.2">
      <c r="A49" s="686"/>
      <c r="B49" s="686"/>
      <c r="C49" s="686"/>
      <c r="D49" s="686"/>
      <c r="E49" s="686"/>
      <c r="F49" s="686"/>
      <c r="G49" s="686"/>
      <c r="H49" s="686"/>
      <c r="I49" s="686"/>
      <c r="J49" s="686"/>
      <c r="K49" s="686"/>
      <c r="L49" s="686"/>
      <c r="M49" s="686"/>
      <c r="N49" s="686"/>
      <c r="O49" s="686"/>
      <c r="P49" s="686"/>
      <c r="Q49" s="686"/>
      <c r="R49" s="686"/>
      <c r="S49" s="686"/>
      <c r="T49" s="686"/>
      <c r="U49" s="686"/>
      <c r="V49" s="686"/>
      <c r="W49" s="686"/>
      <c r="X49" s="686"/>
      <c r="Y49" s="686"/>
      <c r="Z49" s="686"/>
      <c r="AA49" s="686"/>
      <c r="AB49" s="686"/>
      <c r="AC49" s="686"/>
    </row>
    <row r="50" spans="1:29" x14ac:dyDescent="0.2">
      <c r="A50" s="686"/>
      <c r="B50" s="686"/>
      <c r="C50" s="686"/>
      <c r="D50" s="686"/>
      <c r="E50" s="686"/>
      <c r="F50" s="686"/>
      <c r="G50" s="686"/>
      <c r="H50" s="686"/>
      <c r="I50" s="686"/>
      <c r="J50" s="686"/>
      <c r="K50" s="686"/>
      <c r="L50" s="686"/>
      <c r="M50" s="686"/>
      <c r="N50" s="686"/>
      <c r="O50" s="686"/>
      <c r="P50" s="686"/>
      <c r="Q50" s="686"/>
      <c r="R50" s="686"/>
      <c r="S50" s="686"/>
      <c r="T50" s="686"/>
      <c r="U50" s="686"/>
      <c r="V50" s="686"/>
      <c r="W50" s="686"/>
      <c r="X50" s="686"/>
      <c r="Y50" s="686"/>
      <c r="Z50" s="686"/>
      <c r="AA50" s="686"/>
      <c r="AB50" s="686"/>
      <c r="AC50" s="686"/>
    </row>
    <row r="51" spans="1:29" x14ac:dyDescent="0.2">
      <c r="A51" s="686"/>
      <c r="B51" s="686"/>
      <c r="C51" s="686"/>
      <c r="D51" s="686"/>
      <c r="E51" s="686"/>
      <c r="F51" s="686"/>
      <c r="G51" s="686"/>
      <c r="H51" s="686"/>
      <c r="I51" s="686"/>
      <c r="J51" s="686"/>
      <c r="K51" s="686"/>
      <c r="L51" s="686"/>
      <c r="M51" s="686"/>
      <c r="N51" s="686"/>
      <c r="O51" s="686"/>
      <c r="P51" s="686"/>
      <c r="Q51" s="686"/>
      <c r="R51" s="686"/>
      <c r="S51" s="686"/>
      <c r="T51" s="686"/>
      <c r="U51" s="686"/>
      <c r="V51" s="686"/>
      <c r="W51" s="686"/>
      <c r="X51" s="686"/>
      <c r="Y51" s="686"/>
      <c r="Z51" s="686"/>
      <c r="AA51" s="686"/>
      <c r="AB51" s="686"/>
      <c r="AC51" s="686"/>
    </row>
    <row r="52" spans="1:29" x14ac:dyDescent="0.2">
      <c r="A52" s="686"/>
      <c r="B52" s="686"/>
      <c r="C52" s="686"/>
      <c r="D52" s="686"/>
      <c r="E52" s="686"/>
      <c r="F52" s="686"/>
      <c r="G52" s="686"/>
      <c r="H52" s="686"/>
      <c r="I52" s="686"/>
      <c r="J52" s="686"/>
      <c r="K52" s="686"/>
      <c r="L52" s="686"/>
      <c r="M52" s="686"/>
      <c r="N52" s="686"/>
      <c r="O52" s="686"/>
      <c r="P52" s="686"/>
      <c r="Q52" s="686"/>
      <c r="R52" s="686"/>
      <c r="S52" s="686"/>
      <c r="T52" s="686"/>
      <c r="U52" s="686"/>
      <c r="V52" s="686"/>
      <c r="W52" s="686"/>
      <c r="X52" s="686"/>
      <c r="Y52" s="686"/>
      <c r="Z52" s="686"/>
      <c r="AA52" s="686"/>
      <c r="AB52" s="686"/>
      <c r="AC52" s="686"/>
    </row>
    <row r="53" spans="1:29" x14ac:dyDescent="0.2">
      <c r="A53" s="686"/>
      <c r="B53" s="686"/>
      <c r="C53" s="686"/>
      <c r="D53" s="686"/>
      <c r="E53" s="686"/>
      <c r="F53" s="686"/>
      <c r="G53" s="686"/>
      <c r="H53" s="686"/>
      <c r="I53" s="686"/>
      <c r="J53" s="686"/>
      <c r="K53" s="686"/>
      <c r="L53" s="686"/>
      <c r="M53" s="686"/>
      <c r="N53" s="686"/>
      <c r="O53" s="686"/>
      <c r="P53" s="686"/>
      <c r="Q53" s="686"/>
      <c r="R53" s="686"/>
      <c r="S53" s="686"/>
      <c r="T53" s="686"/>
      <c r="U53" s="686"/>
      <c r="V53" s="686"/>
      <c r="W53" s="686"/>
      <c r="X53" s="686"/>
      <c r="Y53" s="686"/>
      <c r="Z53" s="686"/>
      <c r="AA53" s="686"/>
      <c r="AB53" s="686"/>
      <c r="AC53" s="686"/>
    </row>
    <row r="54" spans="1:29" x14ac:dyDescent="0.2">
      <c r="A54" s="686"/>
      <c r="B54" s="686"/>
      <c r="C54" s="686"/>
      <c r="D54" s="686"/>
      <c r="E54" s="686"/>
      <c r="F54" s="686"/>
      <c r="G54" s="686"/>
      <c r="H54" s="686"/>
      <c r="I54" s="686"/>
      <c r="J54" s="686"/>
      <c r="K54" s="686"/>
      <c r="L54" s="686"/>
      <c r="M54" s="686"/>
      <c r="N54" s="686"/>
      <c r="O54" s="686"/>
      <c r="P54" s="686"/>
      <c r="Q54" s="686"/>
      <c r="R54" s="686"/>
      <c r="S54" s="686"/>
      <c r="T54" s="686"/>
      <c r="U54" s="686"/>
      <c r="V54" s="686"/>
      <c r="W54" s="686"/>
      <c r="X54" s="686"/>
      <c r="Y54" s="686"/>
      <c r="Z54" s="686"/>
      <c r="AA54" s="686"/>
      <c r="AB54" s="686"/>
      <c r="AC54" s="686"/>
    </row>
    <row r="55" spans="1:29" x14ac:dyDescent="0.2">
      <c r="A55" s="686"/>
      <c r="B55" s="686"/>
      <c r="C55" s="686"/>
      <c r="D55" s="686"/>
      <c r="E55" s="686"/>
      <c r="F55" s="686"/>
      <c r="G55" s="686"/>
      <c r="H55" s="686"/>
      <c r="I55" s="686"/>
      <c r="J55" s="686"/>
      <c r="K55" s="686"/>
      <c r="L55" s="686"/>
      <c r="M55" s="686"/>
      <c r="N55" s="686"/>
      <c r="O55" s="686"/>
      <c r="P55" s="686"/>
      <c r="Q55" s="686"/>
      <c r="R55" s="686"/>
      <c r="S55" s="686"/>
      <c r="T55" s="686"/>
      <c r="U55" s="686"/>
      <c r="V55" s="686"/>
      <c r="W55" s="686"/>
      <c r="X55" s="686"/>
      <c r="Y55" s="686"/>
      <c r="Z55" s="686"/>
      <c r="AA55" s="686"/>
      <c r="AB55" s="686"/>
      <c r="AC55" s="686"/>
    </row>
    <row r="56" spans="1:29" x14ac:dyDescent="0.2">
      <c r="A56" s="686"/>
      <c r="B56" s="686"/>
      <c r="C56" s="686"/>
      <c r="D56" s="686"/>
      <c r="E56" s="686"/>
      <c r="F56" s="686"/>
      <c r="G56" s="686"/>
      <c r="H56" s="686"/>
      <c r="I56" s="686"/>
      <c r="J56" s="686"/>
      <c r="K56" s="686"/>
      <c r="L56" s="686"/>
      <c r="M56" s="686"/>
      <c r="N56" s="686"/>
      <c r="O56" s="686"/>
      <c r="P56" s="686"/>
      <c r="Q56" s="686"/>
      <c r="R56" s="686"/>
      <c r="S56" s="686"/>
      <c r="T56" s="686"/>
      <c r="U56" s="686"/>
      <c r="V56" s="686"/>
      <c r="W56" s="686"/>
      <c r="X56" s="686"/>
      <c r="Y56" s="686"/>
      <c r="Z56" s="686"/>
      <c r="AA56" s="686"/>
      <c r="AB56" s="686"/>
      <c r="AC56" s="686"/>
    </row>
    <row r="57" spans="1:29" x14ac:dyDescent="0.2">
      <c r="A57" s="686"/>
      <c r="B57" s="686"/>
      <c r="C57" s="686"/>
      <c r="D57" s="686"/>
      <c r="E57" s="686"/>
      <c r="F57" s="686"/>
      <c r="G57" s="686"/>
      <c r="H57" s="686"/>
      <c r="I57" s="686"/>
      <c r="J57" s="686"/>
      <c r="K57" s="686"/>
      <c r="L57" s="686"/>
      <c r="M57" s="686"/>
      <c r="N57" s="686"/>
      <c r="O57" s="686"/>
      <c r="P57" s="686"/>
      <c r="Q57" s="686"/>
      <c r="R57" s="686"/>
      <c r="S57" s="686"/>
      <c r="T57" s="686"/>
      <c r="U57" s="686"/>
      <c r="V57" s="686"/>
      <c r="W57" s="686"/>
      <c r="X57" s="686"/>
      <c r="Y57" s="686"/>
      <c r="Z57" s="686"/>
      <c r="AA57" s="686"/>
      <c r="AB57" s="686"/>
      <c r="AC57" s="686"/>
    </row>
    <row r="58" spans="1:29" x14ac:dyDescent="0.2">
      <c r="A58" s="686"/>
      <c r="B58" s="686"/>
      <c r="C58" s="686"/>
      <c r="D58" s="686"/>
      <c r="E58" s="686"/>
      <c r="F58" s="686"/>
      <c r="G58" s="686"/>
      <c r="H58" s="686"/>
      <c r="I58" s="686"/>
      <c r="J58" s="686"/>
      <c r="K58" s="686"/>
      <c r="L58" s="686"/>
      <c r="M58" s="686"/>
      <c r="N58" s="686"/>
      <c r="O58" s="686"/>
      <c r="P58" s="686"/>
      <c r="Q58" s="686"/>
      <c r="R58" s="686"/>
      <c r="S58" s="686"/>
      <c r="T58" s="686"/>
      <c r="U58" s="686"/>
      <c r="V58" s="686"/>
      <c r="W58" s="686"/>
      <c r="X58" s="686"/>
      <c r="Y58" s="686"/>
      <c r="Z58" s="686"/>
      <c r="AA58" s="686"/>
      <c r="AB58" s="686"/>
      <c r="AC58" s="686"/>
    </row>
    <row r="59" spans="1:29" x14ac:dyDescent="0.2">
      <c r="A59" s="686"/>
      <c r="B59" s="686"/>
      <c r="C59" s="686"/>
      <c r="D59" s="686"/>
      <c r="E59" s="686"/>
      <c r="F59" s="686"/>
      <c r="G59" s="686"/>
      <c r="H59" s="686"/>
      <c r="I59" s="686"/>
      <c r="J59" s="686"/>
      <c r="K59" s="686"/>
      <c r="L59" s="686"/>
      <c r="M59" s="686"/>
      <c r="N59" s="686"/>
      <c r="O59" s="686"/>
      <c r="P59" s="686"/>
      <c r="Q59" s="686"/>
      <c r="R59" s="686"/>
      <c r="S59" s="686"/>
      <c r="T59" s="686"/>
      <c r="U59" s="686"/>
      <c r="V59" s="686"/>
      <c r="W59" s="686"/>
      <c r="X59" s="686"/>
      <c r="Y59" s="686"/>
      <c r="Z59" s="686"/>
      <c r="AA59" s="686"/>
      <c r="AB59" s="686"/>
      <c r="AC59" s="686"/>
    </row>
    <row r="60" spans="1:29" x14ac:dyDescent="0.2">
      <c r="A60" s="686"/>
      <c r="B60" s="686"/>
      <c r="C60" s="686"/>
      <c r="D60" s="686"/>
      <c r="E60" s="686"/>
      <c r="F60" s="686"/>
      <c r="G60" s="686"/>
      <c r="H60" s="686"/>
      <c r="I60" s="686"/>
      <c r="J60" s="686"/>
      <c r="K60" s="686"/>
      <c r="L60" s="686"/>
      <c r="M60" s="686"/>
      <c r="N60" s="686"/>
      <c r="O60" s="686"/>
      <c r="P60" s="686"/>
      <c r="Q60" s="686"/>
      <c r="R60" s="686"/>
      <c r="S60" s="686"/>
      <c r="T60" s="686"/>
      <c r="U60" s="686"/>
      <c r="V60" s="686"/>
      <c r="W60" s="686"/>
      <c r="X60" s="686"/>
      <c r="Y60" s="686"/>
      <c r="Z60" s="686"/>
      <c r="AA60" s="686"/>
      <c r="AB60" s="686"/>
      <c r="AC60" s="686"/>
    </row>
    <row r="61" spans="1:29" x14ac:dyDescent="0.2">
      <c r="A61" s="686"/>
      <c r="B61" s="686"/>
      <c r="C61" s="686"/>
      <c r="D61" s="686"/>
      <c r="E61" s="686"/>
      <c r="F61" s="686"/>
      <c r="G61" s="686"/>
      <c r="H61" s="686"/>
      <c r="I61" s="686"/>
      <c r="J61" s="686"/>
      <c r="K61" s="686"/>
      <c r="L61" s="686"/>
      <c r="M61" s="686"/>
      <c r="N61" s="686"/>
      <c r="O61" s="686"/>
      <c r="P61" s="686"/>
      <c r="Q61" s="686"/>
      <c r="R61" s="686"/>
      <c r="S61" s="686"/>
      <c r="T61" s="686"/>
      <c r="U61" s="686"/>
      <c r="V61" s="686"/>
      <c r="W61" s="686"/>
      <c r="X61" s="686"/>
      <c r="Y61" s="686"/>
      <c r="Z61" s="686"/>
      <c r="AA61" s="686"/>
      <c r="AB61" s="686"/>
      <c r="AC61" s="686"/>
    </row>
    <row r="62" spans="1:29" x14ac:dyDescent="0.2">
      <c r="A62" s="686"/>
      <c r="B62" s="686"/>
      <c r="C62" s="686"/>
      <c r="D62" s="686"/>
      <c r="E62" s="686"/>
      <c r="F62" s="686"/>
      <c r="G62" s="686"/>
      <c r="H62" s="686"/>
      <c r="I62" s="686"/>
      <c r="J62" s="686"/>
      <c r="K62" s="686"/>
      <c r="L62" s="686"/>
      <c r="M62" s="686"/>
      <c r="N62" s="686"/>
      <c r="O62" s="686"/>
      <c r="P62" s="686"/>
      <c r="Q62" s="686"/>
      <c r="R62" s="686"/>
      <c r="S62" s="686"/>
      <c r="T62" s="686"/>
      <c r="U62" s="686"/>
      <c r="V62" s="686"/>
      <c r="W62" s="686"/>
      <c r="X62" s="686"/>
      <c r="Y62" s="686"/>
      <c r="Z62" s="686"/>
      <c r="AA62" s="686"/>
      <c r="AB62" s="686"/>
      <c r="AC62" s="686"/>
    </row>
    <row r="63" spans="1:29" x14ac:dyDescent="0.2">
      <c r="A63" s="686"/>
      <c r="B63" s="686"/>
      <c r="C63" s="686"/>
      <c r="D63" s="686"/>
      <c r="E63" s="686"/>
      <c r="F63" s="686"/>
      <c r="G63" s="686"/>
      <c r="H63" s="686"/>
      <c r="I63" s="686"/>
      <c r="J63" s="686"/>
      <c r="K63" s="686"/>
      <c r="L63" s="686"/>
      <c r="M63" s="686"/>
      <c r="N63" s="686"/>
      <c r="O63" s="686"/>
      <c r="P63" s="686"/>
      <c r="Q63" s="686"/>
      <c r="R63" s="686"/>
      <c r="S63" s="686"/>
      <c r="T63" s="686"/>
      <c r="U63" s="686"/>
      <c r="V63" s="686"/>
      <c r="W63" s="686"/>
      <c r="X63" s="686"/>
      <c r="Y63" s="686"/>
      <c r="Z63" s="686"/>
      <c r="AA63" s="686"/>
      <c r="AB63" s="686"/>
      <c r="AC63" s="686"/>
    </row>
    <row r="64" spans="1:29" x14ac:dyDescent="0.2">
      <c r="A64" s="686"/>
      <c r="B64" s="686"/>
      <c r="C64" s="686"/>
      <c r="D64" s="686"/>
      <c r="E64" s="686"/>
      <c r="F64" s="686"/>
      <c r="G64" s="686"/>
      <c r="H64" s="686"/>
      <c r="I64" s="686"/>
      <c r="J64" s="686"/>
      <c r="K64" s="686"/>
      <c r="L64" s="686"/>
      <c r="M64" s="686"/>
      <c r="N64" s="686"/>
      <c r="O64" s="686"/>
      <c r="P64" s="686"/>
      <c r="Q64" s="686"/>
      <c r="R64" s="686"/>
      <c r="S64" s="686"/>
      <c r="T64" s="686"/>
      <c r="U64" s="686"/>
      <c r="V64" s="686"/>
      <c r="W64" s="686"/>
      <c r="X64" s="686"/>
      <c r="Y64" s="686"/>
      <c r="Z64" s="686"/>
      <c r="AA64" s="686"/>
      <c r="AB64" s="686"/>
      <c r="AC64" s="686"/>
    </row>
    <row r="65" spans="1:29" x14ac:dyDescent="0.2">
      <c r="A65" s="686"/>
      <c r="B65" s="686"/>
      <c r="C65" s="686"/>
      <c r="D65" s="686"/>
      <c r="E65" s="686"/>
      <c r="F65" s="686"/>
      <c r="G65" s="686"/>
      <c r="H65" s="686"/>
      <c r="I65" s="686"/>
      <c r="J65" s="686"/>
      <c r="K65" s="686"/>
      <c r="L65" s="686"/>
      <c r="M65" s="686"/>
      <c r="N65" s="686"/>
      <c r="O65" s="686"/>
      <c r="P65" s="686"/>
      <c r="Q65" s="686"/>
      <c r="R65" s="686"/>
      <c r="S65" s="686"/>
      <c r="T65" s="686"/>
      <c r="U65" s="686"/>
      <c r="V65" s="686"/>
      <c r="W65" s="686"/>
      <c r="X65" s="686"/>
      <c r="Y65" s="686"/>
      <c r="Z65" s="686"/>
      <c r="AA65" s="686"/>
      <c r="AB65" s="686"/>
      <c r="AC65" s="686"/>
    </row>
  </sheetData>
  <sheetProtection password="9C8D" sheet="1" objects="1" scenarios="1"/>
  <mergeCells count="4">
    <mergeCell ref="A1:B1"/>
    <mergeCell ref="A2:B2"/>
    <mergeCell ref="A3:B3"/>
    <mergeCell ref="A10:M10"/>
  </mergeCells>
  <pageMargins left="0.78740157499999996" right="0.78740157499999996" top="0.984251969" bottom="0.984251969" header="0.49212598499999999" footer="0.49212598499999999"/>
  <pageSetup paperSize="9" orientation="portrait" verticalDpi="0"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indowProtection="1" showGridLines="0" workbookViewId="0">
      <selection activeCell="A2" sqref="A2:C2"/>
    </sheetView>
  </sheetViews>
  <sheetFormatPr defaultRowHeight="12.75" x14ac:dyDescent="0.2"/>
  <cols>
    <col min="1" max="1" width="42.7109375" style="271" customWidth="1"/>
    <col min="2" max="2" width="18.7109375" style="271" bestFit="1" customWidth="1"/>
    <col min="3" max="3" width="12" style="271" customWidth="1"/>
    <col min="4" max="16384" width="9.140625" style="271"/>
  </cols>
  <sheetData>
    <row r="1" spans="1:4" ht="20.100000000000001" customHeight="1" x14ac:dyDescent="0.2">
      <c r="A1" s="1261" t="s">
        <v>1062</v>
      </c>
      <c r="B1" s="1261"/>
      <c r="C1" s="1261"/>
    </row>
    <row r="2" spans="1:4" ht="20.100000000000001" customHeight="1" x14ac:dyDescent="0.2">
      <c r="A2" s="1333" t="s">
        <v>608</v>
      </c>
      <c r="B2" s="1333"/>
      <c r="C2" s="1333"/>
    </row>
    <row r="3" spans="1:4" ht="20.100000000000001" customHeight="1" x14ac:dyDescent="0.2">
      <c r="A3" s="1317" t="str">
        <f>'[9]01'!A3:F3</f>
        <v>Exercício 2015</v>
      </c>
      <c r="B3" s="1317"/>
      <c r="C3" s="1317"/>
    </row>
    <row r="4" spans="1:4" ht="15" x14ac:dyDescent="0.2">
      <c r="A4" s="703"/>
      <c r="B4" s="703"/>
      <c r="C4" s="272"/>
    </row>
    <row r="5" spans="1:4" x14ac:dyDescent="0.2">
      <c r="A5" s="1355" t="s">
        <v>1</v>
      </c>
      <c r="B5" s="1355"/>
      <c r="C5" s="1355"/>
    </row>
    <row r="6" spans="1:4" ht="30.75" customHeight="1" x14ac:dyDescent="0.2">
      <c r="A6" s="601" t="s">
        <v>261</v>
      </c>
      <c r="B6" s="601" t="s">
        <v>206</v>
      </c>
      <c r="C6" s="601" t="s">
        <v>8</v>
      </c>
      <c r="D6" s="652"/>
    </row>
    <row r="7" spans="1:4" ht="15" customHeight="1" x14ac:dyDescent="0.2">
      <c r="A7" s="355" t="s">
        <v>609</v>
      </c>
      <c r="B7" s="257">
        <v>85</v>
      </c>
      <c r="C7" s="688">
        <v>0</v>
      </c>
    </row>
    <row r="8" spans="1:4" ht="15" customHeight="1" x14ac:dyDescent="0.2">
      <c r="A8" s="355" t="s">
        <v>610</v>
      </c>
      <c r="B8" s="257">
        <v>500</v>
      </c>
      <c r="C8" s="688"/>
    </row>
    <row r="9" spans="1:4" ht="15" customHeight="1" x14ac:dyDescent="0.2">
      <c r="A9" s="355" t="s">
        <v>611</v>
      </c>
      <c r="B9" s="257">
        <v>60</v>
      </c>
      <c r="C9" s="688"/>
    </row>
    <row r="10" spans="1:4" ht="15" customHeight="1" x14ac:dyDescent="0.2">
      <c r="A10" s="355" t="s">
        <v>612</v>
      </c>
      <c r="B10" s="257">
        <v>15630</v>
      </c>
      <c r="C10" s="688"/>
    </row>
    <row r="11" spans="1:4" ht="15" customHeight="1" x14ac:dyDescent="0.2">
      <c r="A11" s="355" t="s">
        <v>613</v>
      </c>
      <c r="B11" s="257">
        <v>2700</v>
      </c>
      <c r="C11" s="688"/>
    </row>
    <row r="12" spans="1:4" ht="15" customHeight="1" x14ac:dyDescent="0.2">
      <c r="A12" s="355" t="s">
        <v>614</v>
      </c>
      <c r="B12" s="257">
        <v>97</v>
      </c>
      <c r="C12" s="688"/>
    </row>
    <row r="13" spans="1:4" ht="15" customHeight="1" x14ac:dyDescent="0.2">
      <c r="A13" s="355" t="s">
        <v>615</v>
      </c>
      <c r="B13" s="257">
        <v>29</v>
      </c>
      <c r="C13" s="688"/>
    </row>
    <row r="14" spans="1:4" ht="15" customHeight="1" x14ac:dyDescent="0.2">
      <c r="A14" s="355" t="s">
        <v>616</v>
      </c>
      <c r="B14" s="257">
        <v>52</v>
      </c>
      <c r="C14" s="688"/>
    </row>
    <row r="15" spans="1:4" ht="15" customHeight="1" x14ac:dyDescent="0.2">
      <c r="A15" s="355" t="s">
        <v>617</v>
      </c>
      <c r="B15" s="257">
        <v>342</v>
      </c>
      <c r="C15" s="688"/>
    </row>
    <row r="16" spans="1:4" ht="15" customHeight="1" x14ac:dyDescent="0.2">
      <c r="A16" s="355" t="s">
        <v>618</v>
      </c>
      <c r="B16" s="257">
        <v>3347</v>
      </c>
      <c r="C16" s="688"/>
    </row>
    <row r="17" spans="1:13" ht="15" customHeight="1" x14ac:dyDescent="0.2">
      <c r="A17" s="355" t="s">
        <v>619</v>
      </c>
      <c r="B17" s="257">
        <v>270</v>
      </c>
      <c r="C17" s="688"/>
    </row>
    <row r="18" spans="1:13" ht="15" hidden="1" customHeight="1" x14ac:dyDescent="0.2">
      <c r="A18" s="355"/>
      <c r="B18" s="257"/>
      <c r="C18" s="688" t="str">
        <f t="shared" ref="C18:C24" si="0">IF($B18=0,("-"),ROUND(B18/$B$25*100,2))</f>
        <v>-</v>
      </c>
    </row>
    <row r="19" spans="1:13" ht="15" hidden="1" customHeight="1" x14ac:dyDescent="0.2">
      <c r="A19" s="355"/>
      <c r="B19" s="257"/>
      <c r="C19" s="688" t="str">
        <f t="shared" si="0"/>
        <v>-</v>
      </c>
    </row>
    <row r="20" spans="1:13" ht="15" hidden="1" customHeight="1" x14ac:dyDescent="0.2">
      <c r="A20" s="355"/>
      <c r="B20" s="257"/>
      <c r="C20" s="688" t="str">
        <f t="shared" si="0"/>
        <v>-</v>
      </c>
    </row>
    <row r="21" spans="1:13" ht="15" hidden="1" customHeight="1" x14ac:dyDescent="0.2">
      <c r="A21" s="355"/>
      <c r="B21" s="257"/>
      <c r="C21" s="688" t="str">
        <f t="shared" si="0"/>
        <v>-</v>
      </c>
    </row>
    <row r="22" spans="1:13" ht="15" hidden="1" customHeight="1" x14ac:dyDescent="0.2">
      <c r="A22" s="355"/>
      <c r="B22" s="257"/>
      <c r="C22" s="688" t="str">
        <f t="shared" si="0"/>
        <v>-</v>
      </c>
    </row>
    <row r="23" spans="1:13" ht="15" hidden="1" customHeight="1" x14ac:dyDescent="0.2">
      <c r="A23" s="355"/>
      <c r="B23" s="257"/>
      <c r="C23" s="688" t="str">
        <f t="shared" si="0"/>
        <v>-</v>
      </c>
    </row>
    <row r="24" spans="1:13" ht="15" hidden="1" customHeight="1" x14ac:dyDescent="0.2">
      <c r="A24" s="355"/>
      <c r="B24" s="257"/>
      <c r="C24" s="688" t="str">
        <f t="shared" si="0"/>
        <v>-</v>
      </c>
    </row>
    <row r="25" spans="1:13" ht="24.95" customHeight="1" x14ac:dyDescent="0.2">
      <c r="A25" s="704" t="s">
        <v>222</v>
      </c>
      <c r="B25" s="705">
        <f>SUM(B7:B24)</f>
        <v>23112</v>
      </c>
      <c r="C25" s="706">
        <f>SUM(C7:C24)</f>
        <v>0</v>
      </c>
    </row>
    <row r="26" spans="1:13" x14ac:dyDescent="0.2">
      <c r="A26" s="707"/>
    </row>
    <row r="27" spans="1:13" x14ac:dyDescent="0.2">
      <c r="B27" s="285"/>
    </row>
    <row r="28" spans="1:13" x14ac:dyDescent="0.2">
      <c r="A28" s="1340"/>
      <c r="B28" s="1340"/>
      <c r="C28" s="1340"/>
      <c r="D28" s="1340"/>
      <c r="E28" s="1340"/>
      <c r="F28" s="1340"/>
      <c r="G28" s="1340"/>
      <c r="H28" s="1340"/>
      <c r="I28" s="1340"/>
      <c r="J28" s="1340"/>
      <c r="K28" s="1340"/>
      <c r="L28" s="1340"/>
      <c r="M28" s="1340"/>
    </row>
    <row r="29" spans="1:13" x14ac:dyDescent="0.2">
      <c r="B29" s="285"/>
    </row>
    <row r="30" spans="1:13" x14ac:dyDescent="0.2">
      <c r="B30" s="285"/>
    </row>
  </sheetData>
  <sheetProtection password="9C8D" sheet="1" objects="1" scenarios="1"/>
  <mergeCells count="5">
    <mergeCell ref="A1:C1"/>
    <mergeCell ref="A2:C2"/>
    <mergeCell ref="A3:C3"/>
    <mergeCell ref="A5:C5"/>
    <mergeCell ref="A28:M28"/>
  </mergeCells>
  <pageMargins left="0.78740157499999996" right="0.78740157499999996" top="0.984251969" bottom="0.984251969" header="0.49212598499999999" footer="0.49212598499999999"/>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indowProtection="1" showGridLines="0" zoomScale="85" workbookViewId="0">
      <selection activeCell="H6" sqref="H6"/>
    </sheetView>
  </sheetViews>
  <sheetFormatPr defaultRowHeight="12.75" x14ac:dyDescent="0.2"/>
  <cols>
    <col min="1" max="1" width="7.5703125" customWidth="1"/>
    <col min="2" max="2" width="48.85546875" bestFit="1" customWidth="1"/>
    <col min="3" max="3" width="27.7109375" customWidth="1"/>
    <col min="4" max="4" width="11.85546875" customWidth="1"/>
    <col min="5" max="6" width="15.85546875" customWidth="1"/>
    <col min="7" max="7" width="12.5703125" customWidth="1"/>
    <col min="9" max="9" width="10.7109375" customWidth="1"/>
  </cols>
  <sheetData>
    <row r="1" spans="1:9" ht="15.75" x14ac:dyDescent="0.25">
      <c r="A1" s="1225" t="s">
        <v>1063</v>
      </c>
      <c r="B1" s="1225"/>
      <c r="C1" s="1225"/>
      <c r="D1" s="1225"/>
      <c r="E1" s="1225"/>
      <c r="F1" s="1225"/>
      <c r="G1" s="1225"/>
    </row>
    <row r="2" spans="1:9" ht="18" x14ac:dyDescent="0.2">
      <c r="A2" s="1226" t="s">
        <v>420</v>
      </c>
      <c r="B2" s="1226"/>
      <c r="C2" s="1226"/>
      <c r="D2" s="1226"/>
      <c r="E2" s="1226"/>
      <c r="F2" s="1226"/>
      <c r="G2" s="1226"/>
    </row>
    <row r="3" spans="1:9" ht="15" x14ac:dyDescent="0.2">
      <c r="A3" s="1226" t="str">
        <f>[6]Dados!$A18</f>
        <v>Exercício de 2015</v>
      </c>
      <c r="B3" s="1226"/>
      <c r="C3" s="1226"/>
      <c r="D3" s="1226"/>
      <c r="E3" s="1226"/>
      <c r="F3" s="1226"/>
      <c r="G3" s="1226"/>
    </row>
    <row r="4" spans="1:9" x14ac:dyDescent="0.2">
      <c r="A4" s="99"/>
      <c r="B4" s="99"/>
      <c r="C4" s="99"/>
      <c r="D4" s="99"/>
      <c r="E4" s="99"/>
      <c r="F4" s="99"/>
      <c r="G4" s="99"/>
    </row>
    <row r="5" spans="1:9" x14ac:dyDescent="0.2">
      <c r="A5" s="1227" t="s">
        <v>1</v>
      </c>
      <c r="B5" s="1227"/>
      <c r="C5" s="1227"/>
      <c r="D5" s="1227"/>
      <c r="E5" s="1227"/>
      <c r="F5" s="1227"/>
      <c r="G5" s="1227"/>
    </row>
    <row r="6" spans="1:9" ht="27" customHeight="1" x14ac:dyDescent="0.2">
      <c r="A6" s="388" t="s">
        <v>87</v>
      </c>
      <c r="B6" s="388" t="s">
        <v>421</v>
      </c>
      <c r="C6" s="388" t="s">
        <v>391</v>
      </c>
      <c r="D6" s="388" t="s">
        <v>189</v>
      </c>
      <c r="E6" s="388" t="s">
        <v>8</v>
      </c>
      <c r="F6" s="388" t="s">
        <v>7</v>
      </c>
      <c r="G6" s="388" t="s">
        <v>8</v>
      </c>
      <c r="H6" s="385"/>
      <c r="I6" s="249"/>
    </row>
    <row r="7" spans="1:9" ht="15" customHeight="1" x14ac:dyDescent="0.2">
      <c r="A7" s="1357" t="s">
        <v>168</v>
      </c>
      <c r="B7" s="501" t="s">
        <v>422</v>
      </c>
      <c r="C7" s="293" t="s">
        <v>423</v>
      </c>
      <c r="D7" s="456">
        <v>22</v>
      </c>
      <c r="E7" s="457">
        <f t="shared" ref="E7:E41" si="0">ROUND(D7/D$43*100,2)</f>
        <v>0.73</v>
      </c>
      <c r="F7" s="75">
        <v>136</v>
      </c>
      <c r="G7" s="457">
        <f t="shared" ref="G7:G42" si="1">ROUND(F7/F$43*100,2)</f>
        <v>0.11</v>
      </c>
      <c r="H7" s="249"/>
      <c r="I7" s="249"/>
    </row>
    <row r="8" spans="1:9" ht="15" customHeight="1" x14ac:dyDescent="0.2">
      <c r="A8" s="1357"/>
      <c r="B8" s="501" t="s">
        <v>424</v>
      </c>
      <c r="C8" s="293" t="s">
        <v>425</v>
      </c>
      <c r="D8" s="456">
        <v>34</v>
      </c>
      <c r="E8" s="457">
        <f t="shared" si="0"/>
        <v>1.1200000000000001</v>
      </c>
      <c r="F8" s="75">
        <v>346</v>
      </c>
      <c r="G8" s="457">
        <f t="shared" si="1"/>
        <v>0.28999999999999998</v>
      </c>
      <c r="H8" s="249"/>
      <c r="I8" s="249"/>
    </row>
    <row r="9" spans="1:9" ht="15" customHeight="1" x14ac:dyDescent="0.2">
      <c r="A9" s="1358"/>
      <c r="B9" s="502" t="s">
        <v>426</v>
      </c>
      <c r="C9" s="503" t="s">
        <v>427</v>
      </c>
      <c r="D9" s="504">
        <v>451</v>
      </c>
      <c r="E9" s="505">
        <v>14.8</v>
      </c>
      <c r="F9" s="506">
        <v>2888</v>
      </c>
      <c r="G9" s="505">
        <f t="shared" si="1"/>
        <v>2.42</v>
      </c>
      <c r="H9" s="360"/>
      <c r="I9" s="249"/>
    </row>
    <row r="10" spans="1:9" ht="15" customHeight="1" x14ac:dyDescent="0.2">
      <c r="A10" s="1356" t="s">
        <v>172</v>
      </c>
      <c r="B10" s="501" t="s">
        <v>428</v>
      </c>
      <c r="C10" s="293" t="s">
        <v>429</v>
      </c>
      <c r="D10" s="456">
        <v>78</v>
      </c>
      <c r="E10" s="457">
        <f t="shared" si="0"/>
        <v>2.58</v>
      </c>
      <c r="F10" s="257">
        <v>2585</v>
      </c>
      <c r="G10" s="457">
        <f t="shared" si="1"/>
        <v>2.17</v>
      </c>
      <c r="H10" s="249"/>
      <c r="I10" s="249"/>
    </row>
    <row r="11" spans="1:9" ht="15" customHeight="1" x14ac:dyDescent="0.2">
      <c r="A11" s="1357"/>
      <c r="B11" s="501" t="s">
        <v>430</v>
      </c>
      <c r="C11" s="293" t="s">
        <v>431</v>
      </c>
      <c r="D11" s="456">
        <v>0</v>
      </c>
      <c r="E11" s="457">
        <f t="shared" si="0"/>
        <v>0</v>
      </c>
      <c r="F11" s="257">
        <v>0</v>
      </c>
      <c r="G11" s="457">
        <f t="shared" si="1"/>
        <v>0</v>
      </c>
      <c r="H11" s="264"/>
      <c r="I11" s="249"/>
    </row>
    <row r="12" spans="1:9" ht="15" customHeight="1" x14ac:dyDescent="0.2">
      <c r="A12" s="1357"/>
      <c r="B12" s="501" t="s">
        <v>432</v>
      </c>
      <c r="C12" s="293" t="s">
        <v>425</v>
      </c>
      <c r="D12" s="456">
        <v>0</v>
      </c>
      <c r="E12" s="457">
        <f t="shared" si="0"/>
        <v>0</v>
      </c>
      <c r="F12" s="257">
        <v>0</v>
      </c>
      <c r="G12" s="457">
        <f t="shared" si="1"/>
        <v>0</v>
      </c>
      <c r="H12" s="249"/>
      <c r="I12" s="249"/>
    </row>
    <row r="13" spans="1:9" ht="15" customHeight="1" x14ac:dyDescent="0.2">
      <c r="A13" s="1358"/>
      <c r="B13" s="507" t="s">
        <v>433</v>
      </c>
      <c r="C13" s="503" t="s">
        <v>434</v>
      </c>
      <c r="D13" s="504">
        <v>0</v>
      </c>
      <c r="E13" s="505">
        <f t="shared" si="0"/>
        <v>0</v>
      </c>
      <c r="F13" s="508">
        <v>0</v>
      </c>
      <c r="G13" s="505">
        <f t="shared" si="1"/>
        <v>0</v>
      </c>
      <c r="H13" s="249"/>
      <c r="I13" s="249"/>
    </row>
    <row r="14" spans="1:9" ht="15" customHeight="1" x14ac:dyDescent="0.2">
      <c r="A14" s="1356" t="s">
        <v>174</v>
      </c>
      <c r="B14" s="501" t="s">
        <v>435</v>
      </c>
      <c r="C14" s="293" t="s">
        <v>436</v>
      </c>
      <c r="D14" s="456">
        <v>207</v>
      </c>
      <c r="E14" s="457">
        <f t="shared" si="0"/>
        <v>6.84</v>
      </c>
      <c r="F14" s="257">
        <v>975</v>
      </c>
      <c r="G14" s="457">
        <f t="shared" si="1"/>
        <v>0.82</v>
      </c>
      <c r="H14" s="293"/>
      <c r="I14" s="249"/>
    </row>
    <row r="15" spans="1:9" ht="15" customHeight="1" x14ac:dyDescent="0.2">
      <c r="A15" s="1357"/>
      <c r="B15" s="501" t="s">
        <v>437</v>
      </c>
      <c r="C15" s="293" t="s">
        <v>320</v>
      </c>
      <c r="D15" s="456">
        <v>15</v>
      </c>
      <c r="E15" s="457">
        <f t="shared" si="0"/>
        <v>0.5</v>
      </c>
      <c r="F15" s="257">
        <v>1978</v>
      </c>
      <c r="G15" s="457">
        <f t="shared" si="1"/>
        <v>1.66</v>
      </c>
      <c r="H15" s="264"/>
      <c r="I15" s="249"/>
    </row>
    <row r="16" spans="1:9" ht="15" customHeight="1" x14ac:dyDescent="0.2">
      <c r="A16" s="1357"/>
      <c r="B16" s="501" t="s">
        <v>438</v>
      </c>
      <c r="C16" s="293" t="s">
        <v>427</v>
      </c>
      <c r="D16" s="456">
        <v>453</v>
      </c>
      <c r="E16" s="457">
        <f t="shared" si="0"/>
        <v>14.97</v>
      </c>
      <c r="F16" s="257">
        <v>6546</v>
      </c>
      <c r="G16" s="457">
        <f t="shared" si="1"/>
        <v>5.49</v>
      </c>
      <c r="H16" s="249"/>
      <c r="I16" s="249"/>
    </row>
    <row r="17" spans="1:9" ht="15" customHeight="1" x14ac:dyDescent="0.2">
      <c r="A17" s="1358"/>
      <c r="B17" s="507" t="s">
        <v>439</v>
      </c>
      <c r="C17" s="503" t="s">
        <v>425</v>
      </c>
      <c r="D17" s="504">
        <v>65</v>
      </c>
      <c r="E17" s="505">
        <f t="shared" si="0"/>
        <v>2.15</v>
      </c>
      <c r="F17" s="508">
        <v>1102</v>
      </c>
      <c r="G17" s="505">
        <f t="shared" si="1"/>
        <v>0.92</v>
      </c>
      <c r="H17" s="249"/>
      <c r="I17" s="249"/>
    </row>
    <row r="18" spans="1:9" s="258" customFormat="1" ht="15" customHeight="1" x14ac:dyDescent="0.2">
      <c r="A18" s="1356" t="s">
        <v>178</v>
      </c>
      <c r="B18" s="501" t="s">
        <v>440</v>
      </c>
      <c r="C18" s="293" t="s">
        <v>320</v>
      </c>
      <c r="D18" s="456">
        <v>12</v>
      </c>
      <c r="E18" s="457">
        <f t="shared" si="0"/>
        <v>0.4</v>
      </c>
      <c r="F18" s="509">
        <v>39596</v>
      </c>
      <c r="G18" s="457">
        <v>33.1</v>
      </c>
      <c r="H18" s="249"/>
      <c r="I18" s="249"/>
    </row>
    <row r="19" spans="1:9" s="258" customFormat="1" ht="15" customHeight="1" x14ac:dyDescent="0.2">
      <c r="A19" s="1357"/>
      <c r="B19" s="501" t="s">
        <v>441</v>
      </c>
      <c r="C19" s="293" t="s">
        <v>442</v>
      </c>
      <c r="D19" s="456">
        <v>0</v>
      </c>
      <c r="E19" s="457">
        <f t="shared" si="0"/>
        <v>0</v>
      </c>
      <c r="F19" s="509">
        <v>0</v>
      </c>
      <c r="G19" s="457">
        <f t="shared" si="1"/>
        <v>0</v>
      </c>
      <c r="H19" s="249"/>
      <c r="I19" s="249"/>
    </row>
    <row r="20" spans="1:9" s="258" customFormat="1" ht="15" customHeight="1" x14ac:dyDescent="0.2">
      <c r="A20" s="1358"/>
      <c r="B20" s="501" t="s">
        <v>443</v>
      </c>
      <c r="C20" s="293" t="s">
        <v>425</v>
      </c>
      <c r="D20" s="456">
        <v>2</v>
      </c>
      <c r="E20" s="457">
        <f t="shared" si="0"/>
        <v>7.0000000000000007E-2</v>
      </c>
      <c r="F20" s="509">
        <v>8</v>
      </c>
      <c r="G20" s="457">
        <f t="shared" si="1"/>
        <v>0.01</v>
      </c>
      <c r="H20" s="249"/>
      <c r="I20" s="249"/>
    </row>
    <row r="21" spans="1:9" ht="15" customHeight="1" x14ac:dyDescent="0.2">
      <c r="A21" s="1356" t="s">
        <v>175</v>
      </c>
      <c r="B21" s="510" t="s">
        <v>444</v>
      </c>
      <c r="C21" s="511" t="s">
        <v>445</v>
      </c>
      <c r="D21" s="512">
        <v>0</v>
      </c>
      <c r="E21" s="513">
        <f t="shared" si="0"/>
        <v>0</v>
      </c>
      <c r="F21" s="514">
        <v>0</v>
      </c>
      <c r="G21" s="513">
        <f t="shared" si="1"/>
        <v>0</v>
      </c>
      <c r="H21" s="249"/>
      <c r="I21" s="249"/>
    </row>
    <row r="22" spans="1:9" ht="15" customHeight="1" x14ac:dyDescent="0.2">
      <c r="A22" s="1358"/>
      <c r="B22" s="507" t="s">
        <v>446</v>
      </c>
      <c r="C22" s="503" t="s">
        <v>447</v>
      </c>
      <c r="D22" s="504">
        <v>3</v>
      </c>
      <c r="E22" s="505">
        <f t="shared" si="0"/>
        <v>0.1</v>
      </c>
      <c r="F22" s="508">
        <v>77</v>
      </c>
      <c r="G22" s="505">
        <f t="shared" si="1"/>
        <v>0.06</v>
      </c>
      <c r="H22" s="264"/>
      <c r="I22" s="249"/>
    </row>
    <row r="23" spans="1:9" ht="15" customHeight="1" x14ac:dyDescent="0.2">
      <c r="A23" s="1356" t="s">
        <v>176</v>
      </c>
      <c r="B23" s="501" t="s">
        <v>448</v>
      </c>
      <c r="C23" s="293" t="s">
        <v>427</v>
      </c>
      <c r="D23" s="456">
        <v>137</v>
      </c>
      <c r="E23" s="457">
        <f t="shared" si="0"/>
        <v>4.53</v>
      </c>
      <c r="F23" s="257">
        <v>17251</v>
      </c>
      <c r="G23" s="457">
        <f t="shared" si="1"/>
        <v>14.47</v>
      </c>
      <c r="H23" s="264"/>
      <c r="I23" s="249"/>
    </row>
    <row r="24" spans="1:9" ht="15" customHeight="1" x14ac:dyDescent="0.2">
      <c r="A24" s="1357"/>
      <c r="B24" s="501" t="s">
        <v>449</v>
      </c>
      <c r="C24" s="293" t="s">
        <v>427</v>
      </c>
      <c r="D24" s="456">
        <v>147</v>
      </c>
      <c r="E24" s="457">
        <f t="shared" si="0"/>
        <v>4.8600000000000003</v>
      </c>
      <c r="F24" s="257">
        <v>7880</v>
      </c>
      <c r="G24" s="457">
        <f t="shared" si="1"/>
        <v>6.61</v>
      </c>
      <c r="H24" s="264"/>
      <c r="I24" s="249"/>
    </row>
    <row r="25" spans="1:9" ht="15" customHeight="1" x14ac:dyDescent="0.2">
      <c r="A25" s="1357"/>
      <c r="B25" s="501" t="s">
        <v>450</v>
      </c>
      <c r="C25" s="293" t="s">
        <v>425</v>
      </c>
      <c r="D25" s="456">
        <v>86</v>
      </c>
      <c r="E25" s="457">
        <f t="shared" si="0"/>
        <v>2.84</v>
      </c>
      <c r="F25" s="257">
        <v>395</v>
      </c>
      <c r="G25" s="457">
        <f t="shared" si="1"/>
        <v>0.33</v>
      </c>
      <c r="H25" s="249"/>
      <c r="I25" s="249"/>
    </row>
    <row r="26" spans="1:9" ht="15" customHeight="1" x14ac:dyDescent="0.2">
      <c r="A26" s="1358"/>
      <c r="B26" s="507" t="s">
        <v>451</v>
      </c>
      <c r="C26" s="503" t="s">
        <v>143</v>
      </c>
      <c r="D26" s="504">
        <v>0</v>
      </c>
      <c r="E26" s="505">
        <f t="shared" si="0"/>
        <v>0</v>
      </c>
      <c r="F26" s="508">
        <v>0</v>
      </c>
      <c r="G26" s="505">
        <f t="shared" si="1"/>
        <v>0</v>
      </c>
      <c r="H26" s="249"/>
      <c r="I26" s="249"/>
    </row>
    <row r="27" spans="1:9" ht="15" customHeight="1" x14ac:dyDescent="0.2">
      <c r="A27" s="515" t="s">
        <v>177</v>
      </c>
      <c r="B27" s="516" t="s">
        <v>452</v>
      </c>
      <c r="C27" s="516" t="s">
        <v>453</v>
      </c>
      <c r="D27" s="517">
        <v>4</v>
      </c>
      <c r="E27" s="518">
        <f t="shared" si="0"/>
        <v>0.13</v>
      </c>
      <c r="F27" s="519">
        <v>63</v>
      </c>
      <c r="G27" s="518">
        <f t="shared" si="1"/>
        <v>0.05</v>
      </c>
      <c r="H27" s="249"/>
      <c r="I27" s="249"/>
    </row>
    <row r="28" spans="1:9" ht="15" customHeight="1" x14ac:dyDescent="0.2">
      <c r="A28" s="1356" t="s">
        <v>179</v>
      </c>
      <c r="B28" s="501" t="s">
        <v>454</v>
      </c>
      <c r="C28" s="293" t="s">
        <v>455</v>
      </c>
      <c r="D28" s="456">
        <v>0</v>
      </c>
      <c r="E28" s="457">
        <f t="shared" si="0"/>
        <v>0</v>
      </c>
      <c r="F28" s="257">
        <v>0</v>
      </c>
      <c r="G28" s="457">
        <f t="shared" si="1"/>
        <v>0</v>
      </c>
      <c r="H28" s="264"/>
      <c r="I28" s="249"/>
    </row>
    <row r="29" spans="1:9" ht="15" customHeight="1" x14ac:dyDescent="0.2">
      <c r="A29" s="1357"/>
      <c r="B29" s="501" t="s">
        <v>456</v>
      </c>
      <c r="C29" s="293" t="s">
        <v>427</v>
      </c>
      <c r="D29" s="456">
        <v>412</v>
      </c>
      <c r="E29" s="457">
        <f t="shared" si="0"/>
        <v>13.61</v>
      </c>
      <c r="F29" s="257">
        <v>2228</v>
      </c>
      <c r="G29" s="457">
        <f t="shared" si="1"/>
        <v>1.87</v>
      </c>
      <c r="H29" s="264"/>
      <c r="I29" s="249"/>
    </row>
    <row r="30" spans="1:9" ht="15" customHeight="1" x14ac:dyDescent="0.2">
      <c r="A30" s="1358"/>
      <c r="B30" s="507" t="s">
        <v>457</v>
      </c>
      <c r="C30" s="503" t="s">
        <v>458</v>
      </c>
      <c r="D30" s="504">
        <v>90</v>
      </c>
      <c r="E30" s="505">
        <f t="shared" si="0"/>
        <v>2.97</v>
      </c>
      <c r="F30" s="508">
        <v>29374</v>
      </c>
      <c r="G30" s="505">
        <v>24.5</v>
      </c>
      <c r="H30" s="249"/>
      <c r="I30" s="249"/>
    </row>
    <row r="31" spans="1:9" ht="15" customHeight="1" x14ac:dyDescent="0.2">
      <c r="A31" s="1356" t="s">
        <v>180</v>
      </c>
      <c r="B31" s="501" t="s">
        <v>459</v>
      </c>
      <c r="C31" s="293" t="s">
        <v>460</v>
      </c>
      <c r="D31" s="456">
        <v>5</v>
      </c>
      <c r="E31" s="457">
        <f t="shared" si="0"/>
        <v>0.17</v>
      </c>
      <c r="F31" s="257">
        <v>20</v>
      </c>
      <c r="G31" s="457">
        <f t="shared" si="1"/>
        <v>0.02</v>
      </c>
      <c r="H31" s="264"/>
      <c r="I31" s="249"/>
    </row>
    <row r="32" spans="1:9" ht="15" customHeight="1" x14ac:dyDescent="0.2">
      <c r="A32" s="1357"/>
      <c r="B32" s="501" t="s">
        <v>461</v>
      </c>
      <c r="C32" s="293" t="s">
        <v>42</v>
      </c>
      <c r="D32" s="456">
        <v>17</v>
      </c>
      <c r="E32" s="457">
        <f t="shared" si="0"/>
        <v>0.56000000000000005</v>
      </c>
      <c r="F32" s="257">
        <v>76</v>
      </c>
      <c r="G32" s="457">
        <f t="shared" si="1"/>
        <v>0.06</v>
      </c>
      <c r="H32" s="249"/>
      <c r="I32" s="249"/>
    </row>
    <row r="33" spans="1:10" ht="15" customHeight="1" x14ac:dyDescent="0.2">
      <c r="A33" s="1357"/>
      <c r="B33" s="501" t="s">
        <v>462</v>
      </c>
      <c r="C33" s="293" t="s">
        <v>436</v>
      </c>
      <c r="D33" s="456">
        <v>0</v>
      </c>
      <c r="E33" s="457">
        <f t="shared" si="0"/>
        <v>0</v>
      </c>
      <c r="F33" s="257">
        <v>0</v>
      </c>
      <c r="G33" s="457">
        <f t="shared" si="1"/>
        <v>0</v>
      </c>
      <c r="H33" s="249"/>
      <c r="I33" s="249"/>
    </row>
    <row r="34" spans="1:10" ht="15" customHeight="1" x14ac:dyDescent="0.2">
      <c r="A34" s="1358"/>
      <c r="B34" s="507" t="s">
        <v>463</v>
      </c>
      <c r="C34" s="503" t="s">
        <v>464</v>
      </c>
      <c r="D34" s="504">
        <v>24</v>
      </c>
      <c r="E34" s="505">
        <f t="shared" si="0"/>
        <v>0.79</v>
      </c>
      <c r="F34" s="508">
        <v>183</v>
      </c>
      <c r="G34" s="505">
        <f t="shared" si="1"/>
        <v>0.15</v>
      </c>
      <c r="H34" s="249"/>
      <c r="I34" s="249"/>
    </row>
    <row r="35" spans="1:10" ht="15" customHeight="1" x14ac:dyDescent="0.2">
      <c r="A35" s="1356" t="s">
        <v>181</v>
      </c>
      <c r="B35" s="501" t="s">
        <v>465</v>
      </c>
      <c r="C35" s="293" t="s">
        <v>466</v>
      </c>
      <c r="D35" s="456">
        <v>4</v>
      </c>
      <c r="E35" s="457">
        <f t="shared" si="0"/>
        <v>0.13</v>
      </c>
      <c r="F35" s="257">
        <v>685</v>
      </c>
      <c r="G35" s="457">
        <f t="shared" si="1"/>
        <v>0.56999999999999995</v>
      </c>
      <c r="H35" s="264"/>
      <c r="I35" s="249"/>
    </row>
    <row r="36" spans="1:10" ht="15" customHeight="1" x14ac:dyDescent="0.2">
      <c r="A36" s="1357"/>
      <c r="B36" s="501" t="s">
        <v>467</v>
      </c>
      <c r="C36" s="293" t="s">
        <v>468</v>
      </c>
      <c r="D36" s="456">
        <v>5</v>
      </c>
      <c r="E36" s="457">
        <f t="shared" si="0"/>
        <v>0.17</v>
      </c>
      <c r="F36" s="257">
        <v>55</v>
      </c>
      <c r="G36" s="457">
        <f t="shared" si="1"/>
        <v>0.05</v>
      </c>
      <c r="H36" s="249"/>
      <c r="I36" s="249"/>
    </row>
    <row r="37" spans="1:10" ht="15" customHeight="1" x14ac:dyDescent="0.2">
      <c r="A37" s="1357"/>
      <c r="B37" s="501" t="s">
        <v>469</v>
      </c>
      <c r="C37" s="293" t="s">
        <v>427</v>
      </c>
      <c r="D37" s="456">
        <v>253</v>
      </c>
      <c r="E37" s="457">
        <f t="shared" si="0"/>
        <v>8.36</v>
      </c>
      <c r="F37" s="257">
        <v>1893</v>
      </c>
      <c r="G37" s="457">
        <f t="shared" si="1"/>
        <v>1.59</v>
      </c>
      <c r="H37" s="264"/>
      <c r="I37" s="249"/>
    </row>
    <row r="38" spans="1:10" ht="15" customHeight="1" x14ac:dyDescent="0.2">
      <c r="A38" s="1358"/>
      <c r="B38" s="507" t="s">
        <v>470</v>
      </c>
      <c r="C38" s="503" t="s">
        <v>471</v>
      </c>
      <c r="D38" s="504">
        <v>2</v>
      </c>
      <c r="E38" s="505">
        <f t="shared" si="0"/>
        <v>7.0000000000000007E-2</v>
      </c>
      <c r="F38" s="508">
        <v>215</v>
      </c>
      <c r="G38" s="505">
        <f t="shared" si="1"/>
        <v>0.18</v>
      </c>
      <c r="H38" s="249"/>
      <c r="I38" s="249"/>
    </row>
    <row r="39" spans="1:10" ht="15" customHeight="1" x14ac:dyDescent="0.2">
      <c r="A39" s="1356" t="s">
        <v>182</v>
      </c>
      <c r="B39" s="501" t="s">
        <v>472</v>
      </c>
      <c r="C39" s="293" t="s">
        <v>473</v>
      </c>
      <c r="D39" s="456">
        <v>0</v>
      </c>
      <c r="E39" s="457">
        <f t="shared" si="0"/>
        <v>0</v>
      </c>
      <c r="F39" s="257">
        <v>0</v>
      </c>
      <c r="G39" s="457">
        <f t="shared" si="1"/>
        <v>0</v>
      </c>
      <c r="H39" s="264"/>
      <c r="I39" s="249"/>
    </row>
    <row r="40" spans="1:10" ht="15" customHeight="1" x14ac:dyDescent="0.2">
      <c r="A40" s="1357"/>
      <c r="B40" s="501" t="s">
        <v>474</v>
      </c>
      <c r="C40" s="293" t="s">
        <v>475</v>
      </c>
      <c r="D40" s="456">
        <v>0</v>
      </c>
      <c r="E40" s="457">
        <f t="shared" si="0"/>
        <v>0</v>
      </c>
      <c r="F40" s="257">
        <v>0</v>
      </c>
      <c r="G40" s="457">
        <f t="shared" si="1"/>
        <v>0</v>
      </c>
      <c r="H40" s="264"/>
      <c r="I40" s="249"/>
    </row>
    <row r="41" spans="1:10" ht="15" customHeight="1" x14ac:dyDescent="0.2">
      <c r="A41" s="1357"/>
      <c r="B41" s="501" t="s">
        <v>476</v>
      </c>
      <c r="C41" s="293" t="s">
        <v>423</v>
      </c>
      <c r="D41" s="456">
        <v>20</v>
      </c>
      <c r="E41" s="457">
        <f t="shared" si="0"/>
        <v>0.66</v>
      </c>
      <c r="F41" s="257">
        <v>100</v>
      </c>
      <c r="G41" s="457">
        <f t="shared" si="1"/>
        <v>0.08</v>
      </c>
      <c r="H41" s="249"/>
      <c r="I41" s="249"/>
    </row>
    <row r="42" spans="1:10" ht="15" customHeight="1" x14ac:dyDescent="0.2">
      <c r="A42" s="1358"/>
      <c r="B42" s="501" t="s">
        <v>477</v>
      </c>
      <c r="C42" s="293" t="s">
        <v>427</v>
      </c>
      <c r="D42" s="456">
        <v>479</v>
      </c>
      <c r="E42" s="457">
        <v>15.7</v>
      </c>
      <c r="F42" s="251">
        <v>2557</v>
      </c>
      <c r="G42" s="457">
        <f t="shared" si="1"/>
        <v>2.14</v>
      </c>
      <c r="H42" s="249"/>
      <c r="I42" s="249"/>
    </row>
    <row r="43" spans="1:10" ht="21" customHeight="1" x14ac:dyDescent="0.2">
      <c r="A43" s="1291" t="s">
        <v>29</v>
      </c>
      <c r="B43" s="1291"/>
      <c r="C43" s="1291"/>
      <c r="D43" s="226">
        <f>SUM(D7:D42)</f>
        <v>3027</v>
      </c>
      <c r="E43" s="267">
        <v>100</v>
      </c>
      <c r="F43" s="226">
        <f>SUM(F7:F42)</f>
        <v>119212</v>
      </c>
      <c r="G43" s="267">
        <v>100</v>
      </c>
      <c r="H43" s="260"/>
      <c r="I43" s="254"/>
      <c r="J43" s="258"/>
    </row>
    <row r="44" spans="1:10" x14ac:dyDescent="0.2">
      <c r="A44" s="1228" t="s">
        <v>185</v>
      </c>
      <c r="B44" s="1228"/>
      <c r="C44" s="1228"/>
      <c r="D44" s="1228"/>
      <c r="E44" s="1228"/>
      <c r="F44" s="1228"/>
      <c r="G44" s="1228"/>
      <c r="H44" s="258"/>
      <c r="I44" s="254"/>
      <c r="J44" s="258"/>
    </row>
    <row r="45" spans="1:10" ht="13.5" customHeight="1" x14ac:dyDescent="0.2">
      <c r="A45" s="1294" t="s">
        <v>186</v>
      </c>
      <c r="B45" s="1295"/>
      <c r="C45" s="1295"/>
      <c r="D45" s="1295"/>
      <c r="E45" s="1295"/>
      <c r="F45" s="1295"/>
      <c r="G45" s="1295"/>
      <c r="H45" s="254"/>
      <c r="I45" s="258"/>
      <c r="J45" s="258"/>
    </row>
    <row r="46" spans="1:10" x14ac:dyDescent="0.2">
      <c r="A46" s="454"/>
      <c r="B46" s="454"/>
      <c r="C46" s="454"/>
      <c r="D46" s="454"/>
      <c r="E46" s="454"/>
      <c r="F46" s="454"/>
      <c r="G46" s="454"/>
      <c r="H46" s="258"/>
      <c r="I46" s="258"/>
      <c r="J46" s="258"/>
    </row>
    <row r="47" spans="1:10" x14ac:dyDescent="0.2">
      <c r="G47" s="13"/>
      <c r="H47" s="258"/>
      <c r="I47" s="258"/>
      <c r="J47" s="258"/>
    </row>
    <row r="48" spans="1:10" x14ac:dyDescent="0.2">
      <c r="A48" s="94"/>
      <c r="B48" s="94"/>
      <c r="C48" s="94"/>
      <c r="H48" s="254"/>
      <c r="I48" s="258"/>
      <c r="J48" s="258"/>
    </row>
  </sheetData>
  <sheetProtection password="9C8D" sheet="1" objects="1" scenarios="1"/>
  <mergeCells count="17">
    <mergeCell ref="A35:A38"/>
    <mergeCell ref="A39:A42"/>
    <mergeCell ref="A43:C43"/>
    <mergeCell ref="A44:G44"/>
    <mergeCell ref="A45:G45"/>
    <mergeCell ref="A31:A34"/>
    <mergeCell ref="A1:G1"/>
    <mergeCell ref="A2:G2"/>
    <mergeCell ref="A3:G3"/>
    <mergeCell ref="A5:G5"/>
    <mergeCell ref="A7:A9"/>
    <mergeCell ref="A10:A13"/>
    <mergeCell ref="A14:A17"/>
    <mergeCell ref="A18:A20"/>
    <mergeCell ref="A21:A22"/>
    <mergeCell ref="A23:A26"/>
    <mergeCell ref="A28:A30"/>
  </mergeCells>
  <pageMargins left="0" right="0" top="0" bottom="0" header="0.51181102362204722" footer="0.51181102362204722"/>
  <pageSetup paperSize="9" scale="75"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indowProtection="1" showGridLines="0" workbookViewId="0">
      <selection activeCell="F8" sqref="F8"/>
    </sheetView>
  </sheetViews>
  <sheetFormatPr defaultRowHeight="12.75" x14ac:dyDescent="0.2"/>
  <cols>
    <col min="1" max="1" width="30.28515625" customWidth="1"/>
    <col min="2" max="2" width="16.140625" customWidth="1"/>
    <col min="3" max="3" width="9.85546875" customWidth="1"/>
    <col min="4" max="4" width="13.7109375" customWidth="1"/>
    <col min="5" max="5" width="9.85546875" customWidth="1"/>
    <col min="7" max="7" width="12.85546875" bestFit="1" customWidth="1"/>
    <col min="8" max="8" width="10.28515625" bestFit="1" customWidth="1"/>
  </cols>
  <sheetData>
    <row r="1" spans="1:8" ht="15.75" x14ac:dyDescent="0.25">
      <c r="A1" s="1225" t="s">
        <v>1064</v>
      </c>
      <c r="B1" s="1225"/>
      <c r="C1" s="1225"/>
      <c r="D1" s="1225"/>
      <c r="E1" s="1225"/>
    </row>
    <row r="2" spans="1:8" ht="18" x14ac:dyDescent="0.2">
      <c r="A2" s="1226" t="s">
        <v>550</v>
      </c>
      <c r="B2" s="1226"/>
      <c r="C2" s="1226"/>
      <c r="D2" s="1226"/>
      <c r="E2" s="1226"/>
    </row>
    <row r="3" spans="1:8" ht="15" x14ac:dyDescent="0.2">
      <c r="A3" s="1226" t="str">
        <f>[8]Dados!$A18</f>
        <v>Exercício de 2015</v>
      </c>
      <c r="B3" s="1226"/>
      <c r="C3" s="1226"/>
      <c r="D3" s="1226"/>
      <c r="E3" s="1226"/>
    </row>
    <row r="4" spans="1:8" x14ac:dyDescent="0.2">
      <c r="A4" s="99"/>
      <c r="B4" s="99"/>
      <c r="C4" s="99"/>
      <c r="D4" s="99"/>
      <c r="E4" s="99"/>
    </row>
    <row r="5" spans="1:8" x14ac:dyDescent="0.2">
      <c r="A5" s="1227" t="s">
        <v>1</v>
      </c>
      <c r="B5" s="1227"/>
      <c r="C5" s="1227"/>
      <c r="D5" s="1227"/>
      <c r="E5" s="1227"/>
    </row>
    <row r="6" spans="1:8" ht="32.25" customHeight="1" x14ac:dyDescent="0.2">
      <c r="A6" s="780" t="s">
        <v>188</v>
      </c>
      <c r="B6" s="780" t="s">
        <v>189</v>
      </c>
      <c r="C6" s="780" t="s">
        <v>8</v>
      </c>
      <c r="D6" s="780" t="s">
        <v>7</v>
      </c>
      <c r="E6" s="780" t="s">
        <v>8</v>
      </c>
      <c r="F6" s="779"/>
      <c r="G6" s="781"/>
    </row>
    <row r="7" spans="1:8" ht="20.100000000000001" customHeight="1" x14ac:dyDescent="0.2">
      <c r="A7" s="580" t="s">
        <v>138</v>
      </c>
      <c r="B7" s="581">
        <f>SUM(B8:B9)</f>
        <v>473723</v>
      </c>
      <c r="C7" s="582">
        <f>SUM(C8:C9)</f>
        <v>94.3</v>
      </c>
      <c r="D7" s="581">
        <f>SUM(D8:D9)</f>
        <v>3459543</v>
      </c>
      <c r="E7" s="582">
        <f>SUM(E8:E9)</f>
        <v>62.02</v>
      </c>
      <c r="F7" s="254"/>
      <c r="G7" s="358"/>
      <c r="H7" s="366"/>
    </row>
    <row r="8" spans="1:8" ht="20.100000000000001" customHeight="1" x14ac:dyDescent="0.2">
      <c r="A8" s="583" t="s">
        <v>551</v>
      </c>
      <c r="B8" s="286">
        <v>6</v>
      </c>
      <c r="C8" s="252">
        <f>ROUND(B8/$B$24*100,2)</f>
        <v>0</v>
      </c>
      <c r="D8" s="253">
        <f>1174+144</f>
        <v>1318</v>
      </c>
      <c r="E8" s="252">
        <f>ROUND(D8/$D$24*100,2)</f>
        <v>0.02</v>
      </c>
      <c r="F8" s="254"/>
      <c r="G8" s="358"/>
      <c r="H8" s="258"/>
    </row>
    <row r="9" spans="1:8" ht="20.100000000000001" customHeight="1" x14ac:dyDescent="0.2">
      <c r="A9" s="583" t="s">
        <v>552</v>
      </c>
      <c r="B9" s="286">
        <f>401514+72203</f>
        <v>473717</v>
      </c>
      <c r="C9" s="252">
        <f>ROUND(B9/$B$24*100,2)</f>
        <v>94.3</v>
      </c>
      <c r="D9" s="253">
        <f>2649811+808414</f>
        <v>3458225</v>
      </c>
      <c r="E9" s="252">
        <f>ROUND(D9/$D$24*100,2)</f>
        <v>62</v>
      </c>
      <c r="F9" s="254"/>
      <c r="G9" s="358"/>
      <c r="H9" s="258"/>
    </row>
    <row r="10" spans="1:8" ht="20.100000000000001" customHeight="1" x14ac:dyDescent="0.2">
      <c r="A10" s="584" t="s">
        <v>139</v>
      </c>
      <c r="B10" s="581">
        <f>SUM(B11:B12)</f>
        <v>3484</v>
      </c>
      <c r="C10" s="582">
        <f>SUM(C11:C12)</f>
        <v>0.69</v>
      </c>
      <c r="D10" s="581">
        <f>SUM(D11:D12)</f>
        <v>29395</v>
      </c>
      <c r="E10" s="582">
        <f>SUM(E11:E12)</f>
        <v>0.53</v>
      </c>
      <c r="F10" s="585"/>
      <c r="G10" s="358"/>
      <c r="H10" s="258"/>
    </row>
    <row r="11" spans="1:8" ht="20.100000000000001" customHeight="1" x14ac:dyDescent="0.2">
      <c r="A11" s="583" t="s">
        <v>551</v>
      </c>
      <c r="B11" s="262">
        <v>0</v>
      </c>
      <c r="C11" s="252">
        <f>ROUND(B11/$B$24*100,2)</f>
        <v>0</v>
      </c>
      <c r="D11" s="253">
        <v>0</v>
      </c>
      <c r="E11" s="252">
        <f>ROUND(D11/$D$24*100,2)</f>
        <v>0</v>
      </c>
      <c r="F11" s="585"/>
      <c r="G11" s="586"/>
      <c r="H11" s="258"/>
    </row>
    <row r="12" spans="1:8" ht="20.100000000000001" customHeight="1" x14ac:dyDescent="0.2">
      <c r="A12" s="583" t="s">
        <v>552</v>
      </c>
      <c r="B12" s="262">
        <v>3484</v>
      </c>
      <c r="C12" s="252">
        <f>ROUND(B12/$B$24*100,2)</f>
        <v>0.69</v>
      </c>
      <c r="D12" s="253">
        <v>29395</v>
      </c>
      <c r="E12" s="252">
        <f>ROUND(D12/$D$24*100,2)</f>
        <v>0.53</v>
      </c>
      <c r="F12" s="367">
        <f>D12-'[8]37'!D7-'[8]37'!D8</f>
        <v>0</v>
      </c>
      <c r="G12" s="586"/>
      <c r="H12" s="258"/>
    </row>
    <row r="13" spans="1:8" ht="20.100000000000001" customHeight="1" x14ac:dyDescent="0.2">
      <c r="A13" s="587" t="s">
        <v>190</v>
      </c>
      <c r="B13" s="588">
        <f>SUM(B14:B15)</f>
        <v>2613</v>
      </c>
      <c r="C13" s="582">
        <f>SUM(C14:C15)</f>
        <v>0.52</v>
      </c>
      <c r="D13" s="238">
        <f>SUM(D14:D15)</f>
        <v>314220</v>
      </c>
      <c r="E13" s="582">
        <f>SUM(E14:E15)</f>
        <v>5.63</v>
      </c>
      <c r="F13" s="258"/>
      <c r="G13" s="358"/>
      <c r="H13" s="258"/>
    </row>
    <row r="14" spans="1:8" ht="20.100000000000001" customHeight="1" x14ac:dyDescent="0.2">
      <c r="A14" s="583" t="s">
        <v>551</v>
      </c>
      <c r="B14" s="262">
        <v>0</v>
      </c>
      <c r="C14" s="252">
        <f>ROUND(B14/$B$24*100,2)</f>
        <v>0</v>
      </c>
      <c r="D14" s="253">
        <v>0</v>
      </c>
      <c r="E14" s="252">
        <f>ROUND(D14/$D$24*100,2)</f>
        <v>0</v>
      </c>
      <c r="F14" s="258"/>
      <c r="G14" s="358"/>
      <c r="H14" s="258"/>
    </row>
    <row r="15" spans="1:8" ht="20.100000000000001" customHeight="1" x14ac:dyDescent="0.2">
      <c r="A15" s="583" t="s">
        <v>552</v>
      </c>
      <c r="B15" s="262">
        <v>2613</v>
      </c>
      <c r="C15" s="252">
        <f>ROUND(B15/$B$24*100,2)</f>
        <v>0.52</v>
      </c>
      <c r="D15" s="253">
        <v>314220</v>
      </c>
      <c r="E15" s="252">
        <f>ROUND(D15/$D$24*100,2)</f>
        <v>5.63</v>
      </c>
      <c r="F15" s="366">
        <f>D15-'[8]37'!F7-'[8]37'!F8</f>
        <v>0</v>
      </c>
      <c r="G15" s="358"/>
      <c r="H15" s="258"/>
    </row>
    <row r="16" spans="1:8" ht="20.100000000000001" customHeight="1" x14ac:dyDescent="0.2">
      <c r="A16" s="587" t="s">
        <v>143</v>
      </c>
      <c r="B16" s="588">
        <f>SUM(B17:B18)</f>
        <v>536</v>
      </c>
      <c r="C16" s="582">
        <f>SUM(C17:C18)</f>
        <v>0.11</v>
      </c>
      <c r="D16" s="581">
        <f>SUM(D17:D18)</f>
        <v>69550</v>
      </c>
      <c r="E16" s="582">
        <f>SUM(E17:E18)</f>
        <v>1.25</v>
      </c>
      <c r="F16" s="258"/>
      <c r="G16" s="358"/>
      <c r="H16" s="258"/>
    </row>
    <row r="17" spans="1:8" ht="20.100000000000001" customHeight="1" x14ac:dyDescent="0.2">
      <c r="A17" s="583" t="s">
        <v>551</v>
      </c>
      <c r="B17" s="262">
        <v>0</v>
      </c>
      <c r="C17" s="252">
        <f>ROUND(B17/$B$24*100,2)</f>
        <v>0</v>
      </c>
      <c r="D17" s="253">
        <v>0</v>
      </c>
      <c r="E17" s="252">
        <f>ROUND(D17/$D$24*100,2)</f>
        <v>0</v>
      </c>
      <c r="F17" s="258"/>
      <c r="G17" s="358"/>
      <c r="H17" s="258"/>
    </row>
    <row r="18" spans="1:8" ht="20.100000000000001" customHeight="1" x14ac:dyDescent="0.2">
      <c r="A18" s="583" t="s">
        <v>552</v>
      </c>
      <c r="B18" s="262">
        <v>536</v>
      </c>
      <c r="C18" s="252">
        <f>ROUND(B18/$B$24*100,2)</f>
        <v>0.11</v>
      </c>
      <c r="D18" s="253">
        <v>69550</v>
      </c>
      <c r="E18" s="252">
        <f>ROUND(D18/$D$24*100,2)</f>
        <v>1.25</v>
      </c>
      <c r="F18" s="366">
        <f>D18-'[8]37'!H7-'[8]37'!H8</f>
        <v>0</v>
      </c>
      <c r="G18" s="358"/>
      <c r="H18" s="258"/>
    </row>
    <row r="19" spans="1:8" ht="20.100000000000001" customHeight="1" x14ac:dyDescent="0.2">
      <c r="A19" s="587" t="s">
        <v>280</v>
      </c>
      <c r="B19" s="588">
        <f>B20</f>
        <v>0</v>
      </c>
      <c r="C19" s="582">
        <f>C20</f>
        <v>0</v>
      </c>
      <c r="D19" s="581">
        <f>D20</f>
        <v>0</v>
      </c>
      <c r="E19" s="582">
        <f>E20</f>
        <v>0</v>
      </c>
      <c r="F19" s="258"/>
      <c r="G19" s="358"/>
      <c r="H19" s="258"/>
    </row>
    <row r="20" spans="1:8" ht="20.100000000000001" customHeight="1" x14ac:dyDescent="0.2">
      <c r="A20" s="583" t="s">
        <v>552</v>
      </c>
      <c r="B20" s="262">
        <v>0</v>
      </c>
      <c r="C20" s="252">
        <f>ROUND(B20/$B$24*100,2)</f>
        <v>0</v>
      </c>
      <c r="D20" s="253">
        <v>0</v>
      </c>
      <c r="E20" s="252">
        <f>ROUND(D20/$D$24*100,2)</f>
        <v>0</v>
      </c>
      <c r="F20" s="258"/>
      <c r="G20" s="358"/>
      <c r="H20" s="258"/>
    </row>
    <row r="21" spans="1:8" ht="20.100000000000001" customHeight="1" x14ac:dyDescent="0.2">
      <c r="A21" s="589" t="s">
        <v>27</v>
      </c>
      <c r="B21" s="588">
        <f>B22+B23</f>
        <v>22021</v>
      </c>
      <c r="C21" s="582">
        <f>C22+C23</f>
        <v>4.38</v>
      </c>
      <c r="D21" s="238">
        <f>D22+D23</f>
        <v>1705161</v>
      </c>
      <c r="E21" s="582">
        <f>E22+E23</f>
        <v>30.57</v>
      </c>
      <c r="F21" s="258"/>
      <c r="G21" s="358"/>
      <c r="H21" s="258"/>
    </row>
    <row r="22" spans="1:8" ht="20.100000000000001" customHeight="1" x14ac:dyDescent="0.2">
      <c r="A22" s="583" t="s">
        <v>551</v>
      </c>
      <c r="B22" s="262">
        <v>2</v>
      </c>
      <c r="C22" s="252">
        <f>ROUND(B22/$B$24*100,2)</f>
        <v>0</v>
      </c>
      <c r="D22" s="75">
        <f>1040+210</f>
        <v>1250</v>
      </c>
      <c r="E22" s="252">
        <f>ROUND(D22/$D$24*100,2)</f>
        <v>0.02</v>
      </c>
      <c r="F22" s="258"/>
      <c r="G22" s="358"/>
      <c r="H22" s="258"/>
    </row>
    <row r="23" spans="1:8" ht="20.100000000000001" customHeight="1" x14ac:dyDescent="0.2">
      <c r="A23" s="583" t="s">
        <v>552</v>
      </c>
      <c r="B23" s="262">
        <v>22019</v>
      </c>
      <c r="C23" s="252">
        <f>ROUND(B23/$B$24*100,2)</f>
        <v>4.38</v>
      </c>
      <c r="D23" s="253">
        <v>1703911</v>
      </c>
      <c r="E23" s="252">
        <f>ROUND(D23/$D$24*100,2)</f>
        <v>30.55</v>
      </c>
      <c r="F23" s="366">
        <f>D23-'[8]37'!L7-'[8]37'!L8+D22</f>
        <v>0</v>
      </c>
      <c r="G23" s="358"/>
      <c r="H23" s="258"/>
    </row>
    <row r="24" spans="1:8" ht="20.100000000000001" customHeight="1" x14ac:dyDescent="0.2">
      <c r="A24" s="780" t="s">
        <v>553</v>
      </c>
      <c r="B24" s="226">
        <f>B7+B10+B13+B19+B21+B16</f>
        <v>502377</v>
      </c>
      <c r="C24" s="267">
        <f>C7+C10+C13+C19+C21+C16</f>
        <v>99.999999999999986</v>
      </c>
      <c r="D24" s="226">
        <f>D25+D26</f>
        <v>5577869</v>
      </c>
      <c r="E24" s="267">
        <f>E7+E10+E13+E19+E21+E16</f>
        <v>100</v>
      </c>
      <c r="F24" s="260"/>
      <c r="G24" s="358"/>
      <c r="H24" s="258"/>
    </row>
    <row r="25" spans="1:8" ht="20.100000000000001" customHeight="1" x14ac:dyDescent="0.2">
      <c r="A25" s="590" t="s">
        <v>551</v>
      </c>
      <c r="B25" s="226">
        <f>B8+B11+B14+B17+B22</f>
        <v>8</v>
      </c>
      <c r="C25" s="267">
        <f>ROUND(B25/B$24*100,2)</f>
        <v>0</v>
      </c>
      <c r="D25" s="226">
        <f>D8+D11+D14+D17+D22</f>
        <v>2568</v>
      </c>
      <c r="E25" s="267">
        <f>ROUND(D25/D$24*100,2)</f>
        <v>0.05</v>
      </c>
      <c r="F25" s="260"/>
      <c r="G25" s="358"/>
      <c r="H25" s="258"/>
    </row>
    <row r="26" spans="1:8" ht="20.100000000000001" customHeight="1" x14ac:dyDescent="0.2">
      <c r="A26" s="590" t="s">
        <v>554</v>
      </c>
      <c r="B26" s="226">
        <f>B9+B12+B15+B20+B23+B18</f>
        <v>502369</v>
      </c>
      <c r="C26" s="267">
        <f>ROUND(B26/B$24*100,2)</f>
        <v>100</v>
      </c>
      <c r="D26" s="226">
        <f>D9+D12+D15+D18+D20+D23</f>
        <v>5575301</v>
      </c>
      <c r="E26" s="267">
        <f>E9+E12+E15+E18+E23</f>
        <v>99.96</v>
      </c>
      <c r="F26" s="260"/>
      <c r="G26" s="358"/>
      <c r="H26" s="258"/>
    </row>
    <row r="27" spans="1:8" x14ac:dyDescent="0.2">
      <c r="A27" s="1228" t="s">
        <v>185</v>
      </c>
      <c r="B27" s="1228"/>
      <c r="C27" s="1228"/>
      <c r="D27" s="1228"/>
      <c r="E27" s="1228"/>
      <c r="F27" s="258"/>
      <c r="G27" s="254"/>
      <c r="H27" s="258"/>
    </row>
    <row r="28" spans="1:8" x14ac:dyDescent="0.2">
      <c r="A28" s="1359" t="s">
        <v>555</v>
      </c>
      <c r="B28" s="1360"/>
      <c r="C28" s="1360"/>
      <c r="D28" s="1360"/>
      <c r="E28" s="1360"/>
      <c r="F28" s="254"/>
      <c r="G28" s="258"/>
      <c r="H28" s="258"/>
    </row>
    <row r="29" spans="1:8" x14ac:dyDescent="0.2">
      <c r="A29" s="1360"/>
      <c r="B29" s="1360"/>
      <c r="C29" s="1360"/>
      <c r="D29" s="1360"/>
      <c r="E29" s="1360"/>
      <c r="F29" s="258"/>
      <c r="G29" s="258"/>
      <c r="H29" s="258"/>
    </row>
    <row r="30" spans="1:8" x14ac:dyDescent="0.2">
      <c r="D30" s="13"/>
      <c r="F30" s="258"/>
      <c r="G30" s="258"/>
      <c r="H30" s="258"/>
    </row>
    <row r="31" spans="1:8" x14ac:dyDescent="0.2">
      <c r="A31" s="94"/>
      <c r="B31" s="4">
        <f>+B25+B26-B24</f>
        <v>0</v>
      </c>
      <c r="D31" s="4">
        <f>+D25+D26-D24</f>
        <v>0</v>
      </c>
      <c r="F31" s="254"/>
      <c r="G31" s="258"/>
      <c r="H31" s="258"/>
    </row>
    <row r="32" spans="1:8" x14ac:dyDescent="0.2">
      <c r="B32" s="4">
        <f>+B24-'[8]41-PORTE'!B11-'[8]41-PORTE'!D11</f>
        <v>0</v>
      </c>
      <c r="D32" s="4">
        <f>+D24-'[8]41-PORTE'!C11-'[8]41-PORTE'!E11</f>
        <v>0</v>
      </c>
    </row>
  </sheetData>
  <sheetProtection password="9C8D" sheet="1" objects="1" scenarios="1"/>
  <mergeCells count="6">
    <mergeCell ref="A28:E29"/>
    <mergeCell ref="A1:E1"/>
    <mergeCell ref="A2:E2"/>
    <mergeCell ref="A3:E3"/>
    <mergeCell ref="A5:E5"/>
    <mergeCell ref="A27:E27"/>
  </mergeCells>
  <pageMargins left="0.78740157499999996" right="0.78740157499999996" top="0.984251969" bottom="0.984251969" header="0.49212598499999999" footer="0.49212598499999999"/>
  <pageSetup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indowProtection="1" workbookViewId="0">
      <selection activeCell="A11" sqref="A11"/>
    </sheetView>
  </sheetViews>
  <sheetFormatPr defaultRowHeight="12.75" x14ac:dyDescent="0.2"/>
  <cols>
    <col min="1" max="1" width="23.5703125" customWidth="1"/>
    <col min="2" max="2" width="10.42578125" customWidth="1"/>
    <col min="3" max="3" width="4.140625" bestFit="1" customWidth="1"/>
    <col min="4" max="4" width="6.5703125" bestFit="1" customWidth="1"/>
    <col min="5" max="5" width="5" bestFit="1" customWidth="1"/>
  </cols>
  <sheetData>
    <row r="1" spans="1:5" ht="47.25" customHeight="1" x14ac:dyDescent="0.2">
      <c r="A1" s="1362" t="s">
        <v>1065</v>
      </c>
      <c r="B1" s="1362"/>
      <c r="C1" s="1362"/>
      <c r="D1" s="1362"/>
      <c r="E1" s="1362"/>
    </row>
    <row r="3" spans="1:5" x14ac:dyDescent="0.2">
      <c r="A3" s="1361" t="s">
        <v>147</v>
      </c>
      <c r="B3" s="1361"/>
      <c r="C3" s="1361"/>
      <c r="D3" s="1361"/>
      <c r="E3" s="1361"/>
    </row>
    <row r="4" spans="1:5" s="730" customFormat="1" ht="38.25" x14ac:dyDescent="0.2">
      <c r="A4" s="728" t="s">
        <v>135</v>
      </c>
      <c r="B4" s="729" t="s">
        <v>5</v>
      </c>
      <c r="C4" s="728" t="s">
        <v>629</v>
      </c>
      <c r="D4" s="728" t="s">
        <v>7</v>
      </c>
      <c r="E4" s="728" t="s">
        <v>630</v>
      </c>
    </row>
    <row r="5" spans="1:5" x14ac:dyDescent="0.2">
      <c r="A5" s="724" t="s">
        <v>631</v>
      </c>
      <c r="B5" s="725">
        <v>1084</v>
      </c>
      <c r="C5" s="726">
        <v>90</v>
      </c>
      <c r="D5" s="725">
        <v>14152</v>
      </c>
      <c r="E5" s="726">
        <v>90.2</v>
      </c>
    </row>
    <row r="6" spans="1:5" x14ac:dyDescent="0.2">
      <c r="A6" s="724" t="s">
        <v>140</v>
      </c>
      <c r="B6" s="726">
        <v>91</v>
      </c>
      <c r="C6" s="726">
        <v>7.6</v>
      </c>
      <c r="D6" s="727">
        <v>1123</v>
      </c>
      <c r="E6" s="726">
        <v>7.1</v>
      </c>
    </row>
    <row r="7" spans="1:5" x14ac:dyDescent="0.2">
      <c r="A7" s="724" t="s">
        <v>143</v>
      </c>
      <c r="B7" s="726">
        <v>29</v>
      </c>
      <c r="C7" s="726">
        <v>2.4</v>
      </c>
      <c r="D7" s="726">
        <v>420</v>
      </c>
      <c r="E7" s="726">
        <v>2.7</v>
      </c>
    </row>
    <row r="8" spans="1:5" s="730" customFormat="1" x14ac:dyDescent="0.2">
      <c r="A8" s="731" t="s">
        <v>29</v>
      </c>
      <c r="B8" s="732">
        <v>1204</v>
      </c>
      <c r="C8" s="733">
        <v>100</v>
      </c>
      <c r="D8" s="732">
        <v>15695</v>
      </c>
      <c r="E8" s="733">
        <v>100</v>
      </c>
    </row>
    <row r="9" spans="1:5" x14ac:dyDescent="0.2">
      <c r="A9" s="1359" t="s">
        <v>1067</v>
      </c>
      <c r="B9" s="1360"/>
      <c r="C9" s="1360"/>
      <c r="D9" s="1360"/>
      <c r="E9" s="1360"/>
    </row>
    <row r="10" spans="1:5" x14ac:dyDescent="0.2">
      <c r="A10" s="1360"/>
      <c r="B10" s="1360"/>
      <c r="C10" s="1360"/>
      <c r="D10" s="1360"/>
      <c r="E10" s="1360"/>
    </row>
  </sheetData>
  <sheetProtection password="9C8D" sheet="1" objects="1" scenarios="1"/>
  <mergeCells count="3">
    <mergeCell ref="A3:E3"/>
    <mergeCell ref="A1:E1"/>
    <mergeCell ref="A9:E10"/>
  </mergeCells>
  <pageMargins left="0.511811024" right="0.511811024" top="0.78740157499999996" bottom="0.78740157499999996" header="0.31496062000000002" footer="0.3149606200000000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indowProtection="1" workbookViewId="0">
      <selection activeCell="A14" sqref="A14:E15"/>
    </sheetView>
  </sheetViews>
  <sheetFormatPr defaultRowHeight="15" x14ac:dyDescent="0.25"/>
  <cols>
    <col min="1" max="1" width="9.140625" style="734"/>
    <col min="2" max="2" width="76.42578125" style="734" bestFit="1" customWidth="1"/>
    <col min="3" max="3" width="5.42578125" style="734" bestFit="1" customWidth="1"/>
    <col min="4" max="4" width="6.7109375" style="734" bestFit="1" customWidth="1"/>
    <col min="5" max="5" width="8.5703125" style="734" bestFit="1" customWidth="1"/>
    <col min="6" max="6" width="6.7109375" style="734" bestFit="1" customWidth="1"/>
    <col min="7" max="257" width="9.140625" style="734"/>
    <col min="258" max="258" width="76.42578125" style="734" bestFit="1" customWidth="1"/>
    <col min="259" max="259" width="5.42578125" style="734" bestFit="1" customWidth="1"/>
    <col min="260" max="260" width="6.7109375" style="734" bestFit="1" customWidth="1"/>
    <col min="261" max="261" width="8.5703125" style="734" bestFit="1" customWidth="1"/>
    <col min="262" max="262" width="6.7109375" style="734" bestFit="1" customWidth="1"/>
    <col min="263" max="513" width="9.140625" style="734"/>
    <col min="514" max="514" width="76.42578125" style="734" bestFit="1" customWidth="1"/>
    <col min="515" max="515" width="5.42578125" style="734" bestFit="1" customWidth="1"/>
    <col min="516" max="516" width="6.7109375" style="734" bestFit="1" customWidth="1"/>
    <col min="517" max="517" width="8.5703125" style="734" bestFit="1" customWidth="1"/>
    <col min="518" max="518" width="6.7109375" style="734" bestFit="1" customWidth="1"/>
    <col min="519" max="769" width="9.140625" style="734"/>
    <col min="770" max="770" width="76.42578125" style="734" bestFit="1" customWidth="1"/>
    <col min="771" max="771" width="5.42578125" style="734" bestFit="1" customWidth="1"/>
    <col min="772" max="772" width="6.7109375" style="734" bestFit="1" customWidth="1"/>
    <col min="773" max="773" width="8.5703125" style="734" bestFit="1" customWidth="1"/>
    <col min="774" max="774" width="6.7109375" style="734" bestFit="1" customWidth="1"/>
    <col min="775" max="1025" width="9.140625" style="734"/>
    <col min="1026" max="1026" width="76.42578125" style="734" bestFit="1" customWidth="1"/>
    <col min="1027" max="1027" width="5.42578125" style="734" bestFit="1" customWidth="1"/>
    <col min="1028" max="1028" width="6.7109375" style="734" bestFit="1" customWidth="1"/>
    <col min="1029" max="1029" width="8.5703125" style="734" bestFit="1" customWidth="1"/>
    <col min="1030" max="1030" width="6.7109375" style="734" bestFit="1" customWidth="1"/>
    <col min="1031" max="1281" width="9.140625" style="734"/>
    <col min="1282" max="1282" width="76.42578125" style="734" bestFit="1" customWidth="1"/>
    <col min="1283" max="1283" width="5.42578125" style="734" bestFit="1" customWidth="1"/>
    <col min="1284" max="1284" width="6.7109375" style="734" bestFit="1" customWidth="1"/>
    <col min="1285" max="1285" width="8.5703125" style="734" bestFit="1" customWidth="1"/>
    <col min="1286" max="1286" width="6.7109375" style="734" bestFit="1" customWidth="1"/>
    <col min="1287" max="1537" width="9.140625" style="734"/>
    <col min="1538" max="1538" width="76.42578125" style="734" bestFit="1" customWidth="1"/>
    <col min="1539" max="1539" width="5.42578125" style="734" bestFit="1" customWidth="1"/>
    <col min="1540" max="1540" width="6.7109375" style="734" bestFit="1" customWidth="1"/>
    <col min="1541" max="1541" width="8.5703125" style="734" bestFit="1" customWidth="1"/>
    <col min="1542" max="1542" width="6.7109375" style="734" bestFit="1" customWidth="1"/>
    <col min="1543" max="1793" width="9.140625" style="734"/>
    <col min="1794" max="1794" width="76.42578125" style="734" bestFit="1" customWidth="1"/>
    <col min="1795" max="1795" width="5.42578125" style="734" bestFit="1" customWidth="1"/>
    <col min="1796" max="1796" width="6.7109375" style="734" bestFit="1" customWidth="1"/>
    <col min="1797" max="1797" width="8.5703125" style="734" bestFit="1" customWidth="1"/>
    <col min="1798" max="1798" width="6.7109375" style="734" bestFit="1" customWidth="1"/>
    <col min="1799" max="2049" width="9.140625" style="734"/>
    <col min="2050" max="2050" width="76.42578125" style="734" bestFit="1" customWidth="1"/>
    <col min="2051" max="2051" width="5.42578125" style="734" bestFit="1" customWidth="1"/>
    <col min="2052" max="2052" width="6.7109375" style="734" bestFit="1" customWidth="1"/>
    <col min="2053" max="2053" width="8.5703125" style="734" bestFit="1" customWidth="1"/>
    <col min="2054" max="2054" width="6.7109375" style="734" bestFit="1" customWidth="1"/>
    <col min="2055" max="2305" width="9.140625" style="734"/>
    <col min="2306" max="2306" width="76.42578125" style="734" bestFit="1" customWidth="1"/>
    <col min="2307" max="2307" width="5.42578125" style="734" bestFit="1" customWidth="1"/>
    <col min="2308" max="2308" width="6.7109375" style="734" bestFit="1" customWidth="1"/>
    <col min="2309" max="2309" width="8.5703125" style="734" bestFit="1" customWidth="1"/>
    <col min="2310" max="2310" width="6.7109375" style="734" bestFit="1" customWidth="1"/>
    <col min="2311" max="2561" width="9.140625" style="734"/>
    <col min="2562" max="2562" width="76.42578125" style="734" bestFit="1" customWidth="1"/>
    <col min="2563" max="2563" width="5.42578125" style="734" bestFit="1" customWidth="1"/>
    <col min="2564" max="2564" width="6.7109375" style="734" bestFit="1" customWidth="1"/>
    <col min="2565" max="2565" width="8.5703125" style="734" bestFit="1" customWidth="1"/>
    <col min="2566" max="2566" width="6.7109375" style="734" bestFit="1" customWidth="1"/>
    <col min="2567" max="2817" width="9.140625" style="734"/>
    <col min="2818" max="2818" width="76.42578125" style="734" bestFit="1" customWidth="1"/>
    <col min="2819" max="2819" width="5.42578125" style="734" bestFit="1" customWidth="1"/>
    <col min="2820" max="2820" width="6.7109375" style="734" bestFit="1" customWidth="1"/>
    <col min="2821" max="2821" width="8.5703125" style="734" bestFit="1" customWidth="1"/>
    <col min="2822" max="2822" width="6.7109375" style="734" bestFit="1" customWidth="1"/>
    <col min="2823" max="3073" width="9.140625" style="734"/>
    <col min="3074" max="3074" width="76.42578125" style="734" bestFit="1" customWidth="1"/>
    <col min="3075" max="3075" width="5.42578125" style="734" bestFit="1" customWidth="1"/>
    <col min="3076" max="3076" width="6.7109375" style="734" bestFit="1" customWidth="1"/>
    <col min="3077" max="3077" width="8.5703125" style="734" bestFit="1" customWidth="1"/>
    <col min="3078" max="3078" width="6.7109375" style="734" bestFit="1" customWidth="1"/>
    <col min="3079" max="3329" width="9.140625" style="734"/>
    <col min="3330" max="3330" width="76.42578125" style="734" bestFit="1" customWidth="1"/>
    <col min="3331" max="3331" width="5.42578125" style="734" bestFit="1" customWidth="1"/>
    <col min="3332" max="3332" width="6.7109375" style="734" bestFit="1" customWidth="1"/>
    <col min="3333" max="3333" width="8.5703125" style="734" bestFit="1" customWidth="1"/>
    <col min="3334" max="3334" width="6.7109375" style="734" bestFit="1" customWidth="1"/>
    <col min="3335" max="3585" width="9.140625" style="734"/>
    <col min="3586" max="3586" width="76.42578125" style="734" bestFit="1" customWidth="1"/>
    <col min="3587" max="3587" width="5.42578125" style="734" bestFit="1" customWidth="1"/>
    <col min="3588" max="3588" width="6.7109375" style="734" bestFit="1" customWidth="1"/>
    <col min="3589" max="3589" width="8.5703125" style="734" bestFit="1" customWidth="1"/>
    <col min="3590" max="3590" width="6.7109375" style="734" bestFit="1" customWidth="1"/>
    <col min="3591" max="3841" width="9.140625" style="734"/>
    <col min="3842" max="3842" width="76.42578125" style="734" bestFit="1" customWidth="1"/>
    <col min="3843" max="3843" width="5.42578125" style="734" bestFit="1" customWidth="1"/>
    <col min="3844" max="3844" width="6.7109375" style="734" bestFit="1" customWidth="1"/>
    <col min="3845" max="3845" width="8.5703125" style="734" bestFit="1" customWidth="1"/>
    <col min="3846" max="3846" width="6.7109375" style="734" bestFit="1" customWidth="1"/>
    <col min="3847" max="4097" width="9.140625" style="734"/>
    <col min="4098" max="4098" width="76.42578125" style="734" bestFit="1" customWidth="1"/>
    <col min="4099" max="4099" width="5.42578125" style="734" bestFit="1" customWidth="1"/>
    <col min="4100" max="4100" width="6.7109375" style="734" bestFit="1" customWidth="1"/>
    <col min="4101" max="4101" width="8.5703125" style="734" bestFit="1" customWidth="1"/>
    <col min="4102" max="4102" width="6.7109375" style="734" bestFit="1" customWidth="1"/>
    <col min="4103" max="4353" width="9.140625" style="734"/>
    <col min="4354" max="4354" width="76.42578125" style="734" bestFit="1" customWidth="1"/>
    <col min="4355" max="4355" width="5.42578125" style="734" bestFit="1" customWidth="1"/>
    <col min="4356" max="4356" width="6.7109375" style="734" bestFit="1" customWidth="1"/>
    <col min="4357" max="4357" width="8.5703125" style="734" bestFit="1" customWidth="1"/>
    <col min="4358" max="4358" width="6.7109375" style="734" bestFit="1" customWidth="1"/>
    <col min="4359" max="4609" width="9.140625" style="734"/>
    <col min="4610" max="4610" width="76.42578125" style="734" bestFit="1" customWidth="1"/>
    <col min="4611" max="4611" width="5.42578125" style="734" bestFit="1" customWidth="1"/>
    <col min="4612" max="4612" width="6.7109375" style="734" bestFit="1" customWidth="1"/>
    <col min="4613" max="4613" width="8.5703125" style="734" bestFit="1" customWidth="1"/>
    <col min="4614" max="4614" width="6.7109375" style="734" bestFit="1" customWidth="1"/>
    <col min="4615" max="4865" width="9.140625" style="734"/>
    <col min="4866" max="4866" width="76.42578125" style="734" bestFit="1" customWidth="1"/>
    <col min="4867" max="4867" width="5.42578125" style="734" bestFit="1" customWidth="1"/>
    <col min="4868" max="4868" width="6.7109375" style="734" bestFit="1" customWidth="1"/>
    <col min="4869" max="4869" width="8.5703125" style="734" bestFit="1" customWidth="1"/>
    <col min="4870" max="4870" width="6.7109375" style="734" bestFit="1" customWidth="1"/>
    <col min="4871" max="5121" width="9.140625" style="734"/>
    <col min="5122" max="5122" width="76.42578125" style="734" bestFit="1" customWidth="1"/>
    <col min="5123" max="5123" width="5.42578125" style="734" bestFit="1" customWidth="1"/>
    <col min="5124" max="5124" width="6.7109375" style="734" bestFit="1" customWidth="1"/>
    <col min="5125" max="5125" width="8.5703125" style="734" bestFit="1" customWidth="1"/>
    <col min="5126" max="5126" width="6.7109375" style="734" bestFit="1" customWidth="1"/>
    <col min="5127" max="5377" width="9.140625" style="734"/>
    <col min="5378" max="5378" width="76.42578125" style="734" bestFit="1" customWidth="1"/>
    <col min="5379" max="5379" width="5.42578125" style="734" bestFit="1" customWidth="1"/>
    <col min="5380" max="5380" width="6.7109375" style="734" bestFit="1" customWidth="1"/>
    <col min="5381" max="5381" width="8.5703125" style="734" bestFit="1" customWidth="1"/>
    <col min="5382" max="5382" width="6.7109375" style="734" bestFit="1" customWidth="1"/>
    <col min="5383" max="5633" width="9.140625" style="734"/>
    <col min="5634" max="5634" width="76.42578125" style="734" bestFit="1" customWidth="1"/>
    <col min="5635" max="5635" width="5.42578125" style="734" bestFit="1" customWidth="1"/>
    <col min="5636" max="5636" width="6.7109375" style="734" bestFit="1" customWidth="1"/>
    <col min="5637" max="5637" width="8.5703125" style="734" bestFit="1" customWidth="1"/>
    <col min="5638" max="5638" width="6.7109375" style="734" bestFit="1" customWidth="1"/>
    <col min="5639" max="5889" width="9.140625" style="734"/>
    <col min="5890" max="5890" width="76.42578125" style="734" bestFit="1" customWidth="1"/>
    <col min="5891" max="5891" width="5.42578125" style="734" bestFit="1" customWidth="1"/>
    <col min="5892" max="5892" width="6.7109375" style="734" bestFit="1" customWidth="1"/>
    <col min="5893" max="5893" width="8.5703125" style="734" bestFit="1" customWidth="1"/>
    <col min="5894" max="5894" width="6.7109375" style="734" bestFit="1" customWidth="1"/>
    <col min="5895" max="6145" width="9.140625" style="734"/>
    <col min="6146" max="6146" width="76.42578125" style="734" bestFit="1" customWidth="1"/>
    <col min="6147" max="6147" width="5.42578125" style="734" bestFit="1" customWidth="1"/>
    <col min="6148" max="6148" width="6.7109375" style="734" bestFit="1" customWidth="1"/>
    <col min="6149" max="6149" width="8.5703125" style="734" bestFit="1" customWidth="1"/>
    <col min="6150" max="6150" width="6.7109375" style="734" bestFit="1" customWidth="1"/>
    <col min="6151" max="6401" width="9.140625" style="734"/>
    <col min="6402" max="6402" width="76.42578125" style="734" bestFit="1" customWidth="1"/>
    <col min="6403" max="6403" width="5.42578125" style="734" bestFit="1" customWidth="1"/>
    <col min="6404" max="6404" width="6.7109375" style="734" bestFit="1" customWidth="1"/>
    <col min="6405" max="6405" width="8.5703125" style="734" bestFit="1" customWidth="1"/>
    <col min="6406" max="6406" width="6.7109375" style="734" bestFit="1" customWidth="1"/>
    <col min="6407" max="6657" width="9.140625" style="734"/>
    <col min="6658" max="6658" width="76.42578125" style="734" bestFit="1" customWidth="1"/>
    <col min="6659" max="6659" width="5.42578125" style="734" bestFit="1" customWidth="1"/>
    <col min="6660" max="6660" width="6.7109375" style="734" bestFit="1" customWidth="1"/>
    <col min="6661" max="6661" width="8.5703125" style="734" bestFit="1" customWidth="1"/>
    <col min="6662" max="6662" width="6.7109375" style="734" bestFit="1" customWidth="1"/>
    <col min="6663" max="6913" width="9.140625" style="734"/>
    <col min="6914" max="6914" width="76.42578125" style="734" bestFit="1" customWidth="1"/>
    <col min="6915" max="6915" width="5.42578125" style="734" bestFit="1" customWidth="1"/>
    <col min="6916" max="6916" width="6.7109375" style="734" bestFit="1" customWidth="1"/>
    <col min="6917" max="6917" width="8.5703125" style="734" bestFit="1" customWidth="1"/>
    <col min="6918" max="6918" width="6.7109375" style="734" bestFit="1" customWidth="1"/>
    <col min="6919" max="7169" width="9.140625" style="734"/>
    <col min="7170" max="7170" width="76.42578125" style="734" bestFit="1" customWidth="1"/>
    <col min="7171" max="7171" width="5.42578125" style="734" bestFit="1" customWidth="1"/>
    <col min="7172" max="7172" width="6.7109375" style="734" bestFit="1" customWidth="1"/>
    <col min="7173" max="7173" width="8.5703125" style="734" bestFit="1" customWidth="1"/>
    <col min="7174" max="7174" width="6.7109375" style="734" bestFit="1" customWidth="1"/>
    <col min="7175" max="7425" width="9.140625" style="734"/>
    <col min="7426" max="7426" width="76.42578125" style="734" bestFit="1" customWidth="1"/>
    <col min="7427" max="7427" width="5.42578125" style="734" bestFit="1" customWidth="1"/>
    <col min="7428" max="7428" width="6.7109375" style="734" bestFit="1" customWidth="1"/>
    <col min="7429" max="7429" width="8.5703125" style="734" bestFit="1" customWidth="1"/>
    <col min="7430" max="7430" width="6.7109375" style="734" bestFit="1" customWidth="1"/>
    <col min="7431" max="7681" width="9.140625" style="734"/>
    <col min="7682" max="7682" width="76.42578125" style="734" bestFit="1" customWidth="1"/>
    <col min="7683" max="7683" width="5.42578125" style="734" bestFit="1" customWidth="1"/>
    <col min="7684" max="7684" width="6.7109375" style="734" bestFit="1" customWidth="1"/>
    <col min="7685" max="7685" width="8.5703125" style="734" bestFit="1" customWidth="1"/>
    <col min="7686" max="7686" width="6.7109375" style="734" bestFit="1" customWidth="1"/>
    <col min="7687" max="7937" width="9.140625" style="734"/>
    <col min="7938" max="7938" width="76.42578125" style="734" bestFit="1" customWidth="1"/>
    <col min="7939" max="7939" width="5.42578125" style="734" bestFit="1" customWidth="1"/>
    <col min="7940" max="7940" width="6.7109375" style="734" bestFit="1" customWidth="1"/>
    <col min="7941" max="7941" width="8.5703125" style="734" bestFit="1" customWidth="1"/>
    <col min="7942" max="7942" width="6.7109375" style="734" bestFit="1" customWidth="1"/>
    <col min="7943" max="8193" width="9.140625" style="734"/>
    <col min="8194" max="8194" width="76.42578125" style="734" bestFit="1" customWidth="1"/>
    <col min="8195" max="8195" width="5.42578125" style="734" bestFit="1" customWidth="1"/>
    <col min="8196" max="8196" width="6.7109375" style="734" bestFit="1" customWidth="1"/>
    <col min="8197" max="8197" width="8.5703125" style="734" bestFit="1" customWidth="1"/>
    <col min="8198" max="8198" width="6.7109375" style="734" bestFit="1" customWidth="1"/>
    <col min="8199" max="8449" width="9.140625" style="734"/>
    <col min="8450" max="8450" width="76.42578125" style="734" bestFit="1" customWidth="1"/>
    <col min="8451" max="8451" width="5.42578125" style="734" bestFit="1" customWidth="1"/>
    <col min="8452" max="8452" width="6.7109375" style="734" bestFit="1" customWidth="1"/>
    <col min="8453" max="8453" width="8.5703125" style="734" bestFit="1" customWidth="1"/>
    <col min="8454" max="8454" width="6.7109375" style="734" bestFit="1" customWidth="1"/>
    <col min="8455" max="8705" width="9.140625" style="734"/>
    <col min="8706" max="8706" width="76.42578125" style="734" bestFit="1" customWidth="1"/>
    <col min="8707" max="8707" width="5.42578125" style="734" bestFit="1" customWidth="1"/>
    <col min="8708" max="8708" width="6.7109375" style="734" bestFit="1" customWidth="1"/>
    <col min="8709" max="8709" width="8.5703125" style="734" bestFit="1" customWidth="1"/>
    <col min="8710" max="8710" width="6.7109375" style="734" bestFit="1" customWidth="1"/>
    <col min="8711" max="8961" width="9.140625" style="734"/>
    <col min="8962" max="8962" width="76.42578125" style="734" bestFit="1" customWidth="1"/>
    <col min="8963" max="8963" width="5.42578125" style="734" bestFit="1" customWidth="1"/>
    <col min="8964" max="8964" width="6.7109375" style="734" bestFit="1" customWidth="1"/>
    <col min="8965" max="8965" width="8.5703125" style="734" bestFit="1" customWidth="1"/>
    <col min="8966" max="8966" width="6.7109375" style="734" bestFit="1" customWidth="1"/>
    <col min="8967" max="9217" width="9.140625" style="734"/>
    <col min="9218" max="9218" width="76.42578125" style="734" bestFit="1" customWidth="1"/>
    <col min="9219" max="9219" width="5.42578125" style="734" bestFit="1" customWidth="1"/>
    <col min="9220" max="9220" width="6.7109375" style="734" bestFit="1" customWidth="1"/>
    <col min="9221" max="9221" width="8.5703125" style="734" bestFit="1" customWidth="1"/>
    <col min="9222" max="9222" width="6.7109375" style="734" bestFit="1" customWidth="1"/>
    <col min="9223" max="9473" width="9.140625" style="734"/>
    <col min="9474" max="9474" width="76.42578125" style="734" bestFit="1" customWidth="1"/>
    <col min="9475" max="9475" width="5.42578125" style="734" bestFit="1" customWidth="1"/>
    <col min="9476" max="9476" width="6.7109375" style="734" bestFit="1" customWidth="1"/>
    <col min="9477" max="9477" width="8.5703125" style="734" bestFit="1" customWidth="1"/>
    <col min="9478" max="9478" width="6.7109375" style="734" bestFit="1" customWidth="1"/>
    <col min="9479" max="9729" width="9.140625" style="734"/>
    <col min="9730" max="9730" width="76.42578125" style="734" bestFit="1" customWidth="1"/>
    <col min="9731" max="9731" width="5.42578125" style="734" bestFit="1" customWidth="1"/>
    <col min="9732" max="9732" width="6.7109375" style="734" bestFit="1" customWidth="1"/>
    <col min="9733" max="9733" width="8.5703125" style="734" bestFit="1" customWidth="1"/>
    <col min="9734" max="9734" width="6.7109375" style="734" bestFit="1" customWidth="1"/>
    <col min="9735" max="9985" width="9.140625" style="734"/>
    <col min="9986" max="9986" width="76.42578125" style="734" bestFit="1" customWidth="1"/>
    <col min="9987" max="9987" width="5.42578125" style="734" bestFit="1" customWidth="1"/>
    <col min="9988" max="9988" width="6.7109375" style="734" bestFit="1" customWidth="1"/>
    <col min="9989" max="9989" width="8.5703125" style="734" bestFit="1" customWidth="1"/>
    <col min="9990" max="9990" width="6.7109375" style="734" bestFit="1" customWidth="1"/>
    <col min="9991" max="10241" width="9.140625" style="734"/>
    <col min="10242" max="10242" width="76.42578125" style="734" bestFit="1" customWidth="1"/>
    <col min="10243" max="10243" width="5.42578125" style="734" bestFit="1" customWidth="1"/>
    <col min="10244" max="10244" width="6.7109375" style="734" bestFit="1" customWidth="1"/>
    <col min="10245" max="10245" width="8.5703125" style="734" bestFit="1" customWidth="1"/>
    <col min="10246" max="10246" width="6.7109375" style="734" bestFit="1" customWidth="1"/>
    <col min="10247" max="10497" width="9.140625" style="734"/>
    <col min="10498" max="10498" width="76.42578125" style="734" bestFit="1" customWidth="1"/>
    <col min="10499" max="10499" width="5.42578125" style="734" bestFit="1" customWidth="1"/>
    <col min="10500" max="10500" width="6.7109375" style="734" bestFit="1" customWidth="1"/>
    <col min="10501" max="10501" width="8.5703125" style="734" bestFit="1" customWidth="1"/>
    <col min="10502" max="10502" width="6.7109375" style="734" bestFit="1" customWidth="1"/>
    <col min="10503" max="10753" width="9.140625" style="734"/>
    <col min="10754" max="10754" width="76.42578125" style="734" bestFit="1" customWidth="1"/>
    <col min="10755" max="10755" width="5.42578125" style="734" bestFit="1" customWidth="1"/>
    <col min="10756" max="10756" width="6.7109375" style="734" bestFit="1" customWidth="1"/>
    <col min="10757" max="10757" width="8.5703125" style="734" bestFit="1" customWidth="1"/>
    <col min="10758" max="10758" width="6.7109375" style="734" bestFit="1" customWidth="1"/>
    <col min="10759" max="11009" width="9.140625" style="734"/>
    <col min="11010" max="11010" width="76.42578125" style="734" bestFit="1" customWidth="1"/>
    <col min="11011" max="11011" width="5.42578125" style="734" bestFit="1" customWidth="1"/>
    <col min="11012" max="11012" width="6.7109375" style="734" bestFit="1" customWidth="1"/>
    <col min="11013" max="11013" width="8.5703125" style="734" bestFit="1" customWidth="1"/>
    <col min="11014" max="11014" width="6.7109375" style="734" bestFit="1" customWidth="1"/>
    <col min="11015" max="11265" width="9.140625" style="734"/>
    <col min="11266" max="11266" width="76.42578125" style="734" bestFit="1" customWidth="1"/>
    <col min="11267" max="11267" width="5.42578125" style="734" bestFit="1" customWidth="1"/>
    <col min="11268" max="11268" width="6.7109375" style="734" bestFit="1" customWidth="1"/>
    <col min="11269" max="11269" width="8.5703125" style="734" bestFit="1" customWidth="1"/>
    <col min="11270" max="11270" width="6.7109375" style="734" bestFit="1" customWidth="1"/>
    <col min="11271" max="11521" width="9.140625" style="734"/>
    <col min="11522" max="11522" width="76.42578125" style="734" bestFit="1" customWidth="1"/>
    <col min="11523" max="11523" width="5.42578125" style="734" bestFit="1" customWidth="1"/>
    <col min="11524" max="11524" width="6.7109375" style="734" bestFit="1" customWidth="1"/>
    <col min="11525" max="11525" width="8.5703125" style="734" bestFit="1" customWidth="1"/>
    <col min="11526" max="11526" width="6.7109375" style="734" bestFit="1" customWidth="1"/>
    <col min="11527" max="11777" width="9.140625" style="734"/>
    <col min="11778" max="11778" width="76.42578125" style="734" bestFit="1" customWidth="1"/>
    <col min="11779" max="11779" width="5.42578125" style="734" bestFit="1" customWidth="1"/>
    <col min="11780" max="11780" width="6.7109375" style="734" bestFit="1" customWidth="1"/>
    <col min="11781" max="11781" width="8.5703125" style="734" bestFit="1" customWidth="1"/>
    <col min="11782" max="11782" width="6.7109375" style="734" bestFit="1" customWidth="1"/>
    <col min="11783" max="12033" width="9.140625" style="734"/>
    <col min="12034" max="12034" width="76.42578125" style="734" bestFit="1" customWidth="1"/>
    <col min="12035" max="12035" width="5.42578125" style="734" bestFit="1" customWidth="1"/>
    <col min="12036" max="12036" width="6.7109375" style="734" bestFit="1" customWidth="1"/>
    <col min="12037" max="12037" width="8.5703125" style="734" bestFit="1" customWidth="1"/>
    <col min="12038" max="12038" width="6.7109375" style="734" bestFit="1" customWidth="1"/>
    <col min="12039" max="12289" width="9.140625" style="734"/>
    <col min="12290" max="12290" width="76.42578125" style="734" bestFit="1" customWidth="1"/>
    <col min="12291" max="12291" width="5.42578125" style="734" bestFit="1" customWidth="1"/>
    <col min="12292" max="12292" width="6.7109375" style="734" bestFit="1" customWidth="1"/>
    <col min="12293" max="12293" width="8.5703125" style="734" bestFit="1" customWidth="1"/>
    <col min="12294" max="12294" width="6.7109375" style="734" bestFit="1" customWidth="1"/>
    <col min="12295" max="12545" width="9.140625" style="734"/>
    <col min="12546" max="12546" width="76.42578125" style="734" bestFit="1" customWidth="1"/>
    <col min="12547" max="12547" width="5.42578125" style="734" bestFit="1" customWidth="1"/>
    <col min="12548" max="12548" width="6.7109375" style="734" bestFit="1" customWidth="1"/>
    <col min="12549" max="12549" width="8.5703125" style="734" bestFit="1" customWidth="1"/>
    <col min="12550" max="12550" width="6.7109375" style="734" bestFit="1" customWidth="1"/>
    <col min="12551" max="12801" width="9.140625" style="734"/>
    <col min="12802" max="12802" width="76.42578125" style="734" bestFit="1" customWidth="1"/>
    <col min="12803" max="12803" width="5.42578125" style="734" bestFit="1" customWidth="1"/>
    <col min="12804" max="12804" width="6.7109375" style="734" bestFit="1" customWidth="1"/>
    <col min="12805" max="12805" width="8.5703125" style="734" bestFit="1" customWidth="1"/>
    <col min="12806" max="12806" width="6.7109375" style="734" bestFit="1" customWidth="1"/>
    <col min="12807" max="13057" width="9.140625" style="734"/>
    <col min="13058" max="13058" width="76.42578125" style="734" bestFit="1" customWidth="1"/>
    <col min="13059" max="13059" width="5.42578125" style="734" bestFit="1" customWidth="1"/>
    <col min="13060" max="13060" width="6.7109375" style="734" bestFit="1" customWidth="1"/>
    <col min="13061" max="13061" width="8.5703125" style="734" bestFit="1" customWidth="1"/>
    <col min="13062" max="13062" width="6.7109375" style="734" bestFit="1" customWidth="1"/>
    <col min="13063" max="13313" width="9.140625" style="734"/>
    <col min="13314" max="13314" width="76.42578125" style="734" bestFit="1" customWidth="1"/>
    <col min="13315" max="13315" width="5.42578125" style="734" bestFit="1" customWidth="1"/>
    <col min="13316" max="13316" width="6.7109375" style="734" bestFit="1" customWidth="1"/>
    <col min="13317" max="13317" width="8.5703125" style="734" bestFit="1" customWidth="1"/>
    <col min="13318" max="13318" width="6.7109375" style="734" bestFit="1" customWidth="1"/>
    <col min="13319" max="13569" width="9.140625" style="734"/>
    <col min="13570" max="13570" width="76.42578125" style="734" bestFit="1" customWidth="1"/>
    <col min="13571" max="13571" width="5.42578125" style="734" bestFit="1" customWidth="1"/>
    <col min="13572" max="13572" width="6.7109375" style="734" bestFit="1" customWidth="1"/>
    <col min="13573" max="13573" width="8.5703125" style="734" bestFit="1" customWidth="1"/>
    <col min="13574" max="13574" width="6.7109375" style="734" bestFit="1" customWidth="1"/>
    <col min="13575" max="13825" width="9.140625" style="734"/>
    <col min="13826" max="13826" width="76.42578125" style="734" bestFit="1" customWidth="1"/>
    <col min="13827" max="13827" width="5.42578125" style="734" bestFit="1" customWidth="1"/>
    <col min="13828" max="13828" width="6.7109375" style="734" bestFit="1" customWidth="1"/>
    <col min="13829" max="13829" width="8.5703125" style="734" bestFit="1" customWidth="1"/>
    <col min="13830" max="13830" width="6.7109375" style="734" bestFit="1" customWidth="1"/>
    <col min="13831" max="14081" width="9.140625" style="734"/>
    <col min="14082" max="14082" width="76.42578125" style="734" bestFit="1" customWidth="1"/>
    <col min="14083" max="14083" width="5.42578125" style="734" bestFit="1" customWidth="1"/>
    <col min="14084" max="14084" width="6.7109375" style="734" bestFit="1" customWidth="1"/>
    <col min="14085" max="14085" width="8.5703125" style="734" bestFit="1" customWidth="1"/>
    <col min="14086" max="14086" width="6.7109375" style="734" bestFit="1" customWidth="1"/>
    <col min="14087" max="14337" width="9.140625" style="734"/>
    <col min="14338" max="14338" width="76.42578125" style="734" bestFit="1" customWidth="1"/>
    <col min="14339" max="14339" width="5.42578125" style="734" bestFit="1" customWidth="1"/>
    <col min="14340" max="14340" width="6.7109375" style="734" bestFit="1" customWidth="1"/>
    <col min="14341" max="14341" width="8.5703125" style="734" bestFit="1" customWidth="1"/>
    <col min="14342" max="14342" width="6.7109375" style="734" bestFit="1" customWidth="1"/>
    <col min="14343" max="14593" width="9.140625" style="734"/>
    <col min="14594" max="14594" width="76.42578125" style="734" bestFit="1" customWidth="1"/>
    <col min="14595" max="14595" width="5.42578125" style="734" bestFit="1" customWidth="1"/>
    <col min="14596" max="14596" width="6.7109375" style="734" bestFit="1" customWidth="1"/>
    <col min="14597" max="14597" width="8.5703125" style="734" bestFit="1" customWidth="1"/>
    <col min="14598" max="14598" width="6.7109375" style="734" bestFit="1" customWidth="1"/>
    <col min="14599" max="14849" width="9.140625" style="734"/>
    <col min="14850" max="14850" width="76.42578125" style="734" bestFit="1" customWidth="1"/>
    <col min="14851" max="14851" width="5.42578125" style="734" bestFit="1" customWidth="1"/>
    <col min="14852" max="14852" width="6.7109375" style="734" bestFit="1" customWidth="1"/>
    <col min="14853" max="14853" width="8.5703125" style="734" bestFit="1" customWidth="1"/>
    <col min="14854" max="14854" width="6.7109375" style="734" bestFit="1" customWidth="1"/>
    <col min="14855" max="15105" width="9.140625" style="734"/>
    <col min="15106" max="15106" width="76.42578125" style="734" bestFit="1" customWidth="1"/>
    <col min="15107" max="15107" width="5.42578125" style="734" bestFit="1" customWidth="1"/>
    <col min="15108" max="15108" width="6.7109375" style="734" bestFit="1" customWidth="1"/>
    <col min="15109" max="15109" width="8.5703125" style="734" bestFit="1" customWidth="1"/>
    <col min="15110" max="15110" width="6.7109375" style="734" bestFit="1" customWidth="1"/>
    <col min="15111" max="15361" width="9.140625" style="734"/>
    <col min="15362" max="15362" width="76.42578125" style="734" bestFit="1" customWidth="1"/>
    <col min="15363" max="15363" width="5.42578125" style="734" bestFit="1" customWidth="1"/>
    <col min="15364" max="15364" width="6.7109375" style="734" bestFit="1" customWidth="1"/>
    <col min="15365" max="15365" width="8.5703125" style="734" bestFit="1" customWidth="1"/>
    <col min="15366" max="15366" width="6.7109375" style="734" bestFit="1" customWidth="1"/>
    <col min="15367" max="15617" width="9.140625" style="734"/>
    <col min="15618" max="15618" width="76.42578125" style="734" bestFit="1" customWidth="1"/>
    <col min="15619" max="15619" width="5.42578125" style="734" bestFit="1" customWidth="1"/>
    <col min="15620" max="15620" width="6.7109375" style="734" bestFit="1" customWidth="1"/>
    <col min="15621" max="15621" width="8.5703125" style="734" bestFit="1" customWidth="1"/>
    <col min="15622" max="15622" width="6.7109375" style="734" bestFit="1" customWidth="1"/>
    <col min="15623" max="15873" width="9.140625" style="734"/>
    <col min="15874" max="15874" width="76.42578125" style="734" bestFit="1" customWidth="1"/>
    <col min="15875" max="15875" width="5.42578125" style="734" bestFit="1" customWidth="1"/>
    <col min="15876" max="15876" width="6.7109375" style="734" bestFit="1" customWidth="1"/>
    <col min="15877" max="15877" width="8.5703125" style="734" bestFit="1" customWidth="1"/>
    <col min="15878" max="15878" width="6.7109375" style="734" bestFit="1" customWidth="1"/>
    <col min="15879" max="16129" width="9.140625" style="734"/>
    <col min="16130" max="16130" width="76.42578125" style="734" bestFit="1" customWidth="1"/>
    <col min="16131" max="16131" width="5.42578125" style="734" bestFit="1" customWidth="1"/>
    <col min="16132" max="16132" width="6.7109375" style="734" bestFit="1" customWidth="1"/>
    <col min="16133" max="16133" width="8.5703125" style="734" bestFit="1" customWidth="1"/>
    <col min="16134" max="16134" width="6.7109375" style="734" bestFit="1" customWidth="1"/>
    <col min="16135" max="16384" width="9.140625" style="734"/>
  </cols>
  <sheetData>
    <row r="1" spans="1:6" ht="18.75" x14ac:dyDescent="0.25">
      <c r="A1" s="1363" t="s">
        <v>1066</v>
      </c>
      <c r="B1" s="1363"/>
      <c r="C1" s="1363"/>
      <c r="D1" s="1363"/>
      <c r="E1" s="1363"/>
      <c r="F1" s="1363"/>
    </row>
    <row r="3" spans="1:6" ht="25.5" x14ac:dyDescent="0.25">
      <c r="A3" s="735" t="s">
        <v>195</v>
      </c>
      <c r="B3" s="735" t="s">
        <v>391</v>
      </c>
      <c r="C3" s="736" t="s">
        <v>632</v>
      </c>
      <c r="D3" s="737" t="s">
        <v>8</v>
      </c>
      <c r="E3" s="737" t="s">
        <v>7</v>
      </c>
      <c r="F3" s="738" t="s">
        <v>8</v>
      </c>
    </row>
    <row r="4" spans="1:6" s="744" customFormat="1" x14ac:dyDescent="0.25">
      <c r="A4" s="739" t="s">
        <v>73</v>
      </c>
      <c r="B4" s="740"/>
      <c r="C4" s="741">
        <f>SUM(C5:C6)</f>
        <v>7</v>
      </c>
      <c r="D4" s="742">
        <f>C4/$C$13*100</f>
        <v>18.918918918918919</v>
      </c>
      <c r="E4" s="743">
        <f>SUM(E5:E6)</f>
        <v>555.45000000000005</v>
      </c>
      <c r="F4" s="742">
        <f>E4/$E$13*100</f>
        <v>7.4749566042400311</v>
      </c>
    </row>
    <row r="5" spans="1:6" s="745" customFormat="1" x14ac:dyDescent="0.25">
      <c r="B5" s="745" t="s">
        <v>633</v>
      </c>
      <c r="C5" s="746">
        <v>5</v>
      </c>
      <c r="D5" s="747">
        <f t="shared" ref="D5:D12" si="0">C5/$C$13*100</f>
        <v>13.513513513513514</v>
      </c>
      <c r="E5" s="748">
        <v>284.14999999999998</v>
      </c>
      <c r="F5" s="747">
        <f t="shared" ref="F5:F12" si="1">E5/$E$13*100</f>
        <v>3.8239426034653063</v>
      </c>
    </row>
    <row r="6" spans="1:6" s="745" customFormat="1" x14ac:dyDescent="0.25">
      <c r="B6" s="745" t="s">
        <v>634</v>
      </c>
      <c r="C6" s="746">
        <v>2</v>
      </c>
      <c r="D6" s="747">
        <f t="shared" si="0"/>
        <v>5.4054054054054053</v>
      </c>
      <c r="E6" s="748">
        <v>271.3</v>
      </c>
      <c r="F6" s="747">
        <f t="shared" si="1"/>
        <v>3.6510140007747238</v>
      </c>
    </row>
    <row r="7" spans="1:6" s="739" customFormat="1" x14ac:dyDescent="0.25">
      <c r="A7" s="739" t="s">
        <v>240</v>
      </c>
      <c r="C7" s="749">
        <f>SUM(C8:C12)</f>
        <v>30</v>
      </c>
      <c r="D7" s="742">
        <f t="shared" si="0"/>
        <v>81.081081081081081</v>
      </c>
      <c r="E7" s="750">
        <f>SUM(E8:E12)</f>
        <v>6875.3623699999989</v>
      </c>
      <c r="F7" s="742">
        <f t="shared" si="1"/>
        <v>92.52504339575998</v>
      </c>
    </row>
    <row r="8" spans="1:6" s="745" customFormat="1" x14ac:dyDescent="0.25">
      <c r="B8" s="745" t="s">
        <v>635</v>
      </c>
      <c r="C8" s="746">
        <v>12</v>
      </c>
      <c r="D8" s="747">
        <f t="shared" si="0"/>
        <v>32.432432432432435</v>
      </c>
      <c r="E8" s="748">
        <v>4766.8181799999993</v>
      </c>
      <c r="F8" s="747">
        <f t="shared" si="1"/>
        <v>64.149354641826335</v>
      </c>
    </row>
    <row r="9" spans="1:6" s="745" customFormat="1" x14ac:dyDescent="0.25">
      <c r="B9" s="745" t="s">
        <v>636</v>
      </c>
      <c r="C9" s="746">
        <v>13</v>
      </c>
      <c r="D9" s="747">
        <f t="shared" si="0"/>
        <v>35.135135135135137</v>
      </c>
      <c r="E9" s="748">
        <v>1445.64419</v>
      </c>
      <c r="F9" s="747">
        <f t="shared" si="1"/>
        <v>19.454726051708938</v>
      </c>
    </row>
    <row r="10" spans="1:6" s="745" customFormat="1" x14ac:dyDescent="0.25">
      <c r="B10" s="745" t="s">
        <v>637</v>
      </c>
      <c r="C10" s="746">
        <v>2</v>
      </c>
      <c r="D10" s="747">
        <f t="shared" si="0"/>
        <v>5.4054054054054053</v>
      </c>
      <c r="E10" s="748">
        <v>105.9</v>
      </c>
      <c r="F10" s="747">
        <f t="shared" si="1"/>
        <v>1.4251470058313425</v>
      </c>
    </row>
    <row r="11" spans="1:6" s="745" customFormat="1" x14ac:dyDescent="0.25">
      <c r="B11" s="745" t="s">
        <v>638</v>
      </c>
      <c r="C11" s="746">
        <v>2</v>
      </c>
      <c r="D11" s="747">
        <f t="shared" si="0"/>
        <v>5.4054054054054053</v>
      </c>
      <c r="E11" s="748">
        <v>350</v>
      </c>
      <c r="F11" s="747">
        <f t="shared" si="1"/>
        <v>4.710117583011991</v>
      </c>
    </row>
    <row r="12" spans="1:6" s="745" customFormat="1" x14ac:dyDescent="0.25">
      <c r="B12" s="745" t="s">
        <v>639</v>
      </c>
      <c r="C12" s="746">
        <v>1</v>
      </c>
      <c r="D12" s="747">
        <f t="shared" si="0"/>
        <v>2.7027027027027026</v>
      </c>
      <c r="E12" s="748">
        <v>207</v>
      </c>
      <c r="F12" s="747">
        <f t="shared" si="1"/>
        <v>2.7856981133813776</v>
      </c>
    </row>
    <row r="13" spans="1:6" x14ac:dyDescent="0.25">
      <c r="A13" s="735"/>
      <c r="B13" s="735" t="s">
        <v>640</v>
      </c>
      <c r="C13" s="736">
        <v>37</v>
      </c>
      <c r="D13" s="737">
        <f>D4+D7</f>
        <v>100</v>
      </c>
      <c r="E13" s="737">
        <f>E4+E7</f>
        <v>7430.8123699999987</v>
      </c>
      <c r="F13" s="737">
        <f>F4+F7</f>
        <v>100.00000000000001</v>
      </c>
    </row>
    <row r="14" spans="1:6" x14ac:dyDescent="0.25">
      <c r="A14" s="1359" t="s">
        <v>1067</v>
      </c>
      <c r="B14" s="1360"/>
      <c r="C14" s="1360"/>
      <c r="D14" s="1360"/>
      <c r="E14" s="1360"/>
    </row>
    <row r="15" spans="1:6" x14ac:dyDescent="0.25">
      <c r="A15" s="1360"/>
      <c r="B15" s="1360"/>
      <c r="C15" s="1360"/>
      <c r="D15" s="1360"/>
      <c r="E15" s="1360"/>
    </row>
  </sheetData>
  <sheetProtection password="9C8D" sheet="1" objects="1" scenarios="1"/>
  <mergeCells count="2">
    <mergeCell ref="A1:F1"/>
    <mergeCell ref="A14:E15"/>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windowProtection="1" showGridLines="0" workbookViewId="0">
      <selection activeCell="H5" sqref="H5"/>
    </sheetView>
  </sheetViews>
  <sheetFormatPr defaultRowHeight="12.75" x14ac:dyDescent="0.2"/>
  <cols>
    <col min="1" max="1" width="15.28515625" customWidth="1"/>
    <col min="2" max="2" width="16.7109375" customWidth="1"/>
    <col min="3" max="4" width="19.140625" customWidth="1"/>
    <col min="5" max="5" width="14.5703125" customWidth="1"/>
    <col min="6" max="6" width="15.7109375" customWidth="1"/>
    <col min="7" max="7" width="13.85546875" customWidth="1"/>
    <col min="8" max="8" width="11.5703125" customWidth="1"/>
    <col min="9" max="9" width="12.85546875" customWidth="1"/>
  </cols>
  <sheetData>
    <row r="1" spans="1:13" ht="21.75" customHeight="1" x14ac:dyDescent="0.2">
      <c r="A1" s="1209" t="s">
        <v>298</v>
      </c>
      <c r="B1" s="1209"/>
      <c r="C1" s="1209"/>
      <c r="D1" s="1209"/>
      <c r="E1" s="1209"/>
      <c r="F1" s="1209"/>
      <c r="G1" s="1209"/>
    </row>
    <row r="2" spans="1:13" ht="18" customHeight="1" x14ac:dyDescent="0.2">
      <c r="A2" s="1188" t="s">
        <v>299</v>
      </c>
      <c r="B2" s="1188"/>
      <c r="C2" s="1188"/>
      <c r="D2" s="1188"/>
      <c r="E2" s="1188"/>
      <c r="F2" s="1188"/>
      <c r="G2" s="1188"/>
    </row>
    <row r="3" spans="1:13" ht="15" x14ac:dyDescent="0.2">
      <c r="A3" s="1210" t="str">
        <f>+[3]Dados!A22</f>
        <v>Período: 1998 a 31.12.2015</v>
      </c>
      <c r="B3" s="1210"/>
      <c r="C3" s="1210"/>
      <c r="D3" s="1210"/>
      <c r="E3" s="1210"/>
      <c r="F3" s="1210"/>
      <c r="G3" s="1210"/>
    </row>
    <row r="4" spans="1:13" x14ac:dyDescent="0.2">
      <c r="A4" s="1211" t="s">
        <v>300</v>
      </c>
      <c r="B4" s="1211"/>
      <c r="C4" s="1211"/>
      <c r="D4" s="1211"/>
      <c r="E4" s="1211"/>
      <c r="F4" s="1211"/>
      <c r="G4" s="1211"/>
    </row>
    <row r="5" spans="1:13" ht="30" x14ac:dyDescent="0.2">
      <c r="A5" s="460" t="s">
        <v>301</v>
      </c>
      <c r="B5" s="460" t="s">
        <v>138</v>
      </c>
      <c r="C5" s="460" t="s">
        <v>139</v>
      </c>
      <c r="D5" s="460" t="s">
        <v>302</v>
      </c>
      <c r="E5" s="460" t="s">
        <v>263</v>
      </c>
      <c r="F5" s="460" t="s">
        <v>191</v>
      </c>
      <c r="G5" s="460" t="s">
        <v>29</v>
      </c>
      <c r="H5" s="459"/>
      <c r="I5" s="390"/>
    </row>
    <row r="6" spans="1:13" ht="18" customHeight="1" x14ac:dyDescent="0.2">
      <c r="A6" s="391">
        <v>1998</v>
      </c>
      <c r="B6" s="392">
        <v>84.5</v>
      </c>
      <c r="C6" s="392">
        <v>1.4</v>
      </c>
      <c r="D6" s="392">
        <v>14.1</v>
      </c>
      <c r="E6" s="392">
        <v>0</v>
      </c>
      <c r="F6" s="392">
        <v>0</v>
      </c>
      <c r="G6" s="393">
        <f>SUM(B6:F6)</f>
        <v>100</v>
      </c>
      <c r="H6" s="1205"/>
      <c r="I6" s="1205"/>
      <c r="J6" s="1205"/>
      <c r="K6" s="1205"/>
      <c r="L6" s="1205"/>
      <c r="M6" s="1205"/>
    </row>
    <row r="7" spans="1:13" ht="18" customHeight="1" x14ac:dyDescent="0.2">
      <c r="A7" s="391">
        <v>1999</v>
      </c>
      <c r="B7" s="392">
        <v>80.2</v>
      </c>
      <c r="C7" s="392">
        <v>0.9</v>
      </c>
      <c r="D7" s="392">
        <v>18.899999999999999</v>
      </c>
      <c r="E7" s="392" t="s">
        <v>121</v>
      </c>
      <c r="F7" s="392" t="s">
        <v>121</v>
      </c>
      <c r="G7" s="393">
        <f t="shared" ref="G7:G23" si="0">SUM(B7:F7)</f>
        <v>100</v>
      </c>
      <c r="H7" s="1205"/>
      <c r="I7" s="1205"/>
      <c r="J7" s="1205"/>
      <c r="K7" s="1205"/>
      <c r="L7" s="1205"/>
      <c r="M7" s="1205"/>
    </row>
    <row r="8" spans="1:13" ht="18" customHeight="1" x14ac:dyDescent="0.2">
      <c r="A8" s="391">
        <v>2000</v>
      </c>
      <c r="B8" s="392">
        <v>49.5</v>
      </c>
      <c r="C8" s="392">
        <v>0.7</v>
      </c>
      <c r="D8" s="392">
        <v>49.8</v>
      </c>
      <c r="E8" s="392" t="s">
        <v>121</v>
      </c>
      <c r="F8" s="392" t="s">
        <v>121</v>
      </c>
      <c r="G8" s="393">
        <f t="shared" si="0"/>
        <v>100</v>
      </c>
      <c r="H8" s="394"/>
      <c r="I8" s="109"/>
    </row>
    <row r="9" spans="1:13" ht="18" customHeight="1" x14ac:dyDescent="0.2">
      <c r="A9" s="391">
        <v>2001</v>
      </c>
      <c r="B9" s="392">
        <v>35.4</v>
      </c>
      <c r="C9" s="392">
        <v>1.2</v>
      </c>
      <c r="D9" s="392">
        <v>63.4</v>
      </c>
      <c r="E9" s="392" t="s">
        <v>121</v>
      </c>
      <c r="F9" s="392">
        <v>0</v>
      </c>
      <c r="G9" s="393">
        <f t="shared" si="0"/>
        <v>100</v>
      </c>
      <c r="H9" s="394"/>
      <c r="I9" s="109"/>
    </row>
    <row r="10" spans="1:13" ht="18" customHeight="1" x14ac:dyDescent="0.2">
      <c r="A10" s="391">
        <v>2002</v>
      </c>
      <c r="B10" s="392">
        <v>76.400000000000006</v>
      </c>
      <c r="C10" s="392">
        <v>0.7</v>
      </c>
      <c r="D10" s="392">
        <v>14.2</v>
      </c>
      <c r="E10" s="392" t="s">
        <v>121</v>
      </c>
      <c r="F10" s="392">
        <v>8.6999999999999993</v>
      </c>
      <c r="G10" s="393">
        <f t="shared" si="0"/>
        <v>100.00000000000001</v>
      </c>
      <c r="H10" s="394"/>
      <c r="I10" s="109"/>
    </row>
    <row r="11" spans="1:13" ht="18" customHeight="1" x14ac:dyDescent="0.2">
      <c r="A11" s="395">
        <v>2003</v>
      </c>
      <c r="B11" s="392">
        <v>47.5</v>
      </c>
      <c r="C11" s="392">
        <v>0.3</v>
      </c>
      <c r="D11" s="392">
        <v>44.9</v>
      </c>
      <c r="E11" s="392" t="s">
        <v>121</v>
      </c>
      <c r="F11" s="392">
        <v>7.3</v>
      </c>
      <c r="G11" s="393">
        <f t="shared" si="0"/>
        <v>99.999999999999986</v>
      </c>
      <c r="H11" s="394"/>
      <c r="I11" s="109"/>
    </row>
    <row r="12" spans="1:13" ht="18" customHeight="1" x14ac:dyDescent="0.2">
      <c r="A12" s="396">
        <v>2004</v>
      </c>
      <c r="B12" s="392">
        <v>25.7</v>
      </c>
      <c r="C12" s="392">
        <v>1.2</v>
      </c>
      <c r="D12" s="392">
        <v>25.9</v>
      </c>
      <c r="E12" s="392">
        <v>21.1</v>
      </c>
      <c r="F12" s="392">
        <v>26.1</v>
      </c>
      <c r="G12" s="393">
        <f t="shared" si="0"/>
        <v>100</v>
      </c>
      <c r="H12" s="394"/>
      <c r="I12" s="109"/>
    </row>
    <row r="13" spans="1:13" ht="18" customHeight="1" x14ac:dyDescent="0.2">
      <c r="A13" s="396">
        <v>2005</v>
      </c>
      <c r="B13" s="392">
        <v>51.4</v>
      </c>
      <c r="C13" s="392">
        <v>1</v>
      </c>
      <c r="D13" s="392">
        <v>14.2</v>
      </c>
      <c r="E13" s="392">
        <v>19.399999999999999</v>
      </c>
      <c r="F13" s="392">
        <v>14</v>
      </c>
      <c r="G13" s="393">
        <f t="shared" si="0"/>
        <v>100</v>
      </c>
      <c r="H13" s="394"/>
      <c r="I13" s="109"/>
    </row>
    <row r="14" spans="1:13" ht="18" customHeight="1" x14ac:dyDescent="0.2">
      <c r="A14" s="396">
        <v>2006</v>
      </c>
      <c r="B14" s="392">
        <v>48.9</v>
      </c>
      <c r="C14" s="392">
        <v>2.5</v>
      </c>
      <c r="D14" s="392">
        <v>24.1</v>
      </c>
      <c r="E14" s="392">
        <v>11.6</v>
      </c>
      <c r="F14" s="392">
        <v>12.9</v>
      </c>
      <c r="G14" s="393">
        <f t="shared" si="0"/>
        <v>100</v>
      </c>
      <c r="H14" s="394"/>
      <c r="I14" s="109"/>
    </row>
    <row r="15" spans="1:13" ht="18" customHeight="1" x14ac:dyDescent="0.2">
      <c r="A15" s="397" t="s">
        <v>303</v>
      </c>
      <c r="B15" s="398">
        <v>45.2</v>
      </c>
      <c r="C15" s="398">
        <v>3.3</v>
      </c>
      <c r="D15" s="398">
        <v>21.1</v>
      </c>
      <c r="E15" s="392">
        <v>16.8</v>
      </c>
      <c r="F15" s="398">
        <v>13.6</v>
      </c>
      <c r="G15" s="393">
        <f t="shared" si="0"/>
        <v>99.999999999999986</v>
      </c>
      <c r="H15" s="394"/>
      <c r="I15" s="109"/>
    </row>
    <row r="16" spans="1:13" ht="18" customHeight="1" x14ac:dyDescent="0.2">
      <c r="A16" s="397" t="s">
        <v>304</v>
      </c>
      <c r="B16" s="398">
        <v>29.7</v>
      </c>
      <c r="C16" s="398">
        <v>4.2</v>
      </c>
      <c r="D16" s="398">
        <v>23.200000000000003</v>
      </c>
      <c r="E16" s="392">
        <v>25.8</v>
      </c>
      <c r="F16" s="398">
        <v>17.100000000000001</v>
      </c>
      <c r="G16" s="399">
        <f t="shared" si="0"/>
        <v>100</v>
      </c>
    </row>
    <row r="17" spans="1:8" ht="18" customHeight="1" x14ac:dyDescent="0.2">
      <c r="A17" s="397" t="s">
        <v>305</v>
      </c>
      <c r="B17" s="398">
        <v>28.199999999999996</v>
      </c>
      <c r="C17" s="398">
        <v>5.0999999999999996</v>
      </c>
      <c r="D17" s="398">
        <v>20.2</v>
      </c>
      <c r="E17" s="392">
        <v>25.4</v>
      </c>
      <c r="F17" s="398">
        <v>21.1</v>
      </c>
      <c r="G17" s="399">
        <f t="shared" si="0"/>
        <v>100</v>
      </c>
    </row>
    <row r="18" spans="1:8" ht="18" customHeight="1" x14ac:dyDescent="0.2">
      <c r="A18" s="397" t="s">
        <v>306</v>
      </c>
      <c r="B18" s="398">
        <v>40.700000000000003</v>
      </c>
      <c r="C18" s="398">
        <v>2.9</v>
      </c>
      <c r="D18" s="398">
        <v>23</v>
      </c>
      <c r="E18" s="400">
        <v>8</v>
      </c>
      <c r="F18" s="398">
        <v>25.4</v>
      </c>
      <c r="G18" s="401">
        <f t="shared" si="0"/>
        <v>100</v>
      </c>
      <c r="H18" s="374"/>
    </row>
    <row r="19" spans="1:8" ht="18" customHeight="1" x14ac:dyDescent="0.2">
      <c r="A19" s="397" t="s">
        <v>307</v>
      </c>
      <c r="B19" s="398">
        <v>38.430000000000007</v>
      </c>
      <c r="C19" s="398">
        <v>2.29</v>
      </c>
      <c r="D19" s="398">
        <v>19.72</v>
      </c>
      <c r="E19" s="392">
        <v>15.9</v>
      </c>
      <c r="F19" s="398">
        <v>23.640000000000004</v>
      </c>
      <c r="G19" s="399">
        <f t="shared" si="0"/>
        <v>99.98</v>
      </c>
    </row>
    <row r="20" spans="1:8" ht="18" customHeight="1" x14ac:dyDescent="0.2">
      <c r="A20" s="397" t="s">
        <v>308</v>
      </c>
      <c r="B20" s="398">
        <v>40.61</v>
      </c>
      <c r="C20" s="398">
        <v>1.0699999999999998</v>
      </c>
      <c r="D20" s="398">
        <v>33.42</v>
      </c>
      <c r="E20" s="392">
        <v>2.57</v>
      </c>
      <c r="F20" s="398">
        <v>22.279999999999998</v>
      </c>
      <c r="G20" s="399">
        <f t="shared" si="0"/>
        <v>99.949999999999989</v>
      </c>
    </row>
    <row r="21" spans="1:8" ht="18" customHeight="1" x14ac:dyDescent="0.2">
      <c r="A21" s="397" t="s">
        <v>309</v>
      </c>
      <c r="B21" s="398">
        <v>41.839999999999996</v>
      </c>
      <c r="C21" s="398">
        <v>0.75</v>
      </c>
      <c r="D21" s="398">
        <v>27.580000000000002</v>
      </c>
      <c r="E21" s="392">
        <v>0.9</v>
      </c>
      <c r="F21" s="398">
        <v>28.9</v>
      </c>
      <c r="G21" s="399">
        <f t="shared" si="0"/>
        <v>99.97</v>
      </c>
    </row>
    <row r="22" spans="1:8" ht="18" customHeight="1" x14ac:dyDescent="0.2">
      <c r="A22" s="397" t="s">
        <v>310</v>
      </c>
      <c r="B22" s="398">
        <v>37.9</v>
      </c>
      <c r="C22" s="398">
        <v>0.34</v>
      </c>
      <c r="D22" s="398">
        <v>30.9</v>
      </c>
      <c r="E22" s="400">
        <v>1.74</v>
      </c>
      <c r="F22" s="398">
        <v>29.1</v>
      </c>
      <c r="G22" s="401">
        <f t="shared" si="0"/>
        <v>99.97999999999999</v>
      </c>
    </row>
    <row r="23" spans="1:8" ht="18" customHeight="1" thickBot="1" x14ac:dyDescent="0.25">
      <c r="A23" s="397" t="s">
        <v>311</v>
      </c>
      <c r="B23" s="398">
        <f>+'[3]2'!E8</f>
        <v>47.930000000000007</v>
      </c>
      <c r="C23" s="398">
        <f>+'[3]2'!E16</f>
        <v>1.1000000000000001</v>
      </c>
      <c r="D23" s="398">
        <f>+'[3]2'!E22+'[3]2'!E27</f>
        <v>17.47</v>
      </c>
      <c r="E23" s="392">
        <f>+'[3]2'!E30</f>
        <v>4.25</v>
      </c>
      <c r="F23" s="398">
        <v>29.2</v>
      </c>
      <c r="G23" s="401">
        <f t="shared" si="0"/>
        <v>99.95</v>
      </c>
    </row>
    <row r="24" spans="1:8" x14ac:dyDescent="0.2">
      <c r="A24" s="1206" t="s">
        <v>312</v>
      </c>
      <c r="B24" s="1206"/>
      <c r="C24" s="1206"/>
      <c r="D24" s="1206"/>
      <c r="E24" s="1206"/>
      <c r="F24" s="1206"/>
      <c r="G24" s="1206"/>
    </row>
    <row r="25" spans="1:8" ht="14.25" customHeight="1" x14ac:dyDescent="0.2">
      <c r="A25" s="1207" t="s">
        <v>313</v>
      </c>
      <c r="B25" s="1208"/>
      <c r="C25" s="1208"/>
      <c r="D25" s="1208"/>
      <c r="E25" s="1208"/>
      <c r="F25" s="1208"/>
      <c r="G25" s="1208"/>
    </row>
    <row r="26" spans="1:8" ht="14.25" customHeight="1" x14ac:dyDescent="0.2">
      <c r="A26" s="177"/>
      <c r="B26" s="177"/>
      <c r="C26" s="177"/>
      <c r="D26" s="177"/>
      <c r="E26" s="177"/>
      <c r="F26" s="177"/>
      <c r="G26" s="177"/>
    </row>
    <row r="27" spans="1:8" x14ac:dyDescent="0.2">
      <c r="A27" s="94"/>
    </row>
  </sheetData>
  <sheetProtection password="9C8D" sheet="1" objects="1" scenarios="1"/>
  <mergeCells count="7">
    <mergeCell ref="H6:M7"/>
    <mergeCell ref="A24:G24"/>
    <mergeCell ref="A25:G25"/>
    <mergeCell ref="A1:G1"/>
    <mergeCell ref="A2:G2"/>
    <mergeCell ref="A3:G3"/>
    <mergeCell ref="A4:G4"/>
  </mergeCells>
  <pageMargins left="0.78740157499999996" right="0.78740157499999996" top="0.984251969" bottom="0.984251969" header="0.49212598499999999" footer="0.49212598499999999"/>
  <pageSetup paperSize="9" orientation="landscape"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indowProtection="1" zoomScale="85" zoomScaleNormal="85" workbookViewId="0">
      <selection activeCell="A36" sqref="A36"/>
    </sheetView>
  </sheetViews>
  <sheetFormatPr defaultRowHeight="15" x14ac:dyDescent="0.25"/>
  <cols>
    <col min="1" max="1" width="10.5703125" style="734" customWidth="1"/>
    <col min="2" max="2" width="77.140625" style="734" bestFit="1" customWidth="1"/>
    <col min="3" max="3" width="7.28515625" style="734" customWidth="1"/>
    <col min="4" max="4" width="7.7109375" style="760" bestFit="1" customWidth="1"/>
    <col min="5" max="5" width="10.5703125" style="754" bestFit="1" customWidth="1"/>
    <col min="6" max="6" width="7" style="734" bestFit="1" customWidth="1"/>
    <col min="7" max="256" width="9.140625" style="734"/>
    <col min="257" max="257" width="10.5703125" style="734" customWidth="1"/>
    <col min="258" max="258" width="77.140625" style="734" bestFit="1" customWidth="1"/>
    <col min="259" max="259" width="7.28515625" style="734" customWidth="1"/>
    <col min="260" max="260" width="7.7109375" style="734" bestFit="1" customWidth="1"/>
    <col min="261" max="261" width="10.5703125" style="734" bestFit="1" customWidth="1"/>
    <col min="262" max="262" width="7" style="734" bestFit="1" customWidth="1"/>
    <col min="263" max="512" width="9.140625" style="734"/>
    <col min="513" max="513" width="10.5703125" style="734" customWidth="1"/>
    <col min="514" max="514" width="77.140625" style="734" bestFit="1" customWidth="1"/>
    <col min="515" max="515" width="7.28515625" style="734" customWidth="1"/>
    <col min="516" max="516" width="7.7109375" style="734" bestFit="1" customWidth="1"/>
    <col min="517" max="517" width="10.5703125" style="734" bestFit="1" customWidth="1"/>
    <col min="518" max="518" width="7" style="734" bestFit="1" customWidth="1"/>
    <col min="519" max="768" width="9.140625" style="734"/>
    <col min="769" max="769" width="10.5703125" style="734" customWidth="1"/>
    <col min="770" max="770" width="77.140625" style="734" bestFit="1" customWidth="1"/>
    <col min="771" max="771" width="7.28515625" style="734" customWidth="1"/>
    <col min="772" max="772" width="7.7109375" style="734" bestFit="1" customWidth="1"/>
    <col min="773" max="773" width="10.5703125" style="734" bestFit="1" customWidth="1"/>
    <col min="774" max="774" width="7" style="734" bestFit="1" customWidth="1"/>
    <col min="775" max="1024" width="9.140625" style="734"/>
    <col min="1025" max="1025" width="10.5703125" style="734" customWidth="1"/>
    <col min="1026" max="1026" width="77.140625" style="734" bestFit="1" customWidth="1"/>
    <col min="1027" max="1027" width="7.28515625" style="734" customWidth="1"/>
    <col min="1028" max="1028" width="7.7109375" style="734" bestFit="1" customWidth="1"/>
    <col min="1029" max="1029" width="10.5703125" style="734" bestFit="1" customWidth="1"/>
    <col min="1030" max="1030" width="7" style="734" bestFit="1" customWidth="1"/>
    <col min="1031" max="1280" width="9.140625" style="734"/>
    <col min="1281" max="1281" width="10.5703125" style="734" customWidth="1"/>
    <col min="1282" max="1282" width="77.140625" style="734" bestFit="1" customWidth="1"/>
    <col min="1283" max="1283" width="7.28515625" style="734" customWidth="1"/>
    <col min="1284" max="1284" width="7.7109375" style="734" bestFit="1" customWidth="1"/>
    <col min="1285" max="1285" width="10.5703125" style="734" bestFit="1" customWidth="1"/>
    <col min="1286" max="1286" width="7" style="734" bestFit="1" customWidth="1"/>
    <col min="1287" max="1536" width="9.140625" style="734"/>
    <col min="1537" max="1537" width="10.5703125" style="734" customWidth="1"/>
    <col min="1538" max="1538" width="77.140625" style="734" bestFit="1" customWidth="1"/>
    <col min="1539" max="1539" width="7.28515625" style="734" customWidth="1"/>
    <col min="1540" max="1540" width="7.7109375" style="734" bestFit="1" customWidth="1"/>
    <col min="1541" max="1541" width="10.5703125" style="734" bestFit="1" customWidth="1"/>
    <col min="1542" max="1542" width="7" style="734" bestFit="1" customWidth="1"/>
    <col min="1543" max="1792" width="9.140625" style="734"/>
    <col min="1793" max="1793" width="10.5703125" style="734" customWidth="1"/>
    <col min="1794" max="1794" width="77.140625" style="734" bestFit="1" customWidth="1"/>
    <col min="1795" max="1795" width="7.28515625" style="734" customWidth="1"/>
    <col min="1796" max="1796" width="7.7109375" style="734" bestFit="1" customWidth="1"/>
    <col min="1797" max="1797" width="10.5703125" style="734" bestFit="1" customWidth="1"/>
    <col min="1798" max="1798" width="7" style="734" bestFit="1" customWidth="1"/>
    <col min="1799" max="2048" width="9.140625" style="734"/>
    <col min="2049" max="2049" width="10.5703125" style="734" customWidth="1"/>
    <col min="2050" max="2050" width="77.140625" style="734" bestFit="1" customWidth="1"/>
    <col min="2051" max="2051" width="7.28515625" style="734" customWidth="1"/>
    <col min="2052" max="2052" width="7.7109375" style="734" bestFit="1" customWidth="1"/>
    <col min="2053" max="2053" width="10.5703125" style="734" bestFit="1" customWidth="1"/>
    <col min="2054" max="2054" width="7" style="734" bestFit="1" customWidth="1"/>
    <col min="2055" max="2304" width="9.140625" style="734"/>
    <col min="2305" max="2305" width="10.5703125" style="734" customWidth="1"/>
    <col min="2306" max="2306" width="77.140625" style="734" bestFit="1" customWidth="1"/>
    <col min="2307" max="2307" width="7.28515625" style="734" customWidth="1"/>
    <col min="2308" max="2308" width="7.7109375" style="734" bestFit="1" customWidth="1"/>
    <col min="2309" max="2309" width="10.5703125" style="734" bestFit="1" customWidth="1"/>
    <col min="2310" max="2310" width="7" style="734" bestFit="1" customWidth="1"/>
    <col min="2311" max="2560" width="9.140625" style="734"/>
    <col min="2561" max="2561" width="10.5703125" style="734" customWidth="1"/>
    <col min="2562" max="2562" width="77.140625" style="734" bestFit="1" customWidth="1"/>
    <col min="2563" max="2563" width="7.28515625" style="734" customWidth="1"/>
    <col min="2564" max="2564" width="7.7109375" style="734" bestFit="1" customWidth="1"/>
    <col min="2565" max="2565" width="10.5703125" style="734" bestFit="1" customWidth="1"/>
    <col min="2566" max="2566" width="7" style="734" bestFit="1" customWidth="1"/>
    <col min="2567" max="2816" width="9.140625" style="734"/>
    <col min="2817" max="2817" width="10.5703125" style="734" customWidth="1"/>
    <col min="2818" max="2818" width="77.140625" style="734" bestFit="1" customWidth="1"/>
    <col min="2819" max="2819" width="7.28515625" style="734" customWidth="1"/>
    <col min="2820" max="2820" width="7.7109375" style="734" bestFit="1" customWidth="1"/>
    <col min="2821" max="2821" width="10.5703125" style="734" bestFit="1" customWidth="1"/>
    <col min="2822" max="2822" width="7" style="734" bestFit="1" customWidth="1"/>
    <col min="2823" max="3072" width="9.140625" style="734"/>
    <col min="3073" max="3073" width="10.5703125" style="734" customWidth="1"/>
    <col min="3074" max="3074" width="77.140625" style="734" bestFit="1" customWidth="1"/>
    <col min="3075" max="3075" width="7.28515625" style="734" customWidth="1"/>
    <col min="3076" max="3076" width="7.7109375" style="734" bestFit="1" customWidth="1"/>
    <col min="3077" max="3077" width="10.5703125" style="734" bestFit="1" customWidth="1"/>
    <col min="3078" max="3078" width="7" style="734" bestFit="1" customWidth="1"/>
    <col min="3079" max="3328" width="9.140625" style="734"/>
    <col min="3329" max="3329" width="10.5703125" style="734" customWidth="1"/>
    <col min="3330" max="3330" width="77.140625" style="734" bestFit="1" customWidth="1"/>
    <col min="3331" max="3331" width="7.28515625" style="734" customWidth="1"/>
    <col min="3332" max="3332" width="7.7109375" style="734" bestFit="1" customWidth="1"/>
    <col min="3333" max="3333" width="10.5703125" style="734" bestFit="1" customWidth="1"/>
    <col min="3334" max="3334" width="7" style="734" bestFit="1" customWidth="1"/>
    <col min="3335" max="3584" width="9.140625" style="734"/>
    <col min="3585" max="3585" width="10.5703125" style="734" customWidth="1"/>
    <col min="3586" max="3586" width="77.140625" style="734" bestFit="1" customWidth="1"/>
    <col min="3587" max="3587" width="7.28515625" style="734" customWidth="1"/>
    <col min="3588" max="3588" width="7.7109375" style="734" bestFit="1" customWidth="1"/>
    <col min="3589" max="3589" width="10.5703125" style="734" bestFit="1" customWidth="1"/>
    <col min="3590" max="3590" width="7" style="734" bestFit="1" customWidth="1"/>
    <col min="3591" max="3840" width="9.140625" style="734"/>
    <col min="3841" max="3841" width="10.5703125" style="734" customWidth="1"/>
    <col min="3842" max="3842" width="77.140625" style="734" bestFit="1" customWidth="1"/>
    <col min="3843" max="3843" width="7.28515625" style="734" customWidth="1"/>
    <col min="3844" max="3844" width="7.7109375" style="734" bestFit="1" customWidth="1"/>
    <col min="3845" max="3845" width="10.5703125" style="734" bestFit="1" customWidth="1"/>
    <col min="3846" max="3846" width="7" style="734" bestFit="1" customWidth="1"/>
    <col min="3847" max="4096" width="9.140625" style="734"/>
    <col min="4097" max="4097" width="10.5703125" style="734" customWidth="1"/>
    <col min="4098" max="4098" width="77.140625" style="734" bestFit="1" customWidth="1"/>
    <col min="4099" max="4099" width="7.28515625" style="734" customWidth="1"/>
    <col min="4100" max="4100" width="7.7109375" style="734" bestFit="1" customWidth="1"/>
    <col min="4101" max="4101" width="10.5703125" style="734" bestFit="1" customWidth="1"/>
    <col min="4102" max="4102" width="7" style="734" bestFit="1" customWidth="1"/>
    <col min="4103" max="4352" width="9.140625" style="734"/>
    <col min="4353" max="4353" width="10.5703125" style="734" customWidth="1"/>
    <col min="4354" max="4354" width="77.140625" style="734" bestFit="1" customWidth="1"/>
    <col min="4355" max="4355" width="7.28515625" style="734" customWidth="1"/>
    <col min="4356" max="4356" width="7.7109375" style="734" bestFit="1" customWidth="1"/>
    <col min="4357" max="4357" width="10.5703125" style="734" bestFit="1" customWidth="1"/>
    <col min="4358" max="4358" width="7" style="734" bestFit="1" customWidth="1"/>
    <col min="4359" max="4608" width="9.140625" style="734"/>
    <col min="4609" max="4609" width="10.5703125" style="734" customWidth="1"/>
    <col min="4610" max="4610" width="77.140625" style="734" bestFit="1" customWidth="1"/>
    <col min="4611" max="4611" width="7.28515625" style="734" customWidth="1"/>
    <col min="4612" max="4612" width="7.7109375" style="734" bestFit="1" customWidth="1"/>
    <col min="4613" max="4613" width="10.5703125" style="734" bestFit="1" customWidth="1"/>
    <col min="4614" max="4614" width="7" style="734" bestFit="1" customWidth="1"/>
    <col min="4615" max="4864" width="9.140625" style="734"/>
    <col min="4865" max="4865" width="10.5703125" style="734" customWidth="1"/>
    <col min="4866" max="4866" width="77.140625" style="734" bestFit="1" customWidth="1"/>
    <col min="4867" max="4867" width="7.28515625" style="734" customWidth="1"/>
    <col min="4868" max="4868" width="7.7109375" style="734" bestFit="1" customWidth="1"/>
    <col min="4869" max="4869" width="10.5703125" style="734" bestFit="1" customWidth="1"/>
    <col min="4870" max="4870" width="7" style="734" bestFit="1" customWidth="1"/>
    <col min="4871" max="5120" width="9.140625" style="734"/>
    <col min="5121" max="5121" width="10.5703125" style="734" customWidth="1"/>
    <col min="5122" max="5122" width="77.140625" style="734" bestFit="1" customWidth="1"/>
    <col min="5123" max="5123" width="7.28515625" style="734" customWidth="1"/>
    <col min="5124" max="5124" width="7.7109375" style="734" bestFit="1" customWidth="1"/>
    <col min="5125" max="5125" width="10.5703125" style="734" bestFit="1" customWidth="1"/>
    <col min="5126" max="5126" width="7" style="734" bestFit="1" customWidth="1"/>
    <col min="5127" max="5376" width="9.140625" style="734"/>
    <col min="5377" max="5377" width="10.5703125" style="734" customWidth="1"/>
    <col min="5378" max="5378" width="77.140625" style="734" bestFit="1" customWidth="1"/>
    <col min="5379" max="5379" width="7.28515625" style="734" customWidth="1"/>
    <col min="5380" max="5380" width="7.7109375" style="734" bestFit="1" customWidth="1"/>
    <col min="5381" max="5381" width="10.5703125" style="734" bestFit="1" customWidth="1"/>
    <col min="5382" max="5382" width="7" style="734" bestFit="1" customWidth="1"/>
    <col min="5383" max="5632" width="9.140625" style="734"/>
    <col min="5633" max="5633" width="10.5703125" style="734" customWidth="1"/>
    <col min="5634" max="5634" width="77.140625" style="734" bestFit="1" customWidth="1"/>
    <col min="5635" max="5635" width="7.28515625" style="734" customWidth="1"/>
    <col min="5636" max="5636" width="7.7109375" style="734" bestFit="1" customWidth="1"/>
    <col min="5637" max="5637" width="10.5703125" style="734" bestFit="1" customWidth="1"/>
    <col min="5638" max="5638" width="7" style="734" bestFit="1" customWidth="1"/>
    <col min="5639" max="5888" width="9.140625" style="734"/>
    <col min="5889" max="5889" width="10.5703125" style="734" customWidth="1"/>
    <col min="5890" max="5890" width="77.140625" style="734" bestFit="1" customWidth="1"/>
    <col min="5891" max="5891" width="7.28515625" style="734" customWidth="1"/>
    <col min="5892" max="5892" width="7.7109375" style="734" bestFit="1" customWidth="1"/>
    <col min="5893" max="5893" width="10.5703125" style="734" bestFit="1" customWidth="1"/>
    <col min="5894" max="5894" width="7" style="734" bestFit="1" customWidth="1"/>
    <col min="5895" max="6144" width="9.140625" style="734"/>
    <col min="6145" max="6145" width="10.5703125" style="734" customWidth="1"/>
    <col min="6146" max="6146" width="77.140625" style="734" bestFit="1" customWidth="1"/>
    <col min="6147" max="6147" width="7.28515625" style="734" customWidth="1"/>
    <col min="6148" max="6148" width="7.7109375" style="734" bestFit="1" customWidth="1"/>
    <col min="6149" max="6149" width="10.5703125" style="734" bestFit="1" customWidth="1"/>
    <col min="6150" max="6150" width="7" style="734" bestFit="1" customWidth="1"/>
    <col min="6151" max="6400" width="9.140625" style="734"/>
    <col min="6401" max="6401" width="10.5703125" style="734" customWidth="1"/>
    <col min="6402" max="6402" width="77.140625" style="734" bestFit="1" customWidth="1"/>
    <col min="6403" max="6403" width="7.28515625" style="734" customWidth="1"/>
    <col min="6404" max="6404" width="7.7109375" style="734" bestFit="1" customWidth="1"/>
    <col min="6405" max="6405" width="10.5703125" style="734" bestFit="1" customWidth="1"/>
    <col min="6406" max="6406" width="7" style="734" bestFit="1" customWidth="1"/>
    <col min="6407" max="6656" width="9.140625" style="734"/>
    <col min="6657" max="6657" width="10.5703125" style="734" customWidth="1"/>
    <col min="6658" max="6658" width="77.140625" style="734" bestFit="1" customWidth="1"/>
    <col min="6659" max="6659" width="7.28515625" style="734" customWidth="1"/>
    <col min="6660" max="6660" width="7.7109375" style="734" bestFit="1" customWidth="1"/>
    <col min="6661" max="6661" width="10.5703125" style="734" bestFit="1" customWidth="1"/>
    <col min="6662" max="6662" width="7" style="734" bestFit="1" customWidth="1"/>
    <col min="6663" max="6912" width="9.140625" style="734"/>
    <col min="6913" max="6913" width="10.5703125" style="734" customWidth="1"/>
    <col min="6914" max="6914" width="77.140625" style="734" bestFit="1" customWidth="1"/>
    <col min="6915" max="6915" width="7.28515625" style="734" customWidth="1"/>
    <col min="6916" max="6916" width="7.7109375" style="734" bestFit="1" customWidth="1"/>
    <col min="6917" max="6917" width="10.5703125" style="734" bestFit="1" customWidth="1"/>
    <col min="6918" max="6918" width="7" style="734" bestFit="1" customWidth="1"/>
    <col min="6919" max="7168" width="9.140625" style="734"/>
    <col min="7169" max="7169" width="10.5703125" style="734" customWidth="1"/>
    <col min="7170" max="7170" width="77.140625" style="734" bestFit="1" customWidth="1"/>
    <col min="7171" max="7171" width="7.28515625" style="734" customWidth="1"/>
    <col min="7172" max="7172" width="7.7109375" style="734" bestFit="1" customWidth="1"/>
    <col min="7173" max="7173" width="10.5703125" style="734" bestFit="1" customWidth="1"/>
    <col min="7174" max="7174" width="7" style="734" bestFit="1" customWidth="1"/>
    <col min="7175" max="7424" width="9.140625" style="734"/>
    <col min="7425" max="7425" width="10.5703125" style="734" customWidth="1"/>
    <col min="7426" max="7426" width="77.140625" style="734" bestFit="1" customWidth="1"/>
    <col min="7427" max="7427" width="7.28515625" style="734" customWidth="1"/>
    <col min="7428" max="7428" width="7.7109375" style="734" bestFit="1" customWidth="1"/>
    <col min="7429" max="7429" width="10.5703125" style="734" bestFit="1" customWidth="1"/>
    <col min="7430" max="7430" width="7" style="734" bestFit="1" customWidth="1"/>
    <col min="7431" max="7680" width="9.140625" style="734"/>
    <col min="7681" max="7681" width="10.5703125" style="734" customWidth="1"/>
    <col min="7682" max="7682" width="77.140625" style="734" bestFit="1" customWidth="1"/>
    <col min="7683" max="7683" width="7.28515625" style="734" customWidth="1"/>
    <col min="7684" max="7684" width="7.7109375" style="734" bestFit="1" customWidth="1"/>
    <col min="7685" max="7685" width="10.5703125" style="734" bestFit="1" customWidth="1"/>
    <col min="7686" max="7686" width="7" style="734" bestFit="1" customWidth="1"/>
    <col min="7687" max="7936" width="9.140625" style="734"/>
    <col min="7937" max="7937" width="10.5703125" style="734" customWidth="1"/>
    <col min="7938" max="7938" width="77.140625" style="734" bestFit="1" customWidth="1"/>
    <col min="7939" max="7939" width="7.28515625" style="734" customWidth="1"/>
    <col min="7940" max="7940" width="7.7109375" style="734" bestFit="1" customWidth="1"/>
    <col min="7941" max="7941" width="10.5703125" style="734" bestFit="1" customWidth="1"/>
    <col min="7942" max="7942" width="7" style="734" bestFit="1" customWidth="1"/>
    <col min="7943" max="8192" width="9.140625" style="734"/>
    <col min="8193" max="8193" width="10.5703125" style="734" customWidth="1"/>
    <col min="8194" max="8194" width="77.140625" style="734" bestFit="1" customWidth="1"/>
    <col min="8195" max="8195" width="7.28515625" style="734" customWidth="1"/>
    <col min="8196" max="8196" width="7.7109375" style="734" bestFit="1" customWidth="1"/>
    <col min="8197" max="8197" width="10.5703125" style="734" bestFit="1" customWidth="1"/>
    <col min="8198" max="8198" width="7" style="734" bestFit="1" customWidth="1"/>
    <col min="8199" max="8448" width="9.140625" style="734"/>
    <col min="8449" max="8449" width="10.5703125" style="734" customWidth="1"/>
    <col min="8450" max="8450" width="77.140625" style="734" bestFit="1" customWidth="1"/>
    <col min="8451" max="8451" width="7.28515625" style="734" customWidth="1"/>
    <col min="8452" max="8452" width="7.7109375" style="734" bestFit="1" customWidth="1"/>
    <col min="8453" max="8453" width="10.5703125" style="734" bestFit="1" customWidth="1"/>
    <col min="8454" max="8454" width="7" style="734" bestFit="1" customWidth="1"/>
    <col min="8455" max="8704" width="9.140625" style="734"/>
    <col min="8705" max="8705" width="10.5703125" style="734" customWidth="1"/>
    <col min="8706" max="8706" width="77.140625" style="734" bestFit="1" customWidth="1"/>
    <col min="8707" max="8707" width="7.28515625" style="734" customWidth="1"/>
    <col min="8708" max="8708" width="7.7109375" style="734" bestFit="1" customWidth="1"/>
    <col min="8709" max="8709" width="10.5703125" style="734" bestFit="1" customWidth="1"/>
    <col min="8710" max="8710" width="7" style="734" bestFit="1" customWidth="1"/>
    <col min="8711" max="8960" width="9.140625" style="734"/>
    <col min="8961" max="8961" width="10.5703125" style="734" customWidth="1"/>
    <col min="8962" max="8962" width="77.140625" style="734" bestFit="1" customWidth="1"/>
    <col min="8963" max="8963" width="7.28515625" style="734" customWidth="1"/>
    <col min="8964" max="8964" width="7.7109375" style="734" bestFit="1" customWidth="1"/>
    <col min="8965" max="8965" width="10.5703125" style="734" bestFit="1" customWidth="1"/>
    <col min="8966" max="8966" width="7" style="734" bestFit="1" customWidth="1"/>
    <col min="8967" max="9216" width="9.140625" style="734"/>
    <col min="9217" max="9217" width="10.5703125" style="734" customWidth="1"/>
    <col min="9218" max="9218" width="77.140625" style="734" bestFit="1" customWidth="1"/>
    <col min="9219" max="9219" width="7.28515625" style="734" customWidth="1"/>
    <col min="9220" max="9220" width="7.7109375" style="734" bestFit="1" customWidth="1"/>
    <col min="9221" max="9221" width="10.5703125" style="734" bestFit="1" customWidth="1"/>
    <col min="9222" max="9222" width="7" style="734" bestFit="1" customWidth="1"/>
    <col min="9223" max="9472" width="9.140625" style="734"/>
    <col min="9473" max="9473" width="10.5703125" style="734" customWidth="1"/>
    <col min="9474" max="9474" width="77.140625" style="734" bestFit="1" customWidth="1"/>
    <col min="9475" max="9475" width="7.28515625" style="734" customWidth="1"/>
    <col min="9476" max="9476" width="7.7109375" style="734" bestFit="1" customWidth="1"/>
    <col min="9477" max="9477" width="10.5703125" style="734" bestFit="1" customWidth="1"/>
    <col min="9478" max="9478" width="7" style="734" bestFit="1" customWidth="1"/>
    <col min="9479" max="9728" width="9.140625" style="734"/>
    <col min="9729" max="9729" width="10.5703125" style="734" customWidth="1"/>
    <col min="9730" max="9730" width="77.140625" style="734" bestFit="1" customWidth="1"/>
    <col min="9731" max="9731" width="7.28515625" style="734" customWidth="1"/>
    <col min="9732" max="9732" width="7.7109375" style="734" bestFit="1" customWidth="1"/>
    <col min="9733" max="9733" width="10.5703125" style="734" bestFit="1" customWidth="1"/>
    <col min="9734" max="9734" width="7" style="734" bestFit="1" customWidth="1"/>
    <col min="9735" max="9984" width="9.140625" style="734"/>
    <col min="9985" max="9985" width="10.5703125" style="734" customWidth="1"/>
    <col min="9986" max="9986" width="77.140625" style="734" bestFit="1" customWidth="1"/>
    <col min="9987" max="9987" width="7.28515625" style="734" customWidth="1"/>
    <col min="9988" max="9988" width="7.7109375" style="734" bestFit="1" customWidth="1"/>
    <col min="9989" max="9989" width="10.5703125" style="734" bestFit="1" customWidth="1"/>
    <col min="9990" max="9990" width="7" style="734" bestFit="1" customWidth="1"/>
    <col min="9991" max="10240" width="9.140625" style="734"/>
    <col min="10241" max="10241" width="10.5703125" style="734" customWidth="1"/>
    <col min="10242" max="10242" width="77.140625" style="734" bestFit="1" customWidth="1"/>
    <col min="10243" max="10243" width="7.28515625" style="734" customWidth="1"/>
    <col min="10244" max="10244" width="7.7109375" style="734" bestFit="1" customWidth="1"/>
    <col min="10245" max="10245" width="10.5703125" style="734" bestFit="1" customWidth="1"/>
    <col min="10246" max="10246" width="7" style="734" bestFit="1" customWidth="1"/>
    <col min="10247" max="10496" width="9.140625" style="734"/>
    <col min="10497" max="10497" width="10.5703125" style="734" customWidth="1"/>
    <col min="10498" max="10498" width="77.140625" style="734" bestFit="1" customWidth="1"/>
    <col min="10499" max="10499" width="7.28515625" style="734" customWidth="1"/>
    <col min="10500" max="10500" width="7.7109375" style="734" bestFit="1" customWidth="1"/>
    <col min="10501" max="10501" width="10.5703125" style="734" bestFit="1" customWidth="1"/>
    <col min="10502" max="10502" width="7" style="734" bestFit="1" customWidth="1"/>
    <col min="10503" max="10752" width="9.140625" style="734"/>
    <col min="10753" max="10753" width="10.5703125" style="734" customWidth="1"/>
    <col min="10754" max="10754" width="77.140625" style="734" bestFit="1" customWidth="1"/>
    <col min="10755" max="10755" width="7.28515625" style="734" customWidth="1"/>
    <col min="10756" max="10756" width="7.7109375" style="734" bestFit="1" customWidth="1"/>
    <col min="10757" max="10757" width="10.5703125" style="734" bestFit="1" customWidth="1"/>
    <col min="10758" max="10758" width="7" style="734" bestFit="1" customWidth="1"/>
    <col min="10759" max="11008" width="9.140625" style="734"/>
    <col min="11009" max="11009" width="10.5703125" style="734" customWidth="1"/>
    <col min="11010" max="11010" width="77.140625" style="734" bestFit="1" customWidth="1"/>
    <col min="11011" max="11011" width="7.28515625" style="734" customWidth="1"/>
    <col min="11012" max="11012" width="7.7109375" style="734" bestFit="1" customWidth="1"/>
    <col min="11013" max="11013" width="10.5703125" style="734" bestFit="1" customWidth="1"/>
    <col min="11014" max="11014" width="7" style="734" bestFit="1" customWidth="1"/>
    <col min="11015" max="11264" width="9.140625" style="734"/>
    <col min="11265" max="11265" width="10.5703125" style="734" customWidth="1"/>
    <col min="11266" max="11266" width="77.140625" style="734" bestFit="1" customWidth="1"/>
    <col min="11267" max="11267" width="7.28515625" style="734" customWidth="1"/>
    <col min="11268" max="11268" width="7.7109375" style="734" bestFit="1" customWidth="1"/>
    <col min="11269" max="11269" width="10.5703125" style="734" bestFit="1" customWidth="1"/>
    <col min="11270" max="11270" width="7" style="734" bestFit="1" customWidth="1"/>
    <col min="11271" max="11520" width="9.140625" style="734"/>
    <col min="11521" max="11521" width="10.5703125" style="734" customWidth="1"/>
    <col min="11522" max="11522" width="77.140625" style="734" bestFit="1" customWidth="1"/>
    <col min="11523" max="11523" width="7.28515625" style="734" customWidth="1"/>
    <col min="11524" max="11524" width="7.7109375" style="734" bestFit="1" customWidth="1"/>
    <col min="11525" max="11525" width="10.5703125" style="734" bestFit="1" customWidth="1"/>
    <col min="11526" max="11526" width="7" style="734" bestFit="1" customWidth="1"/>
    <col min="11527" max="11776" width="9.140625" style="734"/>
    <col min="11777" max="11777" width="10.5703125" style="734" customWidth="1"/>
    <col min="11778" max="11778" width="77.140625" style="734" bestFit="1" customWidth="1"/>
    <col min="11779" max="11779" width="7.28515625" style="734" customWidth="1"/>
    <col min="11780" max="11780" width="7.7109375" style="734" bestFit="1" customWidth="1"/>
    <col min="11781" max="11781" width="10.5703125" style="734" bestFit="1" customWidth="1"/>
    <col min="11782" max="11782" width="7" style="734" bestFit="1" customWidth="1"/>
    <col min="11783" max="12032" width="9.140625" style="734"/>
    <col min="12033" max="12033" width="10.5703125" style="734" customWidth="1"/>
    <col min="12034" max="12034" width="77.140625" style="734" bestFit="1" customWidth="1"/>
    <col min="12035" max="12035" width="7.28515625" style="734" customWidth="1"/>
    <col min="12036" max="12036" width="7.7109375" style="734" bestFit="1" customWidth="1"/>
    <col min="12037" max="12037" width="10.5703125" style="734" bestFit="1" customWidth="1"/>
    <col min="12038" max="12038" width="7" style="734" bestFit="1" customWidth="1"/>
    <col min="12039" max="12288" width="9.140625" style="734"/>
    <col min="12289" max="12289" width="10.5703125" style="734" customWidth="1"/>
    <col min="12290" max="12290" width="77.140625" style="734" bestFit="1" customWidth="1"/>
    <col min="12291" max="12291" width="7.28515625" style="734" customWidth="1"/>
    <col min="12292" max="12292" width="7.7109375" style="734" bestFit="1" customWidth="1"/>
    <col min="12293" max="12293" width="10.5703125" style="734" bestFit="1" customWidth="1"/>
    <col min="12294" max="12294" width="7" style="734" bestFit="1" customWidth="1"/>
    <col min="12295" max="12544" width="9.140625" style="734"/>
    <col min="12545" max="12545" width="10.5703125" style="734" customWidth="1"/>
    <col min="12546" max="12546" width="77.140625" style="734" bestFit="1" customWidth="1"/>
    <col min="12547" max="12547" width="7.28515625" style="734" customWidth="1"/>
    <col min="12548" max="12548" width="7.7109375" style="734" bestFit="1" customWidth="1"/>
    <col min="12549" max="12549" width="10.5703125" style="734" bestFit="1" customWidth="1"/>
    <col min="12550" max="12550" width="7" style="734" bestFit="1" customWidth="1"/>
    <col min="12551" max="12800" width="9.140625" style="734"/>
    <col min="12801" max="12801" width="10.5703125" style="734" customWidth="1"/>
    <col min="12802" max="12802" width="77.140625" style="734" bestFit="1" customWidth="1"/>
    <col min="12803" max="12803" width="7.28515625" style="734" customWidth="1"/>
    <col min="12804" max="12804" width="7.7109375" style="734" bestFit="1" customWidth="1"/>
    <col min="12805" max="12805" width="10.5703125" style="734" bestFit="1" customWidth="1"/>
    <col min="12806" max="12806" width="7" style="734" bestFit="1" customWidth="1"/>
    <col min="12807" max="13056" width="9.140625" style="734"/>
    <col min="13057" max="13057" width="10.5703125" style="734" customWidth="1"/>
    <col min="13058" max="13058" width="77.140625" style="734" bestFit="1" customWidth="1"/>
    <col min="13059" max="13059" width="7.28515625" style="734" customWidth="1"/>
    <col min="13060" max="13060" width="7.7109375" style="734" bestFit="1" customWidth="1"/>
    <col min="13061" max="13061" width="10.5703125" style="734" bestFit="1" customWidth="1"/>
    <col min="13062" max="13062" width="7" style="734" bestFit="1" customWidth="1"/>
    <col min="13063" max="13312" width="9.140625" style="734"/>
    <col min="13313" max="13313" width="10.5703125" style="734" customWidth="1"/>
    <col min="13314" max="13314" width="77.140625" style="734" bestFit="1" customWidth="1"/>
    <col min="13315" max="13315" width="7.28515625" style="734" customWidth="1"/>
    <col min="13316" max="13316" width="7.7109375" style="734" bestFit="1" customWidth="1"/>
    <col min="13317" max="13317" width="10.5703125" style="734" bestFit="1" customWidth="1"/>
    <col min="13318" max="13318" width="7" style="734" bestFit="1" customWidth="1"/>
    <col min="13319" max="13568" width="9.140625" style="734"/>
    <col min="13569" max="13569" width="10.5703125" style="734" customWidth="1"/>
    <col min="13570" max="13570" width="77.140625" style="734" bestFit="1" customWidth="1"/>
    <col min="13571" max="13571" width="7.28515625" style="734" customWidth="1"/>
    <col min="13572" max="13572" width="7.7109375" style="734" bestFit="1" customWidth="1"/>
    <col min="13573" max="13573" width="10.5703125" style="734" bestFit="1" customWidth="1"/>
    <col min="13574" max="13574" width="7" style="734" bestFit="1" customWidth="1"/>
    <col min="13575" max="13824" width="9.140625" style="734"/>
    <col min="13825" max="13825" width="10.5703125" style="734" customWidth="1"/>
    <col min="13826" max="13826" width="77.140625" style="734" bestFit="1" customWidth="1"/>
    <col min="13827" max="13827" width="7.28515625" style="734" customWidth="1"/>
    <col min="13828" max="13828" width="7.7109375" style="734" bestFit="1" customWidth="1"/>
    <col min="13829" max="13829" width="10.5703125" style="734" bestFit="1" customWidth="1"/>
    <col min="13830" max="13830" width="7" style="734" bestFit="1" customWidth="1"/>
    <col min="13831" max="14080" width="9.140625" style="734"/>
    <col min="14081" max="14081" width="10.5703125" style="734" customWidth="1"/>
    <col min="14082" max="14082" width="77.140625" style="734" bestFit="1" customWidth="1"/>
    <col min="14083" max="14083" width="7.28515625" style="734" customWidth="1"/>
    <col min="14084" max="14084" width="7.7109375" style="734" bestFit="1" customWidth="1"/>
    <col min="14085" max="14085" width="10.5703125" style="734" bestFit="1" customWidth="1"/>
    <col min="14086" max="14086" width="7" style="734" bestFit="1" customWidth="1"/>
    <col min="14087" max="14336" width="9.140625" style="734"/>
    <col min="14337" max="14337" width="10.5703125" style="734" customWidth="1"/>
    <col min="14338" max="14338" width="77.140625" style="734" bestFit="1" customWidth="1"/>
    <col min="14339" max="14339" width="7.28515625" style="734" customWidth="1"/>
    <col min="14340" max="14340" width="7.7109375" style="734" bestFit="1" customWidth="1"/>
    <col min="14341" max="14341" width="10.5703125" style="734" bestFit="1" customWidth="1"/>
    <col min="14342" max="14342" width="7" style="734" bestFit="1" customWidth="1"/>
    <col min="14343" max="14592" width="9.140625" style="734"/>
    <col min="14593" max="14593" width="10.5703125" style="734" customWidth="1"/>
    <col min="14594" max="14594" width="77.140625" style="734" bestFit="1" customWidth="1"/>
    <col min="14595" max="14595" width="7.28515625" style="734" customWidth="1"/>
    <col min="14596" max="14596" width="7.7109375" style="734" bestFit="1" customWidth="1"/>
    <col min="14597" max="14597" width="10.5703125" style="734" bestFit="1" customWidth="1"/>
    <col min="14598" max="14598" width="7" style="734" bestFit="1" customWidth="1"/>
    <col min="14599" max="14848" width="9.140625" style="734"/>
    <col min="14849" max="14849" width="10.5703125" style="734" customWidth="1"/>
    <col min="14850" max="14850" width="77.140625" style="734" bestFit="1" customWidth="1"/>
    <col min="14851" max="14851" width="7.28515625" style="734" customWidth="1"/>
    <col min="14852" max="14852" width="7.7109375" style="734" bestFit="1" customWidth="1"/>
    <col min="14853" max="14853" width="10.5703125" style="734" bestFit="1" customWidth="1"/>
    <col min="14854" max="14854" width="7" style="734" bestFit="1" customWidth="1"/>
    <col min="14855" max="15104" width="9.140625" style="734"/>
    <col min="15105" max="15105" width="10.5703125" style="734" customWidth="1"/>
    <col min="15106" max="15106" width="77.140625" style="734" bestFit="1" customWidth="1"/>
    <col min="15107" max="15107" width="7.28515625" style="734" customWidth="1"/>
    <col min="15108" max="15108" width="7.7109375" style="734" bestFit="1" customWidth="1"/>
    <col min="15109" max="15109" width="10.5703125" style="734" bestFit="1" customWidth="1"/>
    <col min="15110" max="15110" width="7" style="734" bestFit="1" customWidth="1"/>
    <col min="15111" max="15360" width="9.140625" style="734"/>
    <col min="15361" max="15361" width="10.5703125" style="734" customWidth="1"/>
    <col min="15362" max="15362" width="77.140625" style="734" bestFit="1" customWidth="1"/>
    <col min="15363" max="15363" width="7.28515625" style="734" customWidth="1"/>
    <col min="15364" max="15364" width="7.7109375" style="734" bestFit="1" customWidth="1"/>
    <col min="15365" max="15365" width="10.5703125" style="734" bestFit="1" customWidth="1"/>
    <col min="15366" max="15366" width="7" style="734" bestFit="1" customWidth="1"/>
    <col min="15367" max="15616" width="9.140625" style="734"/>
    <col min="15617" max="15617" width="10.5703125" style="734" customWidth="1"/>
    <col min="15618" max="15618" width="77.140625" style="734" bestFit="1" customWidth="1"/>
    <col min="15619" max="15619" width="7.28515625" style="734" customWidth="1"/>
    <col min="15620" max="15620" width="7.7109375" style="734" bestFit="1" customWidth="1"/>
    <col min="15621" max="15621" width="10.5703125" style="734" bestFit="1" customWidth="1"/>
    <col min="15622" max="15622" width="7" style="734" bestFit="1" customWidth="1"/>
    <col min="15623" max="15872" width="9.140625" style="734"/>
    <col min="15873" max="15873" width="10.5703125" style="734" customWidth="1"/>
    <col min="15874" max="15874" width="77.140625" style="734" bestFit="1" customWidth="1"/>
    <col min="15875" max="15875" width="7.28515625" style="734" customWidth="1"/>
    <col min="15876" max="15876" width="7.7109375" style="734" bestFit="1" customWidth="1"/>
    <col min="15877" max="15877" width="10.5703125" style="734" bestFit="1" customWidth="1"/>
    <col min="15878" max="15878" width="7" style="734" bestFit="1" customWidth="1"/>
    <col min="15879" max="16128" width="9.140625" style="734"/>
    <col min="16129" max="16129" width="10.5703125" style="734" customWidth="1"/>
    <col min="16130" max="16130" width="77.140625" style="734" bestFit="1" customWidth="1"/>
    <col min="16131" max="16131" width="7.28515625" style="734" customWidth="1"/>
    <col min="16132" max="16132" width="7.7109375" style="734" bestFit="1" customWidth="1"/>
    <col min="16133" max="16133" width="10.5703125" style="734" bestFit="1" customWidth="1"/>
    <col min="16134" max="16134" width="7" style="734" bestFit="1" customWidth="1"/>
    <col min="16135" max="16384" width="9.140625" style="734"/>
  </cols>
  <sheetData>
    <row r="1" spans="1:6" ht="29.25" customHeight="1" x14ac:dyDescent="0.25">
      <c r="A1" s="1364" t="s">
        <v>1068</v>
      </c>
      <c r="B1" s="1364"/>
      <c r="C1" s="1364"/>
      <c r="D1" s="1364"/>
      <c r="E1" s="1364"/>
      <c r="F1" s="1364"/>
    </row>
    <row r="2" spans="1:6" ht="25.5" x14ac:dyDescent="0.25">
      <c r="A2" s="735" t="s">
        <v>195</v>
      </c>
      <c r="B2" s="735" t="s">
        <v>391</v>
      </c>
      <c r="C2" s="736" t="s">
        <v>632</v>
      </c>
      <c r="D2" s="738" t="s">
        <v>8</v>
      </c>
      <c r="E2" s="737" t="s">
        <v>7</v>
      </c>
      <c r="F2" s="738" t="s">
        <v>8</v>
      </c>
    </row>
    <row r="3" spans="1:6" s="751" customFormat="1" x14ac:dyDescent="0.25">
      <c r="A3" s="751" t="s">
        <v>230</v>
      </c>
      <c r="B3" s="752"/>
      <c r="C3" s="741">
        <f>SUM(C4:C5)</f>
        <v>14</v>
      </c>
      <c r="D3" s="742">
        <f t="shared" ref="D3:D34" si="0">C3/$C$35*100</f>
        <v>6.7961165048543686</v>
      </c>
      <c r="E3" s="741">
        <f>SUM(E4:E5)</f>
        <v>1911.08709</v>
      </c>
      <c r="F3" s="742">
        <f t="shared" ref="F3:F34" si="1">E3/$E$35*100</f>
        <v>1.4065413533781572</v>
      </c>
    </row>
    <row r="4" spans="1:6" x14ac:dyDescent="0.25">
      <c r="B4" s="734" t="s">
        <v>641</v>
      </c>
      <c r="C4" s="753">
        <v>3</v>
      </c>
      <c r="D4" s="747">
        <f t="shared" si="0"/>
        <v>1.4563106796116505</v>
      </c>
      <c r="E4" s="754">
        <v>1215.3082300000001</v>
      </c>
      <c r="F4" s="747">
        <f t="shared" si="1"/>
        <v>0.89445493695204281</v>
      </c>
    </row>
    <row r="5" spans="1:6" x14ac:dyDescent="0.25">
      <c r="B5" s="734" t="s">
        <v>642</v>
      </c>
      <c r="C5" s="753">
        <v>11</v>
      </c>
      <c r="D5" s="747">
        <f t="shared" si="0"/>
        <v>5.3398058252427179</v>
      </c>
      <c r="E5" s="754">
        <v>695.77886000000001</v>
      </c>
      <c r="F5" s="747">
        <f t="shared" si="1"/>
        <v>0.51208641642611452</v>
      </c>
    </row>
    <row r="6" spans="1:6" s="755" customFormat="1" x14ac:dyDescent="0.25">
      <c r="A6" s="755" t="s">
        <v>346</v>
      </c>
      <c r="C6" s="756">
        <f>SUM(C7:C8)</f>
        <v>3</v>
      </c>
      <c r="D6" s="742">
        <f t="shared" si="0"/>
        <v>1.4563106796116505</v>
      </c>
      <c r="E6" s="757">
        <f>SUM(E7:E8)</f>
        <v>7497.4363599999997</v>
      </c>
      <c r="F6" s="742">
        <f t="shared" si="1"/>
        <v>5.5180396224962225</v>
      </c>
    </row>
    <row r="7" spans="1:6" x14ac:dyDescent="0.25">
      <c r="B7" s="734" t="s">
        <v>643</v>
      </c>
      <c r="C7" s="753">
        <v>2</v>
      </c>
      <c r="D7" s="747">
        <f t="shared" si="0"/>
        <v>0.97087378640776689</v>
      </c>
      <c r="E7" s="754">
        <v>432.67935999999997</v>
      </c>
      <c r="F7" s="747">
        <f t="shared" si="1"/>
        <v>0.31844776503262073</v>
      </c>
    </row>
    <row r="8" spans="1:6" x14ac:dyDescent="0.25">
      <c r="B8" s="734" t="s">
        <v>644</v>
      </c>
      <c r="C8" s="753">
        <v>1</v>
      </c>
      <c r="D8" s="747">
        <f t="shared" si="0"/>
        <v>0.48543689320388345</v>
      </c>
      <c r="E8" s="754">
        <v>7064.7569999999996</v>
      </c>
      <c r="F8" s="747">
        <f t="shared" si="1"/>
        <v>5.1995918574636022</v>
      </c>
    </row>
    <row r="9" spans="1:6" s="755" customFormat="1" x14ac:dyDescent="0.25">
      <c r="A9" s="755" t="s">
        <v>235</v>
      </c>
      <c r="C9" s="756">
        <f>SUM(C10:C15)</f>
        <v>27</v>
      </c>
      <c r="D9" s="742">
        <f t="shared" si="0"/>
        <v>13.106796116504855</v>
      </c>
      <c r="E9" s="756">
        <f>SUM(E10:E15)</f>
        <v>20813.94931</v>
      </c>
      <c r="F9" s="742">
        <f t="shared" si="1"/>
        <v>15.318862538928963</v>
      </c>
    </row>
    <row r="10" spans="1:6" x14ac:dyDescent="0.25">
      <c r="B10" s="734" t="s">
        <v>645</v>
      </c>
      <c r="C10" s="753">
        <v>10</v>
      </c>
      <c r="D10" s="747">
        <f t="shared" si="0"/>
        <v>4.8543689320388346</v>
      </c>
      <c r="E10" s="754">
        <v>17305.943800000001</v>
      </c>
      <c r="F10" s="747">
        <f t="shared" si="1"/>
        <v>12.737004891775147</v>
      </c>
    </row>
    <row r="11" spans="1:6" x14ac:dyDescent="0.25">
      <c r="B11" s="734" t="s">
        <v>646</v>
      </c>
      <c r="C11" s="753">
        <v>1</v>
      </c>
      <c r="D11" s="747">
        <f t="shared" si="0"/>
        <v>0.48543689320388345</v>
      </c>
      <c r="E11" s="754">
        <v>112</v>
      </c>
      <c r="F11" s="747">
        <f t="shared" si="1"/>
        <v>8.2430901450102734E-2</v>
      </c>
    </row>
    <row r="12" spans="1:6" x14ac:dyDescent="0.25">
      <c r="B12" s="734" t="s">
        <v>647</v>
      </c>
      <c r="C12" s="753">
        <v>2</v>
      </c>
      <c r="D12" s="747">
        <f t="shared" si="0"/>
        <v>0.97087378640776689</v>
      </c>
      <c r="E12" s="754">
        <v>71.968509999999995</v>
      </c>
      <c r="F12" s="747">
        <f t="shared" si="1"/>
        <v>5.2968117458220831E-2</v>
      </c>
    </row>
    <row r="13" spans="1:6" x14ac:dyDescent="0.25">
      <c r="B13" s="734" t="s">
        <v>648</v>
      </c>
      <c r="C13" s="753">
        <v>11</v>
      </c>
      <c r="D13" s="747">
        <f t="shared" si="0"/>
        <v>5.3398058252427179</v>
      </c>
      <c r="E13" s="754">
        <v>2670.0369999999998</v>
      </c>
      <c r="F13" s="747">
        <f t="shared" si="1"/>
        <v>1.9651210429922139</v>
      </c>
    </row>
    <row r="14" spans="1:6" x14ac:dyDescent="0.25">
      <c r="B14" s="734" t="s">
        <v>649</v>
      </c>
      <c r="C14" s="753">
        <v>2</v>
      </c>
      <c r="D14" s="747">
        <f t="shared" si="0"/>
        <v>0.97087378640776689</v>
      </c>
      <c r="E14" s="754">
        <v>640</v>
      </c>
      <c r="F14" s="747">
        <f t="shared" si="1"/>
        <v>0.47103372257201565</v>
      </c>
    </row>
    <row r="15" spans="1:6" x14ac:dyDescent="0.25">
      <c r="B15" s="734" t="s">
        <v>650</v>
      </c>
      <c r="C15" s="753">
        <v>1</v>
      </c>
      <c r="D15" s="747">
        <f t="shared" si="0"/>
        <v>0.48543689320388345</v>
      </c>
      <c r="E15" s="754">
        <v>14</v>
      </c>
      <c r="F15" s="747">
        <f t="shared" si="1"/>
        <v>1.0303862681262842E-2</v>
      </c>
    </row>
    <row r="16" spans="1:6" s="755" customFormat="1" x14ac:dyDescent="0.25">
      <c r="A16" s="755" t="s">
        <v>236</v>
      </c>
      <c r="C16" s="756">
        <f>SUM(C17:C21)</f>
        <v>100</v>
      </c>
      <c r="D16" s="742">
        <f t="shared" si="0"/>
        <v>48.543689320388353</v>
      </c>
      <c r="E16" s="756">
        <f>SUM(E17:E21)</f>
        <v>25812.964830000001</v>
      </c>
      <c r="F16" s="742">
        <f t="shared" si="1"/>
        <v>18.99808892889909</v>
      </c>
    </row>
    <row r="17" spans="1:6" x14ac:dyDescent="0.25">
      <c r="B17" s="734" t="s">
        <v>651</v>
      </c>
      <c r="C17" s="753">
        <v>7</v>
      </c>
      <c r="D17" s="747">
        <f t="shared" si="0"/>
        <v>3.3980582524271843</v>
      </c>
      <c r="E17" s="754">
        <v>987.17905999999994</v>
      </c>
      <c r="F17" s="747">
        <f t="shared" si="1"/>
        <v>0.7265541054327237</v>
      </c>
    </row>
    <row r="18" spans="1:6" x14ac:dyDescent="0.25">
      <c r="B18" s="734" t="s">
        <v>652</v>
      </c>
      <c r="C18" s="753">
        <v>13</v>
      </c>
      <c r="D18" s="747">
        <f t="shared" si="0"/>
        <v>6.3106796116504853</v>
      </c>
      <c r="E18" s="754">
        <v>2633.5450000000001</v>
      </c>
      <c r="F18" s="747">
        <f t="shared" si="1"/>
        <v>1.9382632889233107</v>
      </c>
    </row>
    <row r="19" spans="1:6" x14ac:dyDescent="0.25">
      <c r="B19" s="734" t="s">
        <v>653</v>
      </c>
      <c r="C19" s="753">
        <v>4</v>
      </c>
      <c r="D19" s="747">
        <f t="shared" si="0"/>
        <v>1.9417475728155338</v>
      </c>
      <c r="E19" s="754">
        <v>3399.9838399999999</v>
      </c>
      <c r="F19" s="747">
        <f t="shared" si="1"/>
        <v>2.5023547575623377</v>
      </c>
    </row>
    <row r="20" spans="1:6" x14ac:dyDescent="0.25">
      <c r="B20" s="734" t="s">
        <v>654</v>
      </c>
      <c r="C20" s="753">
        <v>40</v>
      </c>
      <c r="D20" s="747">
        <f t="shared" si="0"/>
        <v>19.417475728155338</v>
      </c>
      <c r="E20" s="754">
        <v>5391.9805500000011</v>
      </c>
      <c r="F20" s="747">
        <f t="shared" si="1"/>
        <v>3.9684447976600077</v>
      </c>
    </row>
    <row r="21" spans="1:6" x14ac:dyDescent="0.25">
      <c r="B21" s="734" t="s">
        <v>655</v>
      </c>
      <c r="C21" s="753">
        <v>36</v>
      </c>
      <c r="D21" s="747">
        <f t="shared" si="0"/>
        <v>17.475728155339805</v>
      </c>
      <c r="E21" s="754">
        <v>13400.276379999999</v>
      </c>
      <c r="F21" s="747">
        <f t="shared" si="1"/>
        <v>9.8624719793207092</v>
      </c>
    </row>
    <row r="22" spans="1:6" s="755" customFormat="1" x14ac:dyDescent="0.25">
      <c r="A22" s="755" t="s">
        <v>238</v>
      </c>
      <c r="C22" s="756">
        <f>SUM(C23:C28)</f>
        <v>16</v>
      </c>
      <c r="D22" s="742">
        <f t="shared" si="0"/>
        <v>7.7669902912621351</v>
      </c>
      <c r="E22" s="756">
        <f>SUM(E23:E28)</f>
        <v>47108.279850000006</v>
      </c>
      <c r="F22" s="742">
        <f t="shared" si="1"/>
        <v>34.671231908921527</v>
      </c>
    </row>
    <row r="23" spans="1:6" x14ac:dyDescent="0.25">
      <c r="B23" s="734" t="s">
        <v>656</v>
      </c>
      <c r="C23" s="753">
        <v>4</v>
      </c>
      <c r="D23" s="747">
        <f t="shared" si="0"/>
        <v>1.9417475728155338</v>
      </c>
      <c r="E23" s="754">
        <v>28207.68851</v>
      </c>
      <c r="F23" s="747">
        <f t="shared" si="1"/>
        <v>20.760582068776834</v>
      </c>
    </row>
    <row r="24" spans="1:6" x14ac:dyDescent="0.25">
      <c r="B24" s="734" t="s">
        <v>657</v>
      </c>
      <c r="C24" s="753">
        <v>1</v>
      </c>
      <c r="D24" s="747">
        <f t="shared" si="0"/>
        <v>0.48543689320388345</v>
      </c>
      <c r="E24" s="754">
        <v>245</v>
      </c>
      <c r="F24" s="747">
        <f t="shared" si="1"/>
        <v>0.18031759692209975</v>
      </c>
    </row>
    <row r="25" spans="1:6" x14ac:dyDescent="0.25">
      <c r="B25" s="734" t="s">
        <v>658</v>
      </c>
      <c r="C25" s="753">
        <v>3</v>
      </c>
      <c r="D25" s="747">
        <f t="shared" si="0"/>
        <v>1.4563106796116505</v>
      </c>
      <c r="E25" s="754">
        <v>17377.696339999999</v>
      </c>
      <c r="F25" s="747">
        <f t="shared" si="1"/>
        <v>12.789814057431705</v>
      </c>
    </row>
    <row r="26" spans="1:6" x14ac:dyDescent="0.25">
      <c r="B26" s="734" t="s">
        <v>659</v>
      </c>
      <c r="C26" s="753">
        <v>1</v>
      </c>
      <c r="D26" s="747">
        <f t="shared" si="0"/>
        <v>0.48543689320388345</v>
      </c>
      <c r="E26" s="754">
        <v>198</v>
      </c>
      <c r="F26" s="747">
        <f t="shared" si="1"/>
        <v>0.14572605792071736</v>
      </c>
    </row>
    <row r="27" spans="1:6" x14ac:dyDescent="0.25">
      <c r="B27" s="734" t="s">
        <v>660</v>
      </c>
      <c r="C27" s="753">
        <v>2</v>
      </c>
      <c r="D27" s="747">
        <f t="shared" si="0"/>
        <v>0.97087378640776689</v>
      </c>
      <c r="E27" s="754">
        <v>323.495</v>
      </c>
      <c r="F27" s="747">
        <f t="shared" si="1"/>
        <v>0.23808914700536596</v>
      </c>
    </row>
    <row r="28" spans="1:6" x14ac:dyDescent="0.25">
      <c r="B28" s="734" t="s">
        <v>661</v>
      </c>
      <c r="C28" s="753">
        <v>5</v>
      </c>
      <c r="D28" s="747">
        <f t="shared" si="0"/>
        <v>2.4271844660194173</v>
      </c>
      <c r="E28" s="754">
        <v>756.4</v>
      </c>
      <c r="F28" s="747">
        <f t="shared" si="1"/>
        <v>0.55670298086480097</v>
      </c>
    </row>
    <row r="29" spans="1:6" s="755" customFormat="1" x14ac:dyDescent="0.25">
      <c r="A29" s="755" t="s">
        <v>662</v>
      </c>
      <c r="C29" s="756">
        <f>SUM(C30:C31)</f>
        <v>3</v>
      </c>
      <c r="D29" s="742">
        <f t="shared" si="0"/>
        <v>1.4563106796116505</v>
      </c>
      <c r="E29" s="756">
        <f>SUM(E30:E31)</f>
        <v>30336</v>
      </c>
      <c r="F29" s="742">
        <f t="shared" si="1"/>
        <v>22.326998449913539</v>
      </c>
    </row>
    <row r="30" spans="1:6" x14ac:dyDescent="0.25">
      <c r="B30" s="734" t="s">
        <v>663</v>
      </c>
      <c r="C30" s="753">
        <v>2</v>
      </c>
      <c r="D30" s="747">
        <f t="shared" si="0"/>
        <v>0.97087378640776689</v>
      </c>
      <c r="E30" s="754">
        <v>336</v>
      </c>
      <c r="F30" s="747">
        <f t="shared" si="1"/>
        <v>0.2472927043503082</v>
      </c>
    </row>
    <row r="31" spans="1:6" x14ac:dyDescent="0.25">
      <c r="B31" s="734" t="s">
        <v>664</v>
      </c>
      <c r="C31" s="753">
        <v>1</v>
      </c>
      <c r="D31" s="747">
        <f t="shared" si="0"/>
        <v>0.48543689320388345</v>
      </c>
      <c r="E31" s="754">
        <v>30000</v>
      </c>
      <c r="F31" s="747">
        <f t="shared" si="1"/>
        <v>22.079705745563231</v>
      </c>
    </row>
    <row r="32" spans="1:6" s="755" customFormat="1" x14ac:dyDescent="0.25">
      <c r="A32" s="755" t="s">
        <v>239</v>
      </c>
      <c r="C32" s="756">
        <f>SUM(C33:C34)</f>
        <v>43</v>
      </c>
      <c r="D32" s="742">
        <f t="shared" si="0"/>
        <v>20.873786407766989</v>
      </c>
      <c r="E32" s="756">
        <f>SUM(E33:E34)</f>
        <v>2391.6585</v>
      </c>
      <c r="F32" s="742">
        <f t="shared" si="1"/>
        <v>1.7602371974625048</v>
      </c>
    </row>
    <row r="33" spans="1:6" x14ac:dyDescent="0.25">
      <c r="B33" s="734" t="s">
        <v>665</v>
      </c>
      <c r="C33" s="753">
        <v>41</v>
      </c>
      <c r="D33" s="747">
        <f t="shared" si="0"/>
        <v>19.902912621359224</v>
      </c>
      <c r="E33" s="754">
        <v>2350.9085</v>
      </c>
      <c r="F33" s="747">
        <f t="shared" si="1"/>
        <v>1.7302455971581148</v>
      </c>
    </row>
    <row r="34" spans="1:6" x14ac:dyDescent="0.25">
      <c r="B34" s="734" t="s">
        <v>666</v>
      </c>
      <c r="C34" s="753">
        <v>2</v>
      </c>
      <c r="D34" s="747">
        <f t="shared" si="0"/>
        <v>0.97087378640776689</v>
      </c>
      <c r="E34" s="754">
        <v>40.75</v>
      </c>
      <c r="F34" s="747">
        <f t="shared" si="1"/>
        <v>2.9991600304390059E-2</v>
      </c>
    </row>
    <row r="35" spans="1:6" s="739" customFormat="1" x14ac:dyDescent="0.25">
      <c r="A35" s="735"/>
      <c r="B35" s="735" t="s">
        <v>29</v>
      </c>
      <c r="C35" s="758">
        <f>C3+C6+C9+C16+C22+C29+C32</f>
        <v>206</v>
      </c>
      <c r="D35" s="759">
        <f>D3+D6+D9+D16+D22+D29+D32</f>
        <v>100</v>
      </c>
      <c r="E35" s="758">
        <f>E3+E6+E9+E16+E22+E29+E32</f>
        <v>135871.37594</v>
      </c>
      <c r="F35" s="759">
        <f>F3+F6+F9+F16+F22+F29+F32</f>
        <v>99.999999999999986</v>
      </c>
    </row>
    <row r="36" spans="1:6" ht="15" customHeight="1" x14ac:dyDescent="0.25">
      <c r="A36" s="1078" t="s">
        <v>1067</v>
      </c>
      <c r="B36" s="1079"/>
      <c r="C36" s="1079"/>
      <c r="D36" s="1079"/>
      <c r="E36" s="1079"/>
    </row>
    <row r="37" spans="1:6" x14ac:dyDescent="0.25">
      <c r="A37" s="1079"/>
      <c r="B37" s="1079"/>
      <c r="C37" s="1079"/>
      <c r="D37" s="1079"/>
      <c r="E37" s="1079"/>
    </row>
  </sheetData>
  <sheetProtection password="9C8D" sheet="1" objects="1" scenarios="1"/>
  <mergeCells count="1">
    <mergeCell ref="A1:F1"/>
  </mergeCells>
  <pageMargins left="0.511811024" right="0.511811024" top="0.78740157499999996" bottom="0.78740157499999996" header="0.31496062000000002" footer="0.31496062000000002"/>
  <pageSetup paperSize="9" orientation="portrait" verticalDpi="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indowProtection="1" workbookViewId="0">
      <selection activeCell="A2" sqref="A2"/>
    </sheetView>
  </sheetViews>
  <sheetFormatPr defaultRowHeight="12.75" x14ac:dyDescent="0.2"/>
  <cols>
    <col min="1" max="1" width="33.28515625" bestFit="1" customWidth="1"/>
    <col min="2" max="2" width="16.28515625" bestFit="1" customWidth="1"/>
    <col min="4" max="4" width="12.140625" bestFit="1" customWidth="1"/>
  </cols>
  <sheetData>
    <row r="1" spans="1:5" ht="45" customHeight="1" x14ac:dyDescent="0.2">
      <c r="A1" s="1362" t="s">
        <v>1069</v>
      </c>
      <c r="B1" s="1362"/>
      <c r="C1" s="1362"/>
      <c r="D1" s="1362"/>
      <c r="E1" s="1362"/>
    </row>
    <row r="3" spans="1:5" x14ac:dyDescent="0.2">
      <c r="E3" s="761" t="s">
        <v>147</v>
      </c>
    </row>
    <row r="4" spans="1:5" x14ac:dyDescent="0.2">
      <c r="A4" s="728" t="s">
        <v>195</v>
      </c>
      <c r="B4" s="728" t="s">
        <v>5</v>
      </c>
      <c r="C4" s="728" t="s">
        <v>8</v>
      </c>
      <c r="D4" s="728" t="s">
        <v>667</v>
      </c>
      <c r="E4" s="728" t="s">
        <v>8</v>
      </c>
    </row>
    <row r="5" spans="1:5" x14ac:dyDescent="0.2">
      <c r="A5" s="724" t="s">
        <v>668</v>
      </c>
      <c r="B5" s="726">
        <v>2</v>
      </c>
      <c r="C5" s="726">
        <v>1</v>
      </c>
      <c r="D5" s="727">
        <v>21369</v>
      </c>
      <c r="E5" s="726">
        <v>38.5</v>
      </c>
    </row>
    <row r="6" spans="1:5" x14ac:dyDescent="0.2">
      <c r="A6" s="724" t="s">
        <v>669</v>
      </c>
      <c r="B6" s="726">
        <v>198</v>
      </c>
      <c r="C6" s="726">
        <v>99</v>
      </c>
      <c r="D6" s="727">
        <v>34168</v>
      </c>
      <c r="E6" s="726">
        <v>61.5</v>
      </c>
    </row>
    <row r="7" spans="1:5" x14ac:dyDescent="0.2">
      <c r="A7" s="731" t="s">
        <v>29</v>
      </c>
      <c r="B7" s="733">
        <v>200</v>
      </c>
      <c r="C7" s="733">
        <v>100</v>
      </c>
      <c r="D7" s="732">
        <v>55537</v>
      </c>
      <c r="E7" s="733">
        <v>100</v>
      </c>
    </row>
  </sheetData>
  <sheetProtection password="9C8D" sheet="1" objects="1" scenarios="1"/>
  <mergeCells count="1">
    <mergeCell ref="A1:E1"/>
  </mergeCells>
  <pageMargins left="0.511811024" right="0.511811024" top="0.78740157499999996" bottom="0.78740157499999996" header="0.31496062000000002" footer="0.3149606200000000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indowProtection="1" showGridLines="0" workbookViewId="0">
      <selection activeCell="F6" sqref="F6"/>
    </sheetView>
  </sheetViews>
  <sheetFormatPr defaultRowHeight="12.75" x14ac:dyDescent="0.2"/>
  <cols>
    <col min="1" max="1" width="49.7109375" style="271" customWidth="1"/>
    <col min="2" max="2" width="11.85546875" style="271" customWidth="1"/>
    <col min="3" max="3" width="9.140625" style="271"/>
    <col min="4" max="4" width="12.5703125" style="271" customWidth="1"/>
    <col min="5" max="5" width="8" style="271" customWidth="1"/>
    <col min="6" max="6" width="9.140625" style="271"/>
    <col min="7" max="7" width="10.7109375" style="271" customWidth="1"/>
    <col min="8" max="8" width="14" style="271" bestFit="1" customWidth="1"/>
    <col min="9" max="16384" width="9.140625" style="271"/>
  </cols>
  <sheetData>
    <row r="1" spans="1:8" ht="15.75" x14ac:dyDescent="0.25">
      <c r="A1" s="1309" t="s">
        <v>1070</v>
      </c>
      <c r="B1" s="1309"/>
      <c r="C1" s="1309"/>
      <c r="D1" s="1309"/>
      <c r="E1" s="1309"/>
    </row>
    <row r="2" spans="1:8" ht="18" x14ac:dyDescent="0.2">
      <c r="A2" s="1311" t="s">
        <v>194</v>
      </c>
      <c r="B2" s="1311"/>
      <c r="C2" s="1311"/>
      <c r="D2" s="1311"/>
      <c r="E2" s="1311"/>
    </row>
    <row r="3" spans="1:8" ht="15" x14ac:dyDescent="0.2">
      <c r="A3" s="1311" t="str">
        <f>[5]Dados!$A18</f>
        <v>Exercício de 2015</v>
      </c>
      <c r="B3" s="1311"/>
      <c r="C3" s="1311"/>
      <c r="D3" s="1311"/>
      <c r="E3" s="1311"/>
    </row>
    <row r="4" spans="1:8" x14ac:dyDescent="0.2">
      <c r="A4" s="272"/>
      <c r="B4" s="272"/>
      <c r="C4" s="272"/>
      <c r="D4" s="272"/>
      <c r="E4" s="272"/>
    </row>
    <row r="5" spans="1:8" x14ac:dyDescent="0.2">
      <c r="A5" s="1367" t="s">
        <v>1</v>
      </c>
      <c r="B5" s="1367"/>
      <c r="C5" s="1367"/>
      <c r="D5" s="1367"/>
      <c r="E5" s="1367"/>
    </row>
    <row r="6" spans="1:8" ht="25.5" x14ac:dyDescent="0.2">
      <c r="A6" s="273" t="s">
        <v>195</v>
      </c>
      <c r="B6" s="273" t="s">
        <v>189</v>
      </c>
      <c r="C6" s="273" t="s">
        <v>8</v>
      </c>
      <c r="D6" s="273" t="s">
        <v>7</v>
      </c>
      <c r="E6" s="273" t="s">
        <v>8</v>
      </c>
      <c r="F6" s="274"/>
      <c r="G6" s="280"/>
    </row>
    <row r="7" spans="1:8" ht="20.100000000000001" customHeight="1" x14ac:dyDescent="0.2">
      <c r="A7" s="281" t="s">
        <v>196</v>
      </c>
      <c r="B7" s="282">
        <v>4</v>
      </c>
      <c r="C7" s="283">
        <f>ROUND(B7/$B$9*100,1)</f>
        <v>10</v>
      </c>
      <c r="D7" s="282">
        <v>1027</v>
      </c>
      <c r="E7" s="283">
        <f>ROUND(D7/$D$9*100,1)</f>
        <v>4.5</v>
      </c>
      <c r="F7" s="275"/>
      <c r="G7" s="275"/>
      <c r="H7" s="63"/>
    </row>
    <row r="8" spans="1:8" ht="20.100000000000001" customHeight="1" x14ac:dyDescent="0.2">
      <c r="A8" s="281" t="s">
        <v>197</v>
      </c>
      <c r="B8" s="282">
        <v>36</v>
      </c>
      <c r="C8" s="283">
        <f>ROUND(B8/$B$9*100,1)</f>
        <v>90</v>
      </c>
      <c r="D8" s="282">
        <v>22027</v>
      </c>
      <c r="E8" s="283">
        <f>ROUND(D8/$D$9*100,1)</f>
        <v>95.5</v>
      </c>
      <c r="F8" s="275"/>
      <c r="G8" s="275"/>
      <c r="H8" s="63"/>
    </row>
    <row r="9" spans="1:8" ht="20.100000000000001" customHeight="1" x14ac:dyDescent="0.2">
      <c r="A9" s="273" t="s">
        <v>29</v>
      </c>
      <c r="B9" s="226">
        <f>SUM(B7:B8)</f>
        <v>40</v>
      </c>
      <c r="C9" s="267">
        <f>SUM(C7:C8)</f>
        <v>100</v>
      </c>
      <c r="D9" s="226">
        <f>SUM(D7:D8)</f>
        <v>23054</v>
      </c>
      <c r="E9" s="267">
        <f>SUM(E7:E8)</f>
        <v>100</v>
      </c>
      <c r="F9" s="278"/>
      <c r="G9" s="275"/>
      <c r="H9" s="63"/>
    </row>
    <row r="10" spans="1:8" x14ac:dyDescent="0.2">
      <c r="A10" s="1368" t="s">
        <v>185</v>
      </c>
      <c r="B10" s="1368"/>
      <c r="C10" s="1368"/>
      <c r="D10" s="1368"/>
      <c r="E10" s="1368"/>
      <c r="F10" s="277"/>
      <c r="G10" s="275"/>
      <c r="H10" s="277"/>
    </row>
    <row r="11" spans="1:8" x14ac:dyDescent="0.2">
      <c r="A11" s="1365" t="s">
        <v>186</v>
      </c>
      <c r="B11" s="1366"/>
      <c r="C11" s="1366"/>
      <c r="D11" s="1366"/>
      <c r="E11" s="1366"/>
      <c r="F11" s="275"/>
      <c r="G11" s="277"/>
      <c r="H11" s="277"/>
    </row>
    <row r="12" spans="1:8" ht="8.25" customHeight="1" x14ac:dyDescent="0.2">
      <c r="A12" s="1366"/>
      <c r="B12" s="1366"/>
      <c r="C12" s="1366"/>
      <c r="D12" s="1366"/>
      <c r="E12" s="1366"/>
      <c r="F12" s="277"/>
      <c r="G12" s="277"/>
      <c r="H12" s="277"/>
    </row>
    <row r="13" spans="1:8" x14ac:dyDescent="0.2">
      <c r="D13" s="284"/>
      <c r="F13" s="277"/>
      <c r="G13" s="277"/>
      <c r="H13" s="277"/>
    </row>
    <row r="14" spans="1:8" x14ac:dyDescent="0.2">
      <c r="A14" s="276"/>
      <c r="F14" s="275"/>
      <c r="G14" s="277"/>
      <c r="H14" s="277"/>
    </row>
  </sheetData>
  <sheetProtection password="9C8D" sheet="1" objects="1" scenarios="1"/>
  <mergeCells count="6">
    <mergeCell ref="A11:E12"/>
    <mergeCell ref="A1:E1"/>
    <mergeCell ref="A2:E2"/>
    <mergeCell ref="A3:E3"/>
    <mergeCell ref="A5:E5"/>
    <mergeCell ref="A10:E10"/>
  </mergeCells>
  <pageMargins left="0.78740157499999996" right="0.78740157499999996" top="0.984251969" bottom="0.984251969" header="0.49212598499999999" footer="0.49212598499999999"/>
  <pageSetup orientation="portrait" horizontalDpi="4294967293"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indowProtection="1" workbookViewId="0">
      <selection activeCell="B13" sqref="B13"/>
    </sheetView>
  </sheetViews>
  <sheetFormatPr defaultRowHeight="12.75" x14ac:dyDescent="0.2"/>
  <cols>
    <col min="2" max="2" width="25.85546875" customWidth="1"/>
  </cols>
  <sheetData>
    <row r="1" spans="1:5" x14ac:dyDescent="0.2">
      <c r="A1" s="1370" t="s">
        <v>1073</v>
      </c>
      <c r="B1" s="1370"/>
      <c r="C1" s="1370"/>
      <c r="D1" s="1370"/>
      <c r="E1" s="1370"/>
    </row>
    <row r="2" spans="1:5" ht="24.75" customHeight="1" x14ac:dyDescent="0.2">
      <c r="A2" s="1369" t="s">
        <v>1074</v>
      </c>
      <c r="B2" s="1369"/>
      <c r="C2" s="1369"/>
      <c r="D2" s="1369"/>
      <c r="E2" s="1369"/>
    </row>
    <row r="3" spans="1:5" x14ac:dyDescent="0.2">
      <c r="A3" s="1370" t="s">
        <v>1023</v>
      </c>
      <c r="B3" s="1370"/>
      <c r="C3" s="1370"/>
      <c r="D3" s="1370"/>
      <c r="E3" s="1370"/>
    </row>
    <row r="4" spans="1:5" x14ac:dyDescent="0.2">
      <c r="A4" s="1361" t="s">
        <v>1</v>
      </c>
      <c r="B4" s="1361"/>
      <c r="C4" s="1361"/>
      <c r="D4" s="1361"/>
      <c r="E4" s="1361"/>
    </row>
    <row r="5" spans="1:5" x14ac:dyDescent="0.2">
      <c r="A5" s="1372" t="s">
        <v>195</v>
      </c>
      <c r="B5" s="1372"/>
      <c r="C5" s="1080" t="s">
        <v>7</v>
      </c>
      <c r="D5" s="1372" t="s">
        <v>1071</v>
      </c>
      <c r="E5" s="1372"/>
    </row>
    <row r="6" spans="1:5" x14ac:dyDescent="0.2">
      <c r="A6" s="1373" t="s">
        <v>1072</v>
      </c>
      <c r="B6" s="1373"/>
      <c r="C6" s="725">
        <v>211982</v>
      </c>
      <c r="D6" s="1374">
        <v>280</v>
      </c>
      <c r="E6" s="1374"/>
    </row>
    <row r="7" spans="1:5" x14ac:dyDescent="0.2">
      <c r="A7" s="1372" t="s">
        <v>29</v>
      </c>
      <c r="B7" s="1372"/>
      <c r="C7" s="1081">
        <v>211982</v>
      </c>
      <c r="D7" s="1372">
        <v>280</v>
      </c>
      <c r="E7" s="1372"/>
    </row>
    <row r="8" spans="1:5" ht="15.75" customHeight="1" x14ac:dyDescent="0.2">
      <c r="A8" s="1288" t="s">
        <v>185</v>
      </c>
      <c r="B8" s="1288"/>
      <c r="C8" s="1288"/>
      <c r="D8" s="1288"/>
      <c r="E8" s="1288"/>
    </row>
    <row r="9" spans="1:5" ht="29.25" customHeight="1" x14ac:dyDescent="0.2">
      <c r="A9" s="1371" t="s">
        <v>1016</v>
      </c>
      <c r="B9" s="1371"/>
      <c r="C9" s="1371"/>
      <c r="D9" s="1371"/>
      <c r="E9" s="1371"/>
    </row>
  </sheetData>
  <sheetProtection password="9C8D" sheet="1" objects="1" scenarios="1"/>
  <mergeCells count="12">
    <mergeCell ref="A2:E2"/>
    <mergeCell ref="A1:E1"/>
    <mergeCell ref="A8:E8"/>
    <mergeCell ref="A9:E9"/>
    <mergeCell ref="A3:E3"/>
    <mergeCell ref="A4:E4"/>
    <mergeCell ref="A5:B5"/>
    <mergeCell ref="D5:E5"/>
    <mergeCell ref="A6:B6"/>
    <mergeCell ref="D6:E6"/>
    <mergeCell ref="A7:B7"/>
    <mergeCell ref="D7:E7"/>
  </mergeCells>
  <pageMargins left="0.511811024" right="0.511811024" top="0.78740157499999996" bottom="0.78740157499999996" header="0.31496062000000002" footer="0.3149606200000000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indowProtection="1" workbookViewId="0">
      <selection sqref="A1:E4"/>
    </sheetView>
  </sheetViews>
  <sheetFormatPr defaultRowHeight="12.75" x14ac:dyDescent="0.2"/>
  <cols>
    <col min="1" max="1" width="64.7109375" customWidth="1"/>
    <col min="2" max="2" width="10.140625" bestFit="1" customWidth="1"/>
    <col min="4" max="4" width="10.5703125" bestFit="1" customWidth="1"/>
  </cols>
  <sheetData>
    <row r="1" spans="1:6" x14ac:dyDescent="0.2">
      <c r="A1" s="1370" t="s">
        <v>1099</v>
      </c>
      <c r="B1" s="1370"/>
      <c r="C1" s="1370"/>
      <c r="D1" s="1370"/>
      <c r="E1" s="1370"/>
    </row>
    <row r="2" spans="1:6" ht="14.25" x14ac:dyDescent="0.2">
      <c r="A2" s="1370" t="s">
        <v>1100</v>
      </c>
      <c r="B2" s="1370"/>
      <c r="C2" s="1370"/>
      <c r="D2" s="1370"/>
      <c r="E2" s="1370"/>
    </row>
    <row r="3" spans="1:6" x14ac:dyDescent="0.2">
      <c r="A3" s="1370" t="s">
        <v>1023</v>
      </c>
      <c r="B3" s="1370"/>
      <c r="C3" s="1370"/>
      <c r="D3" s="1370"/>
      <c r="E3" s="1370"/>
    </row>
    <row r="4" spans="1:6" x14ac:dyDescent="0.2">
      <c r="A4" s="1375" t="s">
        <v>1</v>
      </c>
      <c r="B4" s="1375"/>
      <c r="C4" s="1375"/>
      <c r="D4" s="1375"/>
      <c r="E4" s="1375"/>
      <c r="F4" s="1093"/>
    </row>
    <row r="5" spans="1:6" ht="15.75" x14ac:dyDescent="0.2">
      <c r="A5" s="1083" t="s">
        <v>1075</v>
      </c>
      <c r="B5" s="1080" t="s">
        <v>7</v>
      </c>
      <c r="C5" s="1084" t="s">
        <v>8</v>
      </c>
      <c r="D5" s="1085" t="s">
        <v>1076</v>
      </c>
      <c r="E5" s="1092" t="s">
        <v>8</v>
      </c>
      <c r="F5" s="1082"/>
    </row>
    <row r="6" spans="1:6" ht="15.75" x14ac:dyDescent="0.2">
      <c r="A6" s="1063" t="s">
        <v>1077</v>
      </c>
      <c r="B6" s="1086">
        <v>332424.59999999998</v>
      </c>
      <c r="C6" s="1087">
        <v>77.3</v>
      </c>
      <c r="D6" s="1004">
        <v>590</v>
      </c>
      <c r="E6" s="1087">
        <v>91.6</v>
      </c>
      <c r="F6" s="1082"/>
    </row>
    <row r="7" spans="1:6" ht="15.75" x14ac:dyDescent="0.2">
      <c r="A7" s="1088" t="s">
        <v>1078</v>
      </c>
      <c r="B7" s="1089">
        <v>3315.3</v>
      </c>
      <c r="C7" s="1059">
        <v>1</v>
      </c>
      <c r="D7" s="1090">
        <v>18</v>
      </c>
      <c r="E7" s="1059">
        <v>3.1</v>
      </c>
      <c r="F7" s="1082"/>
    </row>
    <row r="8" spans="1:6" ht="15.75" x14ac:dyDescent="0.2">
      <c r="A8" s="1088" t="s">
        <v>1079</v>
      </c>
      <c r="B8" s="1089">
        <v>245012.4</v>
      </c>
      <c r="C8" s="1059">
        <v>73.7</v>
      </c>
      <c r="D8" s="1090">
        <v>71</v>
      </c>
      <c r="E8" s="1059">
        <v>12</v>
      </c>
      <c r="F8" s="1082"/>
    </row>
    <row r="9" spans="1:6" ht="15.75" x14ac:dyDescent="0.2">
      <c r="A9" s="1088" t="s">
        <v>1080</v>
      </c>
      <c r="B9" s="1089">
        <v>27514.5</v>
      </c>
      <c r="C9" s="1059">
        <v>8.3000000000000007</v>
      </c>
      <c r="D9" s="1090">
        <v>47</v>
      </c>
      <c r="E9" s="1059">
        <v>8</v>
      </c>
      <c r="F9" s="1082"/>
    </row>
    <row r="10" spans="1:6" ht="15.75" x14ac:dyDescent="0.2">
      <c r="A10" s="1088" t="s">
        <v>1081</v>
      </c>
      <c r="B10" s="1090">
        <v>105.5</v>
      </c>
      <c r="C10" s="1059">
        <v>0</v>
      </c>
      <c r="D10" s="1090">
        <v>2</v>
      </c>
      <c r="E10" s="1059">
        <v>0.3</v>
      </c>
      <c r="F10" s="1082"/>
    </row>
    <row r="11" spans="1:6" ht="15.75" x14ac:dyDescent="0.2">
      <c r="A11" s="1088" t="s">
        <v>1082</v>
      </c>
      <c r="B11" s="1089">
        <v>1586.5</v>
      </c>
      <c r="C11" s="1059">
        <v>0.5</v>
      </c>
      <c r="D11" s="1090">
        <v>5</v>
      </c>
      <c r="E11" s="1059">
        <v>0.8</v>
      </c>
      <c r="F11" s="1082"/>
    </row>
    <row r="12" spans="1:6" ht="15.75" x14ac:dyDescent="0.2">
      <c r="A12" s="1088" t="s">
        <v>1083</v>
      </c>
      <c r="B12" s="1089">
        <v>9411.2999999999993</v>
      </c>
      <c r="C12" s="1059">
        <v>2.8</v>
      </c>
      <c r="D12" s="1090">
        <v>32</v>
      </c>
      <c r="E12" s="1059">
        <v>5.4</v>
      </c>
      <c r="F12" s="1082"/>
    </row>
    <row r="13" spans="1:6" ht="15.75" x14ac:dyDescent="0.2">
      <c r="A13" s="1088" t="s">
        <v>1084</v>
      </c>
      <c r="B13" s="1089">
        <v>8941</v>
      </c>
      <c r="C13" s="1059">
        <v>2.7</v>
      </c>
      <c r="D13" s="1090">
        <v>36</v>
      </c>
      <c r="E13" s="1059">
        <v>6.1</v>
      </c>
      <c r="F13" s="1082"/>
    </row>
    <row r="14" spans="1:6" ht="15.75" x14ac:dyDescent="0.2">
      <c r="A14" s="1088" t="s">
        <v>1085</v>
      </c>
      <c r="B14" s="1090">
        <v>220</v>
      </c>
      <c r="C14" s="1059">
        <v>0.1</v>
      </c>
      <c r="D14" s="1090">
        <v>2</v>
      </c>
      <c r="E14" s="1059">
        <v>0.3</v>
      </c>
      <c r="F14" s="1082"/>
    </row>
    <row r="15" spans="1:6" ht="15.75" x14ac:dyDescent="0.2">
      <c r="A15" s="1088" t="s">
        <v>1086</v>
      </c>
      <c r="B15" s="1089">
        <v>23132.400000000001</v>
      </c>
      <c r="C15" s="1059">
        <v>7</v>
      </c>
      <c r="D15" s="1090">
        <v>301</v>
      </c>
      <c r="E15" s="1059">
        <v>51</v>
      </c>
      <c r="F15" s="1082"/>
    </row>
    <row r="16" spans="1:6" ht="15.75" x14ac:dyDescent="0.2">
      <c r="A16" s="1088" t="s">
        <v>1087</v>
      </c>
      <c r="B16" s="1089">
        <v>1397.3</v>
      </c>
      <c r="C16" s="1059">
        <v>0.4</v>
      </c>
      <c r="D16" s="1090">
        <v>14</v>
      </c>
      <c r="E16" s="1059">
        <v>2.4</v>
      </c>
      <c r="F16" s="1082"/>
    </row>
    <row r="17" spans="1:6" ht="15.75" x14ac:dyDescent="0.2">
      <c r="A17" s="1088" t="s">
        <v>1088</v>
      </c>
      <c r="B17" s="1089">
        <v>4535.1000000000004</v>
      </c>
      <c r="C17" s="1059">
        <v>1.4</v>
      </c>
      <c r="D17" s="1090">
        <v>26</v>
      </c>
      <c r="E17" s="1059">
        <v>4.4000000000000004</v>
      </c>
      <c r="F17" s="1082"/>
    </row>
    <row r="18" spans="1:6" ht="15.75" x14ac:dyDescent="0.2">
      <c r="A18" s="1088" t="s">
        <v>1089</v>
      </c>
      <c r="B18" s="1089">
        <v>4655</v>
      </c>
      <c r="C18" s="1059">
        <v>1.4</v>
      </c>
      <c r="D18" s="1090">
        <v>3</v>
      </c>
      <c r="E18" s="1059">
        <v>0.5</v>
      </c>
      <c r="F18" s="1082"/>
    </row>
    <row r="19" spans="1:6" ht="15.75" x14ac:dyDescent="0.2">
      <c r="A19" s="1088" t="s">
        <v>1090</v>
      </c>
      <c r="B19" s="1089">
        <v>2581.5</v>
      </c>
      <c r="C19" s="1059">
        <v>0.8</v>
      </c>
      <c r="D19" s="1090">
        <v>32</v>
      </c>
      <c r="E19" s="1059">
        <v>5.4</v>
      </c>
      <c r="F19" s="1082"/>
    </row>
    <row r="20" spans="1:6" ht="15.75" x14ac:dyDescent="0.2">
      <c r="A20" s="1088" t="s">
        <v>1091</v>
      </c>
      <c r="B20" s="1090">
        <v>16.899999999999999</v>
      </c>
      <c r="C20" s="1059">
        <v>0</v>
      </c>
      <c r="D20" s="1090">
        <v>1</v>
      </c>
      <c r="E20" s="1059">
        <v>0.2</v>
      </c>
      <c r="F20" s="1082"/>
    </row>
    <row r="21" spans="1:6" ht="15.75" x14ac:dyDescent="0.2">
      <c r="A21" s="1063" t="s">
        <v>1092</v>
      </c>
      <c r="B21" s="1086">
        <v>97754.8</v>
      </c>
      <c r="C21" s="1087">
        <v>22.7</v>
      </c>
      <c r="D21" s="1004">
        <v>54</v>
      </c>
      <c r="E21" s="1087">
        <v>8.4</v>
      </c>
      <c r="F21" s="1082"/>
    </row>
    <row r="22" spans="1:6" ht="15.75" x14ac:dyDescent="0.2">
      <c r="A22" s="1088" t="s">
        <v>1093</v>
      </c>
      <c r="B22" s="1089">
        <v>2901.6</v>
      </c>
      <c r="C22" s="1059">
        <v>3</v>
      </c>
      <c r="D22" s="1090">
        <v>9</v>
      </c>
      <c r="E22" s="1059">
        <v>16.7</v>
      </c>
      <c r="F22" s="1082"/>
    </row>
    <row r="23" spans="1:6" ht="15.75" x14ac:dyDescent="0.2">
      <c r="A23" s="1088" t="s">
        <v>1094</v>
      </c>
      <c r="B23" s="1090">
        <v>927.5</v>
      </c>
      <c r="C23" s="1059">
        <v>0.9</v>
      </c>
      <c r="D23" s="1090">
        <v>2</v>
      </c>
      <c r="E23" s="1059">
        <v>3.7</v>
      </c>
      <c r="F23" s="1082"/>
    </row>
    <row r="24" spans="1:6" ht="15.75" x14ac:dyDescent="0.2">
      <c r="A24" s="1088" t="s">
        <v>1095</v>
      </c>
      <c r="B24" s="1089">
        <v>72995.199999999997</v>
      </c>
      <c r="C24" s="1059">
        <v>74.7</v>
      </c>
      <c r="D24" s="1090">
        <v>6</v>
      </c>
      <c r="E24" s="1059">
        <v>11.1</v>
      </c>
      <c r="F24" s="1082"/>
    </row>
    <row r="25" spans="1:6" ht="15.75" x14ac:dyDescent="0.2">
      <c r="A25" s="1088" t="s">
        <v>1096</v>
      </c>
      <c r="B25" s="1090">
        <v>610.9</v>
      </c>
      <c r="C25" s="1059">
        <v>0.6</v>
      </c>
      <c r="D25" s="1090">
        <v>5</v>
      </c>
      <c r="E25" s="1059">
        <v>9.3000000000000007</v>
      </c>
      <c r="F25" s="1082"/>
    </row>
    <row r="26" spans="1:6" ht="15.75" x14ac:dyDescent="0.2">
      <c r="A26" s="1088" t="s">
        <v>1097</v>
      </c>
      <c r="B26" s="1089">
        <v>19896.7</v>
      </c>
      <c r="C26" s="1059">
        <v>20.399999999999999</v>
      </c>
      <c r="D26" s="1090">
        <v>31</v>
      </c>
      <c r="E26" s="1059">
        <v>57.4</v>
      </c>
      <c r="F26" s="1082"/>
    </row>
    <row r="27" spans="1:6" ht="15.75" x14ac:dyDescent="0.2">
      <c r="A27" s="1088" t="s">
        <v>1098</v>
      </c>
      <c r="B27" s="1090">
        <v>422.8</v>
      </c>
      <c r="C27" s="1059">
        <v>0.4</v>
      </c>
      <c r="D27" s="1090">
        <v>1</v>
      </c>
      <c r="E27" s="1059">
        <v>1.9</v>
      </c>
      <c r="F27" s="1082"/>
    </row>
    <row r="28" spans="1:6" ht="15.75" x14ac:dyDescent="0.2">
      <c r="A28" s="1080" t="s">
        <v>29</v>
      </c>
      <c r="B28" s="1091">
        <v>430179.4</v>
      </c>
      <c r="C28" s="1084">
        <v>100</v>
      </c>
      <c r="D28" s="1085">
        <v>644</v>
      </c>
      <c r="E28" s="1084">
        <v>10</v>
      </c>
      <c r="F28" s="1082"/>
    </row>
    <row r="29" spans="1:6" x14ac:dyDescent="0.2">
      <c r="A29" s="1288" t="s">
        <v>67</v>
      </c>
      <c r="B29" s="1288"/>
      <c r="C29" s="1288"/>
      <c r="D29" s="1288"/>
      <c r="E29" s="1288"/>
    </row>
    <row r="30" spans="1:6" x14ac:dyDescent="0.2">
      <c r="A30" s="1371" t="s">
        <v>1016</v>
      </c>
      <c r="B30" s="1371"/>
      <c r="C30" s="1371"/>
      <c r="D30" s="1371"/>
      <c r="E30" s="1371"/>
    </row>
  </sheetData>
  <sheetProtection password="9C8D" sheet="1" objects="1" scenarios="1"/>
  <mergeCells count="6">
    <mergeCell ref="A30:E30"/>
    <mergeCell ref="A4:E4"/>
    <mergeCell ref="A1:E1"/>
    <mergeCell ref="A2:E2"/>
    <mergeCell ref="A3:E3"/>
    <mergeCell ref="A29:E29"/>
  </mergeCells>
  <pageMargins left="0.511811024" right="0.511811024" top="0.78740157499999996" bottom="0.78740157499999996" header="0.31496062000000002" footer="0.3149606200000000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indowProtection="1" workbookViewId="0">
      <selection activeCell="A35" sqref="A35:A36"/>
    </sheetView>
  </sheetViews>
  <sheetFormatPr defaultRowHeight="15" x14ac:dyDescent="0.25"/>
  <cols>
    <col min="1" max="1" width="9.140625" style="734" customWidth="1"/>
    <col min="2" max="2" width="70" style="734" bestFit="1" customWidth="1"/>
    <col min="3" max="3" width="5.42578125" style="734" bestFit="1" customWidth="1"/>
    <col min="4" max="4" width="7" style="754" bestFit="1" customWidth="1"/>
    <col min="5" max="5" width="10.5703125" style="754" bestFit="1" customWidth="1"/>
    <col min="6" max="6" width="9.140625" style="754"/>
    <col min="7" max="256" width="9.140625" style="734"/>
    <col min="257" max="257" width="9.140625" style="734" customWidth="1"/>
    <col min="258" max="258" width="70" style="734" bestFit="1" customWidth="1"/>
    <col min="259" max="259" width="5.42578125" style="734" bestFit="1" customWidth="1"/>
    <col min="260" max="260" width="7" style="734" bestFit="1" customWidth="1"/>
    <col min="261" max="261" width="10.5703125" style="734" bestFit="1" customWidth="1"/>
    <col min="262" max="512" width="9.140625" style="734"/>
    <col min="513" max="513" width="9.140625" style="734" customWidth="1"/>
    <col min="514" max="514" width="70" style="734" bestFit="1" customWidth="1"/>
    <col min="515" max="515" width="5.42578125" style="734" bestFit="1" customWidth="1"/>
    <col min="516" max="516" width="7" style="734" bestFit="1" customWidth="1"/>
    <col min="517" max="517" width="10.5703125" style="734" bestFit="1" customWidth="1"/>
    <col min="518" max="768" width="9.140625" style="734"/>
    <col min="769" max="769" width="9.140625" style="734" customWidth="1"/>
    <col min="770" max="770" width="70" style="734" bestFit="1" customWidth="1"/>
    <col min="771" max="771" width="5.42578125" style="734" bestFit="1" customWidth="1"/>
    <col min="772" max="772" width="7" style="734" bestFit="1" customWidth="1"/>
    <col min="773" max="773" width="10.5703125" style="734" bestFit="1" customWidth="1"/>
    <col min="774" max="1024" width="9.140625" style="734"/>
    <col min="1025" max="1025" width="9.140625" style="734" customWidth="1"/>
    <col min="1026" max="1026" width="70" style="734" bestFit="1" customWidth="1"/>
    <col min="1027" max="1027" width="5.42578125" style="734" bestFit="1" customWidth="1"/>
    <col min="1028" max="1028" width="7" style="734" bestFit="1" customWidth="1"/>
    <col min="1029" max="1029" width="10.5703125" style="734" bestFit="1" customWidth="1"/>
    <col min="1030" max="1280" width="9.140625" style="734"/>
    <col min="1281" max="1281" width="9.140625" style="734" customWidth="1"/>
    <col min="1282" max="1282" width="70" style="734" bestFit="1" customWidth="1"/>
    <col min="1283" max="1283" width="5.42578125" style="734" bestFit="1" customWidth="1"/>
    <col min="1284" max="1284" width="7" style="734" bestFit="1" customWidth="1"/>
    <col min="1285" max="1285" width="10.5703125" style="734" bestFit="1" customWidth="1"/>
    <col min="1286" max="1536" width="9.140625" style="734"/>
    <col min="1537" max="1537" width="9.140625" style="734" customWidth="1"/>
    <col min="1538" max="1538" width="70" style="734" bestFit="1" customWidth="1"/>
    <col min="1539" max="1539" width="5.42578125" style="734" bestFit="1" customWidth="1"/>
    <col min="1540" max="1540" width="7" style="734" bestFit="1" customWidth="1"/>
    <col min="1541" max="1541" width="10.5703125" style="734" bestFit="1" customWidth="1"/>
    <col min="1542" max="1792" width="9.140625" style="734"/>
    <col min="1793" max="1793" width="9.140625" style="734" customWidth="1"/>
    <col min="1794" max="1794" width="70" style="734" bestFit="1" customWidth="1"/>
    <col min="1795" max="1795" width="5.42578125" style="734" bestFit="1" customWidth="1"/>
    <col min="1796" max="1796" width="7" style="734" bestFit="1" customWidth="1"/>
    <col min="1797" max="1797" width="10.5703125" style="734" bestFit="1" customWidth="1"/>
    <col min="1798" max="2048" width="9.140625" style="734"/>
    <col min="2049" max="2049" width="9.140625" style="734" customWidth="1"/>
    <col min="2050" max="2050" width="70" style="734" bestFit="1" customWidth="1"/>
    <col min="2051" max="2051" width="5.42578125" style="734" bestFit="1" customWidth="1"/>
    <col min="2052" max="2052" width="7" style="734" bestFit="1" customWidth="1"/>
    <col min="2053" max="2053" width="10.5703125" style="734" bestFit="1" customWidth="1"/>
    <col min="2054" max="2304" width="9.140625" style="734"/>
    <col min="2305" max="2305" width="9.140625" style="734" customWidth="1"/>
    <col min="2306" max="2306" width="70" style="734" bestFit="1" customWidth="1"/>
    <col min="2307" max="2307" width="5.42578125" style="734" bestFit="1" customWidth="1"/>
    <col min="2308" max="2308" width="7" style="734" bestFit="1" customWidth="1"/>
    <col min="2309" max="2309" width="10.5703125" style="734" bestFit="1" customWidth="1"/>
    <col min="2310" max="2560" width="9.140625" style="734"/>
    <col min="2561" max="2561" width="9.140625" style="734" customWidth="1"/>
    <col min="2562" max="2562" width="70" style="734" bestFit="1" customWidth="1"/>
    <col min="2563" max="2563" width="5.42578125" style="734" bestFit="1" customWidth="1"/>
    <col min="2564" max="2564" width="7" style="734" bestFit="1" customWidth="1"/>
    <col min="2565" max="2565" width="10.5703125" style="734" bestFit="1" customWidth="1"/>
    <col min="2566" max="2816" width="9.140625" style="734"/>
    <col min="2817" max="2817" width="9.140625" style="734" customWidth="1"/>
    <col min="2818" max="2818" width="70" style="734" bestFit="1" customWidth="1"/>
    <col min="2819" max="2819" width="5.42578125" style="734" bestFit="1" customWidth="1"/>
    <col min="2820" max="2820" width="7" style="734" bestFit="1" customWidth="1"/>
    <col min="2821" max="2821" width="10.5703125" style="734" bestFit="1" customWidth="1"/>
    <col min="2822" max="3072" width="9.140625" style="734"/>
    <col min="3073" max="3073" width="9.140625" style="734" customWidth="1"/>
    <col min="3074" max="3074" width="70" style="734" bestFit="1" customWidth="1"/>
    <col min="3075" max="3075" width="5.42578125" style="734" bestFit="1" customWidth="1"/>
    <col min="3076" max="3076" width="7" style="734" bestFit="1" customWidth="1"/>
    <col min="3077" max="3077" width="10.5703125" style="734" bestFit="1" customWidth="1"/>
    <col min="3078" max="3328" width="9.140625" style="734"/>
    <col min="3329" max="3329" width="9.140625" style="734" customWidth="1"/>
    <col min="3330" max="3330" width="70" style="734" bestFit="1" customWidth="1"/>
    <col min="3331" max="3331" width="5.42578125" style="734" bestFit="1" customWidth="1"/>
    <col min="3332" max="3332" width="7" style="734" bestFit="1" customWidth="1"/>
    <col min="3333" max="3333" width="10.5703125" style="734" bestFit="1" customWidth="1"/>
    <col min="3334" max="3584" width="9.140625" style="734"/>
    <col min="3585" max="3585" width="9.140625" style="734" customWidth="1"/>
    <col min="3586" max="3586" width="70" style="734" bestFit="1" customWidth="1"/>
    <col min="3587" max="3587" width="5.42578125" style="734" bestFit="1" customWidth="1"/>
    <col min="3588" max="3588" width="7" style="734" bestFit="1" customWidth="1"/>
    <col min="3589" max="3589" width="10.5703125" style="734" bestFit="1" customWidth="1"/>
    <col min="3590" max="3840" width="9.140625" style="734"/>
    <col min="3841" max="3841" width="9.140625" style="734" customWidth="1"/>
    <col min="3842" max="3842" width="70" style="734" bestFit="1" customWidth="1"/>
    <col min="3843" max="3843" width="5.42578125" style="734" bestFit="1" customWidth="1"/>
    <col min="3844" max="3844" width="7" style="734" bestFit="1" customWidth="1"/>
    <col min="3845" max="3845" width="10.5703125" style="734" bestFit="1" customWidth="1"/>
    <col min="3846" max="4096" width="9.140625" style="734"/>
    <col min="4097" max="4097" width="9.140625" style="734" customWidth="1"/>
    <col min="4098" max="4098" width="70" style="734" bestFit="1" customWidth="1"/>
    <col min="4099" max="4099" width="5.42578125" style="734" bestFit="1" customWidth="1"/>
    <col min="4100" max="4100" width="7" style="734" bestFit="1" customWidth="1"/>
    <col min="4101" max="4101" width="10.5703125" style="734" bestFit="1" customWidth="1"/>
    <col min="4102" max="4352" width="9.140625" style="734"/>
    <col min="4353" max="4353" width="9.140625" style="734" customWidth="1"/>
    <col min="4354" max="4354" width="70" style="734" bestFit="1" customWidth="1"/>
    <col min="4355" max="4355" width="5.42578125" style="734" bestFit="1" customWidth="1"/>
    <col min="4356" max="4356" width="7" style="734" bestFit="1" customWidth="1"/>
    <col min="4357" max="4357" width="10.5703125" style="734" bestFit="1" customWidth="1"/>
    <col min="4358" max="4608" width="9.140625" style="734"/>
    <col min="4609" max="4609" width="9.140625" style="734" customWidth="1"/>
    <col min="4610" max="4610" width="70" style="734" bestFit="1" customWidth="1"/>
    <col min="4611" max="4611" width="5.42578125" style="734" bestFit="1" customWidth="1"/>
    <col min="4612" max="4612" width="7" style="734" bestFit="1" customWidth="1"/>
    <col min="4613" max="4613" width="10.5703125" style="734" bestFit="1" customWidth="1"/>
    <col min="4614" max="4864" width="9.140625" style="734"/>
    <col min="4865" max="4865" width="9.140625" style="734" customWidth="1"/>
    <col min="4866" max="4866" width="70" style="734" bestFit="1" customWidth="1"/>
    <col min="4867" max="4867" width="5.42578125" style="734" bestFit="1" customWidth="1"/>
    <col min="4868" max="4868" width="7" style="734" bestFit="1" customWidth="1"/>
    <col min="4869" max="4869" width="10.5703125" style="734" bestFit="1" customWidth="1"/>
    <col min="4870" max="5120" width="9.140625" style="734"/>
    <col min="5121" max="5121" width="9.140625" style="734" customWidth="1"/>
    <col min="5122" max="5122" width="70" style="734" bestFit="1" customWidth="1"/>
    <col min="5123" max="5123" width="5.42578125" style="734" bestFit="1" customWidth="1"/>
    <col min="5124" max="5124" width="7" style="734" bestFit="1" customWidth="1"/>
    <col min="5125" max="5125" width="10.5703125" style="734" bestFit="1" customWidth="1"/>
    <col min="5126" max="5376" width="9.140625" style="734"/>
    <col min="5377" max="5377" width="9.140625" style="734" customWidth="1"/>
    <col min="5378" max="5378" width="70" style="734" bestFit="1" customWidth="1"/>
    <col min="5379" max="5379" width="5.42578125" style="734" bestFit="1" customWidth="1"/>
    <col min="5380" max="5380" width="7" style="734" bestFit="1" customWidth="1"/>
    <col min="5381" max="5381" width="10.5703125" style="734" bestFit="1" customWidth="1"/>
    <col min="5382" max="5632" width="9.140625" style="734"/>
    <col min="5633" max="5633" width="9.140625" style="734" customWidth="1"/>
    <col min="5634" max="5634" width="70" style="734" bestFit="1" customWidth="1"/>
    <col min="5635" max="5635" width="5.42578125" style="734" bestFit="1" customWidth="1"/>
    <col min="5636" max="5636" width="7" style="734" bestFit="1" customWidth="1"/>
    <col min="5637" max="5637" width="10.5703125" style="734" bestFit="1" customWidth="1"/>
    <col min="5638" max="5888" width="9.140625" style="734"/>
    <col min="5889" max="5889" width="9.140625" style="734" customWidth="1"/>
    <col min="5890" max="5890" width="70" style="734" bestFit="1" customWidth="1"/>
    <col min="5891" max="5891" width="5.42578125" style="734" bestFit="1" customWidth="1"/>
    <col min="5892" max="5892" width="7" style="734" bestFit="1" customWidth="1"/>
    <col min="5893" max="5893" width="10.5703125" style="734" bestFit="1" customWidth="1"/>
    <col min="5894" max="6144" width="9.140625" style="734"/>
    <col min="6145" max="6145" width="9.140625" style="734" customWidth="1"/>
    <col min="6146" max="6146" width="70" style="734" bestFit="1" customWidth="1"/>
    <col min="6147" max="6147" width="5.42578125" style="734" bestFit="1" customWidth="1"/>
    <col min="6148" max="6148" width="7" style="734" bestFit="1" customWidth="1"/>
    <col min="6149" max="6149" width="10.5703125" style="734" bestFit="1" customWidth="1"/>
    <col min="6150" max="6400" width="9.140625" style="734"/>
    <col min="6401" max="6401" width="9.140625" style="734" customWidth="1"/>
    <col min="6402" max="6402" width="70" style="734" bestFit="1" customWidth="1"/>
    <col min="6403" max="6403" width="5.42578125" style="734" bestFit="1" customWidth="1"/>
    <col min="6404" max="6404" width="7" style="734" bestFit="1" customWidth="1"/>
    <col min="6405" max="6405" width="10.5703125" style="734" bestFit="1" customWidth="1"/>
    <col min="6406" max="6656" width="9.140625" style="734"/>
    <col min="6657" max="6657" width="9.140625" style="734" customWidth="1"/>
    <col min="6658" max="6658" width="70" style="734" bestFit="1" customWidth="1"/>
    <col min="6659" max="6659" width="5.42578125" style="734" bestFit="1" customWidth="1"/>
    <col min="6660" max="6660" width="7" style="734" bestFit="1" customWidth="1"/>
    <col min="6661" max="6661" width="10.5703125" style="734" bestFit="1" customWidth="1"/>
    <col min="6662" max="6912" width="9.140625" style="734"/>
    <col min="6913" max="6913" width="9.140625" style="734" customWidth="1"/>
    <col min="6914" max="6914" width="70" style="734" bestFit="1" customWidth="1"/>
    <col min="6915" max="6915" width="5.42578125" style="734" bestFit="1" customWidth="1"/>
    <col min="6916" max="6916" width="7" style="734" bestFit="1" customWidth="1"/>
    <col min="6917" max="6917" width="10.5703125" style="734" bestFit="1" customWidth="1"/>
    <col min="6918" max="7168" width="9.140625" style="734"/>
    <col min="7169" max="7169" width="9.140625" style="734" customWidth="1"/>
    <col min="7170" max="7170" width="70" style="734" bestFit="1" customWidth="1"/>
    <col min="7171" max="7171" width="5.42578125" style="734" bestFit="1" customWidth="1"/>
    <col min="7172" max="7172" width="7" style="734" bestFit="1" customWidth="1"/>
    <col min="7173" max="7173" width="10.5703125" style="734" bestFit="1" customWidth="1"/>
    <col min="7174" max="7424" width="9.140625" style="734"/>
    <col min="7425" max="7425" width="9.140625" style="734" customWidth="1"/>
    <col min="7426" max="7426" width="70" style="734" bestFit="1" customWidth="1"/>
    <col min="7427" max="7427" width="5.42578125" style="734" bestFit="1" customWidth="1"/>
    <col min="7428" max="7428" width="7" style="734" bestFit="1" customWidth="1"/>
    <col min="7429" max="7429" width="10.5703125" style="734" bestFit="1" customWidth="1"/>
    <col min="7430" max="7680" width="9.140625" style="734"/>
    <col min="7681" max="7681" width="9.140625" style="734" customWidth="1"/>
    <col min="7682" max="7682" width="70" style="734" bestFit="1" customWidth="1"/>
    <col min="7683" max="7683" width="5.42578125" style="734" bestFit="1" customWidth="1"/>
    <col min="7684" max="7684" width="7" style="734" bestFit="1" customWidth="1"/>
    <col min="7685" max="7685" width="10.5703125" style="734" bestFit="1" customWidth="1"/>
    <col min="7686" max="7936" width="9.140625" style="734"/>
    <col min="7937" max="7937" width="9.140625" style="734" customWidth="1"/>
    <col min="7938" max="7938" width="70" style="734" bestFit="1" customWidth="1"/>
    <col min="7939" max="7939" width="5.42578125" style="734" bestFit="1" customWidth="1"/>
    <col min="7940" max="7940" width="7" style="734" bestFit="1" customWidth="1"/>
    <col min="7941" max="7941" width="10.5703125" style="734" bestFit="1" customWidth="1"/>
    <col min="7942" max="8192" width="9.140625" style="734"/>
    <col min="8193" max="8193" width="9.140625" style="734" customWidth="1"/>
    <col min="8194" max="8194" width="70" style="734" bestFit="1" customWidth="1"/>
    <col min="8195" max="8195" width="5.42578125" style="734" bestFit="1" customWidth="1"/>
    <col min="8196" max="8196" width="7" style="734" bestFit="1" customWidth="1"/>
    <col min="8197" max="8197" width="10.5703125" style="734" bestFit="1" customWidth="1"/>
    <col min="8198" max="8448" width="9.140625" style="734"/>
    <col min="8449" max="8449" width="9.140625" style="734" customWidth="1"/>
    <col min="8450" max="8450" width="70" style="734" bestFit="1" customWidth="1"/>
    <col min="8451" max="8451" width="5.42578125" style="734" bestFit="1" customWidth="1"/>
    <col min="8452" max="8452" width="7" style="734" bestFit="1" customWidth="1"/>
    <col min="8453" max="8453" width="10.5703125" style="734" bestFit="1" customWidth="1"/>
    <col min="8454" max="8704" width="9.140625" style="734"/>
    <col min="8705" max="8705" width="9.140625" style="734" customWidth="1"/>
    <col min="8706" max="8706" width="70" style="734" bestFit="1" customWidth="1"/>
    <col min="8707" max="8707" width="5.42578125" style="734" bestFit="1" customWidth="1"/>
    <col min="8708" max="8708" width="7" style="734" bestFit="1" customWidth="1"/>
    <col min="8709" max="8709" width="10.5703125" style="734" bestFit="1" customWidth="1"/>
    <col min="8710" max="8960" width="9.140625" style="734"/>
    <col min="8961" max="8961" width="9.140625" style="734" customWidth="1"/>
    <col min="8962" max="8962" width="70" style="734" bestFit="1" customWidth="1"/>
    <col min="8963" max="8963" width="5.42578125" style="734" bestFit="1" customWidth="1"/>
    <col min="8964" max="8964" width="7" style="734" bestFit="1" customWidth="1"/>
    <col min="8965" max="8965" width="10.5703125" style="734" bestFit="1" customWidth="1"/>
    <col min="8966" max="9216" width="9.140625" style="734"/>
    <col min="9217" max="9217" width="9.140625" style="734" customWidth="1"/>
    <col min="9218" max="9218" width="70" style="734" bestFit="1" customWidth="1"/>
    <col min="9219" max="9219" width="5.42578125" style="734" bestFit="1" customWidth="1"/>
    <col min="9220" max="9220" width="7" style="734" bestFit="1" customWidth="1"/>
    <col min="9221" max="9221" width="10.5703125" style="734" bestFit="1" customWidth="1"/>
    <col min="9222" max="9472" width="9.140625" style="734"/>
    <col min="9473" max="9473" width="9.140625" style="734" customWidth="1"/>
    <col min="9474" max="9474" width="70" style="734" bestFit="1" customWidth="1"/>
    <col min="9475" max="9475" width="5.42578125" style="734" bestFit="1" customWidth="1"/>
    <col min="9476" max="9476" width="7" style="734" bestFit="1" customWidth="1"/>
    <col min="9477" max="9477" width="10.5703125" style="734" bestFit="1" customWidth="1"/>
    <col min="9478" max="9728" width="9.140625" style="734"/>
    <col min="9729" max="9729" width="9.140625" style="734" customWidth="1"/>
    <col min="9730" max="9730" width="70" style="734" bestFit="1" customWidth="1"/>
    <col min="9731" max="9731" width="5.42578125" style="734" bestFit="1" customWidth="1"/>
    <col min="9732" max="9732" width="7" style="734" bestFit="1" customWidth="1"/>
    <col min="9733" max="9733" width="10.5703125" style="734" bestFit="1" customWidth="1"/>
    <col min="9734" max="9984" width="9.140625" style="734"/>
    <col min="9985" max="9985" width="9.140625" style="734" customWidth="1"/>
    <col min="9986" max="9986" width="70" style="734" bestFit="1" customWidth="1"/>
    <col min="9987" max="9987" width="5.42578125" style="734" bestFit="1" customWidth="1"/>
    <col min="9988" max="9988" width="7" style="734" bestFit="1" customWidth="1"/>
    <col min="9989" max="9989" width="10.5703125" style="734" bestFit="1" customWidth="1"/>
    <col min="9990" max="10240" width="9.140625" style="734"/>
    <col min="10241" max="10241" width="9.140625" style="734" customWidth="1"/>
    <col min="10242" max="10242" width="70" style="734" bestFit="1" customWidth="1"/>
    <col min="10243" max="10243" width="5.42578125" style="734" bestFit="1" customWidth="1"/>
    <col min="10244" max="10244" width="7" style="734" bestFit="1" customWidth="1"/>
    <col min="10245" max="10245" width="10.5703125" style="734" bestFit="1" customWidth="1"/>
    <col min="10246" max="10496" width="9.140625" style="734"/>
    <col min="10497" max="10497" width="9.140625" style="734" customWidth="1"/>
    <col min="10498" max="10498" width="70" style="734" bestFit="1" customWidth="1"/>
    <col min="10499" max="10499" width="5.42578125" style="734" bestFit="1" customWidth="1"/>
    <col min="10500" max="10500" width="7" style="734" bestFit="1" customWidth="1"/>
    <col min="10501" max="10501" width="10.5703125" style="734" bestFit="1" customWidth="1"/>
    <col min="10502" max="10752" width="9.140625" style="734"/>
    <col min="10753" max="10753" width="9.140625" style="734" customWidth="1"/>
    <col min="10754" max="10754" width="70" style="734" bestFit="1" customWidth="1"/>
    <col min="10755" max="10755" width="5.42578125" style="734" bestFit="1" customWidth="1"/>
    <col min="10756" max="10756" width="7" style="734" bestFit="1" customWidth="1"/>
    <col min="10757" max="10757" width="10.5703125" style="734" bestFit="1" customWidth="1"/>
    <col min="10758" max="11008" width="9.140625" style="734"/>
    <col min="11009" max="11009" width="9.140625" style="734" customWidth="1"/>
    <col min="11010" max="11010" width="70" style="734" bestFit="1" customWidth="1"/>
    <col min="11011" max="11011" width="5.42578125" style="734" bestFit="1" customWidth="1"/>
    <col min="11012" max="11012" width="7" style="734" bestFit="1" customWidth="1"/>
    <col min="11013" max="11013" width="10.5703125" style="734" bestFit="1" customWidth="1"/>
    <col min="11014" max="11264" width="9.140625" style="734"/>
    <col min="11265" max="11265" width="9.140625" style="734" customWidth="1"/>
    <col min="11266" max="11266" width="70" style="734" bestFit="1" customWidth="1"/>
    <col min="11267" max="11267" width="5.42578125" style="734" bestFit="1" customWidth="1"/>
    <col min="11268" max="11268" width="7" style="734" bestFit="1" customWidth="1"/>
    <col min="11269" max="11269" width="10.5703125" style="734" bestFit="1" customWidth="1"/>
    <col min="11270" max="11520" width="9.140625" style="734"/>
    <col min="11521" max="11521" width="9.140625" style="734" customWidth="1"/>
    <col min="11522" max="11522" width="70" style="734" bestFit="1" customWidth="1"/>
    <col min="11523" max="11523" width="5.42578125" style="734" bestFit="1" customWidth="1"/>
    <col min="11524" max="11524" width="7" style="734" bestFit="1" customWidth="1"/>
    <col min="11525" max="11525" width="10.5703125" style="734" bestFit="1" customWidth="1"/>
    <col min="11526" max="11776" width="9.140625" style="734"/>
    <col min="11777" max="11777" width="9.140625" style="734" customWidth="1"/>
    <col min="11778" max="11778" width="70" style="734" bestFit="1" customWidth="1"/>
    <col min="11779" max="11779" width="5.42578125" style="734" bestFit="1" customWidth="1"/>
    <col min="11780" max="11780" width="7" style="734" bestFit="1" customWidth="1"/>
    <col min="11781" max="11781" width="10.5703125" style="734" bestFit="1" customWidth="1"/>
    <col min="11782" max="12032" width="9.140625" style="734"/>
    <col min="12033" max="12033" width="9.140625" style="734" customWidth="1"/>
    <col min="12034" max="12034" width="70" style="734" bestFit="1" customWidth="1"/>
    <col min="12035" max="12035" width="5.42578125" style="734" bestFit="1" customWidth="1"/>
    <col min="12036" max="12036" width="7" style="734" bestFit="1" customWidth="1"/>
    <col min="12037" max="12037" width="10.5703125" style="734" bestFit="1" customWidth="1"/>
    <col min="12038" max="12288" width="9.140625" style="734"/>
    <col min="12289" max="12289" width="9.140625" style="734" customWidth="1"/>
    <col min="12290" max="12290" width="70" style="734" bestFit="1" customWidth="1"/>
    <col min="12291" max="12291" width="5.42578125" style="734" bestFit="1" customWidth="1"/>
    <col min="12292" max="12292" width="7" style="734" bestFit="1" customWidth="1"/>
    <col min="12293" max="12293" width="10.5703125" style="734" bestFit="1" customWidth="1"/>
    <col min="12294" max="12544" width="9.140625" style="734"/>
    <col min="12545" max="12545" width="9.140625" style="734" customWidth="1"/>
    <col min="12546" max="12546" width="70" style="734" bestFit="1" customWidth="1"/>
    <col min="12547" max="12547" width="5.42578125" style="734" bestFit="1" customWidth="1"/>
    <col min="12548" max="12548" width="7" style="734" bestFit="1" customWidth="1"/>
    <col min="12549" max="12549" width="10.5703125" style="734" bestFit="1" customWidth="1"/>
    <col min="12550" max="12800" width="9.140625" style="734"/>
    <col min="12801" max="12801" width="9.140625" style="734" customWidth="1"/>
    <col min="12802" max="12802" width="70" style="734" bestFit="1" customWidth="1"/>
    <col min="12803" max="12803" width="5.42578125" style="734" bestFit="1" customWidth="1"/>
    <col min="12804" max="12804" width="7" style="734" bestFit="1" customWidth="1"/>
    <col min="12805" max="12805" width="10.5703125" style="734" bestFit="1" customWidth="1"/>
    <col min="12806" max="13056" width="9.140625" style="734"/>
    <col min="13057" max="13057" width="9.140625" style="734" customWidth="1"/>
    <col min="13058" max="13058" width="70" style="734" bestFit="1" customWidth="1"/>
    <col min="13059" max="13059" width="5.42578125" style="734" bestFit="1" customWidth="1"/>
    <col min="13060" max="13060" width="7" style="734" bestFit="1" customWidth="1"/>
    <col min="13061" max="13061" width="10.5703125" style="734" bestFit="1" customWidth="1"/>
    <col min="13062" max="13312" width="9.140625" style="734"/>
    <col min="13313" max="13313" width="9.140625" style="734" customWidth="1"/>
    <col min="13314" max="13314" width="70" style="734" bestFit="1" customWidth="1"/>
    <col min="13315" max="13315" width="5.42578125" style="734" bestFit="1" customWidth="1"/>
    <col min="13316" max="13316" width="7" style="734" bestFit="1" customWidth="1"/>
    <col min="13317" max="13317" width="10.5703125" style="734" bestFit="1" customWidth="1"/>
    <col min="13318" max="13568" width="9.140625" style="734"/>
    <col min="13569" max="13569" width="9.140625" style="734" customWidth="1"/>
    <col min="13570" max="13570" width="70" style="734" bestFit="1" customWidth="1"/>
    <col min="13571" max="13571" width="5.42578125" style="734" bestFit="1" customWidth="1"/>
    <col min="13572" max="13572" width="7" style="734" bestFit="1" customWidth="1"/>
    <col min="13573" max="13573" width="10.5703125" style="734" bestFit="1" customWidth="1"/>
    <col min="13574" max="13824" width="9.140625" style="734"/>
    <col min="13825" max="13825" width="9.140625" style="734" customWidth="1"/>
    <col min="13826" max="13826" width="70" style="734" bestFit="1" customWidth="1"/>
    <col min="13827" max="13827" width="5.42578125" style="734" bestFit="1" customWidth="1"/>
    <col min="13828" max="13828" width="7" style="734" bestFit="1" customWidth="1"/>
    <col min="13829" max="13829" width="10.5703125" style="734" bestFit="1" customWidth="1"/>
    <col min="13830" max="14080" width="9.140625" style="734"/>
    <col min="14081" max="14081" width="9.140625" style="734" customWidth="1"/>
    <col min="14082" max="14082" width="70" style="734" bestFit="1" customWidth="1"/>
    <col min="14083" max="14083" width="5.42578125" style="734" bestFit="1" customWidth="1"/>
    <col min="14084" max="14084" width="7" style="734" bestFit="1" customWidth="1"/>
    <col min="14085" max="14085" width="10.5703125" style="734" bestFit="1" customWidth="1"/>
    <col min="14086" max="14336" width="9.140625" style="734"/>
    <col min="14337" max="14337" width="9.140625" style="734" customWidth="1"/>
    <col min="14338" max="14338" width="70" style="734" bestFit="1" customWidth="1"/>
    <col min="14339" max="14339" width="5.42578125" style="734" bestFit="1" customWidth="1"/>
    <col min="14340" max="14340" width="7" style="734" bestFit="1" customWidth="1"/>
    <col min="14341" max="14341" width="10.5703125" style="734" bestFit="1" customWidth="1"/>
    <col min="14342" max="14592" width="9.140625" style="734"/>
    <col min="14593" max="14593" width="9.140625" style="734" customWidth="1"/>
    <col min="14594" max="14594" width="70" style="734" bestFit="1" customWidth="1"/>
    <col min="14595" max="14595" width="5.42578125" style="734" bestFit="1" customWidth="1"/>
    <col min="14596" max="14596" width="7" style="734" bestFit="1" customWidth="1"/>
    <col min="14597" max="14597" width="10.5703125" style="734" bestFit="1" customWidth="1"/>
    <col min="14598" max="14848" width="9.140625" style="734"/>
    <col min="14849" max="14849" width="9.140625" style="734" customWidth="1"/>
    <col min="14850" max="14850" width="70" style="734" bestFit="1" customWidth="1"/>
    <col min="14851" max="14851" width="5.42578125" style="734" bestFit="1" customWidth="1"/>
    <col min="14852" max="14852" width="7" style="734" bestFit="1" customWidth="1"/>
    <col min="14853" max="14853" width="10.5703125" style="734" bestFit="1" customWidth="1"/>
    <col min="14854" max="15104" width="9.140625" style="734"/>
    <col min="15105" max="15105" width="9.140625" style="734" customWidth="1"/>
    <col min="15106" max="15106" width="70" style="734" bestFit="1" customWidth="1"/>
    <col min="15107" max="15107" width="5.42578125" style="734" bestFit="1" customWidth="1"/>
    <col min="15108" max="15108" width="7" style="734" bestFit="1" customWidth="1"/>
    <col min="15109" max="15109" width="10.5703125" style="734" bestFit="1" customWidth="1"/>
    <col min="15110" max="15360" width="9.140625" style="734"/>
    <col min="15361" max="15361" width="9.140625" style="734" customWidth="1"/>
    <col min="15362" max="15362" width="70" style="734" bestFit="1" customWidth="1"/>
    <col min="15363" max="15363" width="5.42578125" style="734" bestFit="1" customWidth="1"/>
    <col min="15364" max="15364" width="7" style="734" bestFit="1" customWidth="1"/>
    <col min="15365" max="15365" width="10.5703125" style="734" bestFit="1" customWidth="1"/>
    <col min="15366" max="15616" width="9.140625" style="734"/>
    <col min="15617" max="15617" width="9.140625" style="734" customWidth="1"/>
    <col min="15618" max="15618" width="70" style="734" bestFit="1" customWidth="1"/>
    <col min="15619" max="15619" width="5.42578125" style="734" bestFit="1" customWidth="1"/>
    <col min="15620" max="15620" width="7" style="734" bestFit="1" customWidth="1"/>
    <col min="15621" max="15621" width="10.5703125" style="734" bestFit="1" customWidth="1"/>
    <col min="15622" max="15872" width="9.140625" style="734"/>
    <col min="15873" max="15873" width="9.140625" style="734" customWidth="1"/>
    <col min="15874" max="15874" width="70" style="734" bestFit="1" customWidth="1"/>
    <col min="15875" max="15875" width="5.42578125" style="734" bestFit="1" customWidth="1"/>
    <col min="15876" max="15876" width="7" style="734" bestFit="1" customWidth="1"/>
    <col min="15877" max="15877" width="10.5703125" style="734" bestFit="1" customWidth="1"/>
    <col min="15878" max="16128" width="9.140625" style="734"/>
    <col min="16129" max="16129" width="9.140625" style="734" customWidth="1"/>
    <col min="16130" max="16130" width="70" style="734" bestFit="1" customWidth="1"/>
    <col min="16131" max="16131" width="5.42578125" style="734" bestFit="1" customWidth="1"/>
    <col min="16132" max="16132" width="7" style="734" bestFit="1" customWidth="1"/>
    <col min="16133" max="16133" width="10.5703125" style="734" bestFit="1" customWidth="1"/>
    <col min="16134" max="16384" width="9.140625" style="734"/>
  </cols>
  <sheetData>
    <row r="1" spans="1:6" x14ac:dyDescent="0.25">
      <c r="A1" s="1370" t="s">
        <v>1101</v>
      </c>
      <c r="B1" s="1370"/>
      <c r="C1" s="1370"/>
      <c r="D1" s="1370"/>
      <c r="E1" s="1370"/>
      <c r="F1" s="1370"/>
    </row>
    <row r="2" spans="1:6" x14ac:dyDescent="0.25">
      <c r="A2" s="1370" t="s">
        <v>1102</v>
      </c>
      <c r="B2" s="1370"/>
      <c r="C2" s="1370"/>
      <c r="D2" s="1370"/>
      <c r="E2" s="1370"/>
      <c r="F2" s="1370"/>
    </row>
    <row r="3" spans="1:6" x14ac:dyDescent="0.25">
      <c r="A3" s="1370" t="s">
        <v>1023</v>
      </c>
      <c r="B3" s="1370"/>
      <c r="C3" s="1370"/>
      <c r="D3" s="1370"/>
      <c r="E3" s="1370"/>
      <c r="F3" s="1370"/>
    </row>
    <row r="4" spans="1:6" x14ac:dyDescent="0.25">
      <c r="A4" s="1375" t="s">
        <v>1</v>
      </c>
      <c r="B4" s="1375"/>
      <c r="C4" s="1375"/>
      <c r="D4" s="1375"/>
      <c r="E4" s="1375"/>
      <c r="F4" s="1375"/>
    </row>
    <row r="5" spans="1:6" ht="25.5" x14ac:dyDescent="0.25">
      <c r="A5" s="735" t="s">
        <v>195</v>
      </c>
      <c r="B5" s="735" t="s">
        <v>391</v>
      </c>
      <c r="C5" s="736" t="s">
        <v>632</v>
      </c>
      <c r="D5" s="737" t="s">
        <v>8</v>
      </c>
      <c r="E5" s="737" t="s">
        <v>7</v>
      </c>
      <c r="F5" s="738" t="s">
        <v>8</v>
      </c>
    </row>
    <row r="6" spans="1:6" s="755" customFormat="1" x14ac:dyDescent="0.25">
      <c r="A6" s="755" t="s">
        <v>231</v>
      </c>
      <c r="C6" s="756">
        <f>SUM(C7:C11)</f>
        <v>61</v>
      </c>
      <c r="D6" s="757">
        <f t="shared" ref="D6:D33" si="0">C6/$C$34*100</f>
        <v>7.6154806491885152</v>
      </c>
      <c r="E6" s="757">
        <v>71362.007989999998</v>
      </c>
      <c r="F6" s="757">
        <f>E6/$E$34*100</f>
        <v>44.297784480003166</v>
      </c>
    </row>
    <row r="7" spans="1:6" x14ac:dyDescent="0.25">
      <c r="B7" s="734" t="s">
        <v>670</v>
      </c>
      <c r="C7" s="753">
        <v>23</v>
      </c>
      <c r="D7" s="754">
        <f t="shared" si="0"/>
        <v>2.8714107365792758</v>
      </c>
      <c r="E7" s="754">
        <v>2786.6420899999998</v>
      </c>
      <c r="F7" s="754">
        <f t="shared" ref="F7:F34" si="1">E7/$E$34*100</f>
        <v>1.7298009711697517</v>
      </c>
    </row>
    <row r="8" spans="1:6" x14ac:dyDescent="0.25">
      <c r="B8" s="734" t="s">
        <v>671</v>
      </c>
      <c r="C8" s="753">
        <v>7</v>
      </c>
      <c r="D8" s="754">
        <f t="shared" si="0"/>
        <v>0.87390761548064921</v>
      </c>
      <c r="E8" s="754">
        <v>1105.5916999999999</v>
      </c>
      <c r="F8" s="754">
        <f t="shared" si="1"/>
        <v>0.68629322841284468</v>
      </c>
    </row>
    <row r="9" spans="1:6" x14ac:dyDescent="0.25">
      <c r="B9" s="734" t="s">
        <v>672</v>
      </c>
      <c r="C9" s="753">
        <v>20</v>
      </c>
      <c r="D9" s="754">
        <f t="shared" si="0"/>
        <v>2.4968789013732833</v>
      </c>
      <c r="E9" s="754">
        <v>66044.958729999998</v>
      </c>
      <c r="F9" s="754">
        <f t="shared" si="1"/>
        <v>40.997239710830677</v>
      </c>
    </row>
    <row r="10" spans="1:6" x14ac:dyDescent="0.25">
      <c r="B10" s="734" t="s">
        <v>673</v>
      </c>
      <c r="C10" s="753">
        <v>9</v>
      </c>
      <c r="D10" s="754">
        <f t="shared" si="0"/>
        <v>1.1235955056179776</v>
      </c>
      <c r="E10" s="754">
        <v>971.81547</v>
      </c>
      <c r="F10" s="754">
        <f t="shared" si="1"/>
        <v>0.60325197478223291</v>
      </c>
    </row>
    <row r="11" spans="1:6" x14ac:dyDescent="0.25">
      <c r="B11" s="734" t="s">
        <v>674</v>
      </c>
      <c r="C11" s="753">
        <v>2</v>
      </c>
      <c r="D11" s="754">
        <f t="shared" si="0"/>
        <v>0.24968789013732834</v>
      </c>
      <c r="E11" s="754">
        <v>453</v>
      </c>
      <c r="F11" s="754">
        <f t="shared" si="1"/>
        <v>0.28119859480766601</v>
      </c>
    </row>
    <row r="12" spans="1:6" s="755" customFormat="1" x14ac:dyDescent="0.25">
      <c r="A12" s="755" t="s">
        <v>234</v>
      </c>
      <c r="C12" s="756">
        <f>SUM(C13:C20)</f>
        <v>250</v>
      </c>
      <c r="D12" s="757">
        <f t="shared" si="0"/>
        <v>31.210986267166042</v>
      </c>
      <c r="E12" s="757">
        <v>33164.473760000001</v>
      </c>
      <c r="F12" s="757">
        <f t="shared" si="1"/>
        <v>20.586762514012609</v>
      </c>
    </row>
    <row r="13" spans="1:6" x14ac:dyDescent="0.25">
      <c r="B13" s="734" t="s">
        <v>675</v>
      </c>
      <c r="C13" s="753">
        <v>2</v>
      </c>
      <c r="D13" s="754">
        <f t="shared" si="0"/>
        <v>0.24968789013732834</v>
      </c>
      <c r="E13" s="754">
        <v>175</v>
      </c>
      <c r="F13" s="754">
        <f t="shared" si="1"/>
        <v>0.10863080373364582</v>
      </c>
    </row>
    <row r="14" spans="1:6" x14ac:dyDescent="0.25">
      <c r="B14" s="734" t="s">
        <v>676</v>
      </c>
      <c r="C14" s="753">
        <v>18</v>
      </c>
      <c r="D14" s="754">
        <f t="shared" si="0"/>
        <v>2.2471910112359552</v>
      </c>
      <c r="E14" s="754">
        <v>2387.9937500000001</v>
      </c>
      <c r="F14" s="754">
        <f t="shared" si="1"/>
        <v>1.4823410307052736</v>
      </c>
    </row>
    <row r="15" spans="1:6" x14ac:dyDescent="0.25">
      <c r="B15" s="734" t="s">
        <v>677</v>
      </c>
      <c r="C15" s="753">
        <v>39</v>
      </c>
      <c r="D15" s="754">
        <f t="shared" si="0"/>
        <v>4.868913857677903</v>
      </c>
      <c r="E15" s="754">
        <v>4386.1315999999997</v>
      </c>
      <c r="F15" s="754">
        <f t="shared" si="1"/>
        <v>2.7226800056545248</v>
      </c>
    </row>
    <row r="16" spans="1:6" x14ac:dyDescent="0.25">
      <c r="B16" s="734" t="s">
        <v>678</v>
      </c>
      <c r="C16" s="753">
        <v>2</v>
      </c>
      <c r="D16" s="754">
        <f t="shared" si="0"/>
        <v>0.24968789013732834</v>
      </c>
      <c r="E16" s="754">
        <v>87.9</v>
      </c>
      <c r="F16" s="754">
        <f t="shared" si="1"/>
        <v>5.456370084678553E-2</v>
      </c>
    </row>
    <row r="17" spans="1:6" x14ac:dyDescent="0.25">
      <c r="B17" s="734" t="s">
        <v>679</v>
      </c>
      <c r="C17" s="753">
        <v>11</v>
      </c>
      <c r="D17" s="754">
        <f t="shared" si="0"/>
        <v>1.3732833957553059</v>
      </c>
      <c r="E17" s="754">
        <v>1158.28575</v>
      </c>
      <c r="F17" s="754">
        <f t="shared" si="1"/>
        <v>0.71900292557559287</v>
      </c>
    </row>
    <row r="18" spans="1:6" x14ac:dyDescent="0.25">
      <c r="B18" s="734" t="s">
        <v>680</v>
      </c>
      <c r="C18" s="753">
        <v>162</v>
      </c>
      <c r="D18" s="754">
        <f t="shared" si="0"/>
        <v>20.224719101123593</v>
      </c>
      <c r="E18" s="754">
        <v>22001.729640000001</v>
      </c>
      <c r="F18" s="754">
        <f t="shared" si="1"/>
        <v>13.657517567563302</v>
      </c>
    </row>
    <row r="19" spans="1:6" x14ac:dyDescent="0.25">
      <c r="B19" s="734" t="s">
        <v>681</v>
      </c>
      <c r="C19" s="753">
        <v>6</v>
      </c>
      <c r="D19" s="754">
        <f t="shared" si="0"/>
        <v>0.74906367041198507</v>
      </c>
      <c r="E19" s="754">
        <v>467.93602000000004</v>
      </c>
      <c r="F19" s="754">
        <f t="shared" si="1"/>
        <v>0.29047009113441924</v>
      </c>
    </row>
    <row r="20" spans="1:6" x14ac:dyDescent="0.25">
      <c r="B20" s="734" t="s">
        <v>682</v>
      </c>
      <c r="C20" s="753">
        <v>10</v>
      </c>
      <c r="D20" s="754">
        <f t="shared" si="0"/>
        <v>1.2484394506866416</v>
      </c>
      <c r="E20" s="754">
        <v>2499.4969999999998</v>
      </c>
      <c r="F20" s="754">
        <f t="shared" si="1"/>
        <v>1.5515563887990655</v>
      </c>
    </row>
    <row r="21" spans="1:6" s="755" customFormat="1" x14ac:dyDescent="0.25">
      <c r="A21" s="755" t="s">
        <v>683</v>
      </c>
      <c r="C21" s="756">
        <f>SUM(C22:C33)</f>
        <v>490</v>
      </c>
      <c r="D21" s="757">
        <f t="shared" si="0"/>
        <v>61.173533083645445</v>
      </c>
      <c r="E21" s="757">
        <v>56569.629099999984</v>
      </c>
      <c r="F21" s="757">
        <f t="shared" si="1"/>
        <v>35.115453005984214</v>
      </c>
    </row>
    <row r="22" spans="1:6" x14ac:dyDescent="0.25">
      <c r="B22" s="734" t="s">
        <v>684</v>
      </c>
      <c r="C22" s="753">
        <v>233</v>
      </c>
      <c r="D22" s="754">
        <f t="shared" si="0"/>
        <v>29.088639200998749</v>
      </c>
      <c r="E22" s="754">
        <v>20561.151340000004</v>
      </c>
      <c r="F22" s="754">
        <f t="shared" si="1"/>
        <v>12.763282261447594</v>
      </c>
    </row>
    <row r="23" spans="1:6" x14ac:dyDescent="0.25">
      <c r="B23" s="734" t="s">
        <v>685</v>
      </c>
      <c r="C23" s="753">
        <v>40</v>
      </c>
      <c r="D23" s="754">
        <f t="shared" si="0"/>
        <v>4.9937578027465666</v>
      </c>
      <c r="E23" s="754">
        <v>4463.4852299999993</v>
      </c>
      <c r="F23" s="754">
        <f t="shared" si="1"/>
        <v>2.7706970742180395</v>
      </c>
    </row>
    <row r="24" spans="1:6" x14ac:dyDescent="0.25">
      <c r="B24" s="734" t="s">
        <v>686</v>
      </c>
      <c r="C24" s="753">
        <v>104</v>
      </c>
      <c r="D24" s="754">
        <f t="shared" si="0"/>
        <v>12.983770287141075</v>
      </c>
      <c r="E24" s="754">
        <v>12614.623700000002</v>
      </c>
      <c r="F24" s="754">
        <f t="shared" si="1"/>
        <v>7.8304954933056985</v>
      </c>
    </row>
    <row r="25" spans="1:6" x14ac:dyDescent="0.25">
      <c r="B25" s="734" t="s">
        <v>687</v>
      </c>
      <c r="C25" s="753">
        <v>24</v>
      </c>
      <c r="D25" s="754">
        <f t="shared" si="0"/>
        <v>2.9962546816479403</v>
      </c>
      <c r="E25" s="754">
        <v>2865.4627999999998</v>
      </c>
      <c r="F25" s="754">
        <f t="shared" si="1"/>
        <v>1.7787287259020752</v>
      </c>
    </row>
    <row r="26" spans="1:6" x14ac:dyDescent="0.25">
      <c r="B26" s="734" t="s">
        <v>688</v>
      </c>
      <c r="C26" s="753">
        <v>2</v>
      </c>
      <c r="D26" s="754">
        <f t="shared" si="0"/>
        <v>0.24968789013732834</v>
      </c>
      <c r="E26" s="754">
        <v>148.5</v>
      </c>
      <c r="F26" s="754">
        <f t="shared" si="1"/>
        <v>9.218099631112231E-2</v>
      </c>
    </row>
    <row r="27" spans="1:6" x14ac:dyDescent="0.25">
      <c r="B27" s="734" t="s">
        <v>689</v>
      </c>
      <c r="C27" s="753">
        <v>5</v>
      </c>
      <c r="D27" s="754">
        <f t="shared" si="0"/>
        <v>0.62421972534332082</v>
      </c>
      <c r="E27" s="754">
        <v>131.83779999999999</v>
      </c>
      <c r="F27" s="754">
        <f t="shared" si="1"/>
        <v>8.1837978151289431E-2</v>
      </c>
    </row>
    <row r="28" spans="1:6" x14ac:dyDescent="0.25">
      <c r="B28" s="734" t="s">
        <v>690</v>
      </c>
      <c r="C28" s="753">
        <v>18</v>
      </c>
      <c r="D28" s="754">
        <f t="shared" si="0"/>
        <v>2.2471910112359552</v>
      </c>
      <c r="E28" s="754">
        <v>2303.6453700000002</v>
      </c>
      <c r="F28" s="754">
        <f t="shared" si="1"/>
        <v>1.4299819889165253</v>
      </c>
    </row>
    <row r="29" spans="1:6" x14ac:dyDescent="0.25">
      <c r="B29" s="734" t="s">
        <v>691</v>
      </c>
      <c r="C29" s="753">
        <v>6</v>
      </c>
      <c r="D29" s="754">
        <f t="shared" si="0"/>
        <v>0.74906367041198507</v>
      </c>
      <c r="E29" s="754">
        <v>460.98599999999999</v>
      </c>
      <c r="F29" s="754">
        <f t="shared" si="1"/>
        <v>0.2861558839426197</v>
      </c>
    </row>
    <row r="30" spans="1:6" x14ac:dyDescent="0.25">
      <c r="B30" s="734" t="s">
        <v>692</v>
      </c>
      <c r="C30" s="753">
        <v>1</v>
      </c>
      <c r="D30" s="754">
        <f t="shared" si="0"/>
        <v>0.12484394506866417</v>
      </c>
      <c r="E30" s="754">
        <v>198.59162000000001</v>
      </c>
      <c r="F30" s="754">
        <f t="shared" si="1"/>
        <v>0.12327524168781012</v>
      </c>
    </row>
    <row r="31" spans="1:6" x14ac:dyDescent="0.25">
      <c r="B31" s="734" t="s">
        <v>693</v>
      </c>
      <c r="C31" s="753">
        <v>1</v>
      </c>
      <c r="D31" s="754">
        <f t="shared" si="0"/>
        <v>0.12484394506866417</v>
      </c>
      <c r="E31" s="754">
        <v>36</v>
      </c>
      <c r="F31" s="754">
        <f t="shared" si="1"/>
        <v>2.234690819663571E-2</v>
      </c>
    </row>
    <row r="32" spans="1:6" x14ac:dyDescent="0.25">
      <c r="B32" s="734" t="s">
        <v>694</v>
      </c>
      <c r="C32" s="753">
        <v>51</v>
      </c>
      <c r="D32" s="754">
        <f t="shared" si="0"/>
        <v>6.3670411985018731</v>
      </c>
      <c r="E32" s="754">
        <v>4675.7530900000002</v>
      </c>
      <c r="F32" s="754">
        <f t="shared" si="1"/>
        <v>2.9024618070101602</v>
      </c>
    </row>
    <row r="33" spans="1:6" x14ac:dyDescent="0.25">
      <c r="B33" s="734" t="s">
        <v>695</v>
      </c>
      <c r="C33" s="753">
        <v>5</v>
      </c>
      <c r="D33" s="754">
        <f t="shared" si="0"/>
        <v>0.62421972534332082</v>
      </c>
      <c r="E33" s="754">
        <v>8109.5921500000004</v>
      </c>
      <c r="F33" s="754">
        <f t="shared" si="1"/>
        <v>5.0340086468946561</v>
      </c>
    </row>
    <row r="34" spans="1:6" s="755" customFormat="1" x14ac:dyDescent="0.25">
      <c r="A34" s="735" t="s">
        <v>29</v>
      </c>
      <c r="B34" s="735"/>
      <c r="C34" s="736">
        <f>C6+C12+C21</f>
        <v>801</v>
      </c>
      <c r="D34" s="737">
        <f>D6+D12+D21</f>
        <v>100</v>
      </c>
      <c r="E34" s="737">
        <v>161096.11085</v>
      </c>
      <c r="F34" s="737">
        <f t="shared" si="1"/>
        <v>100</v>
      </c>
    </row>
    <row r="35" spans="1:6" x14ac:dyDescent="0.25">
      <c r="A35" s="484" t="s">
        <v>67</v>
      </c>
    </row>
    <row r="36" spans="1:6" x14ac:dyDescent="0.25">
      <c r="A36" s="484" t="s">
        <v>1016</v>
      </c>
    </row>
  </sheetData>
  <sheetProtection password="9C8D" sheet="1" objects="1" scenarios="1"/>
  <mergeCells count="4">
    <mergeCell ref="A1:F1"/>
    <mergeCell ref="A4:F4"/>
    <mergeCell ref="A2:F2"/>
    <mergeCell ref="A3:F3"/>
  </mergeCells>
  <pageMargins left="0.511811024" right="0.511811024" top="0.78740157499999996" bottom="0.78740157499999996" header="0.31496062000000002" footer="0.31496062000000002"/>
  <pageSetup paperSize="9" orientation="portrait" verticalDpi="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indowProtection="1" workbookViewId="0">
      <selection activeCell="B15" sqref="B15"/>
    </sheetView>
  </sheetViews>
  <sheetFormatPr defaultRowHeight="15" x14ac:dyDescent="0.25"/>
  <cols>
    <col min="1" max="1" width="11" style="602" customWidth="1"/>
    <col min="2" max="2" width="46.7109375" style="602" bestFit="1" customWidth="1"/>
    <col min="3" max="3" width="9.140625" style="764"/>
    <col min="4" max="4" width="9.140625" style="602"/>
    <col min="5" max="5" width="11.28515625" style="602" bestFit="1" customWidth="1"/>
    <col min="6" max="255" width="9.140625" style="602"/>
    <col min="256" max="256" width="11" style="602" customWidth="1"/>
    <col min="257" max="257" width="46.7109375" style="602" bestFit="1" customWidth="1"/>
    <col min="258" max="259" width="9.140625" style="602"/>
    <col min="260" max="260" width="11.28515625" style="602" bestFit="1" customWidth="1"/>
    <col min="261" max="261" width="9.140625" style="602"/>
    <col min="262" max="262" width="14.28515625" style="602" bestFit="1" customWidth="1"/>
    <col min="263" max="511" width="9.140625" style="602"/>
    <col min="512" max="512" width="11" style="602" customWidth="1"/>
    <col min="513" max="513" width="46.7109375" style="602" bestFit="1" customWidth="1"/>
    <col min="514" max="515" width="9.140625" style="602"/>
    <col min="516" max="516" width="11.28515625" style="602" bestFit="1" customWidth="1"/>
    <col min="517" max="517" width="9.140625" style="602"/>
    <col min="518" max="518" width="14.28515625" style="602" bestFit="1" customWidth="1"/>
    <col min="519" max="767" width="9.140625" style="602"/>
    <col min="768" max="768" width="11" style="602" customWidth="1"/>
    <col min="769" max="769" width="46.7109375" style="602" bestFit="1" customWidth="1"/>
    <col min="770" max="771" width="9.140625" style="602"/>
    <col min="772" max="772" width="11.28515625" style="602" bestFit="1" customWidth="1"/>
    <col min="773" max="773" width="9.140625" style="602"/>
    <col min="774" max="774" width="14.28515625" style="602" bestFit="1" customWidth="1"/>
    <col min="775" max="1023" width="9.140625" style="602"/>
    <col min="1024" max="1024" width="11" style="602" customWidth="1"/>
    <col min="1025" max="1025" width="46.7109375" style="602" bestFit="1" customWidth="1"/>
    <col min="1026" max="1027" width="9.140625" style="602"/>
    <col min="1028" max="1028" width="11.28515625" style="602" bestFit="1" customWidth="1"/>
    <col min="1029" max="1029" width="9.140625" style="602"/>
    <col min="1030" max="1030" width="14.28515625" style="602" bestFit="1" customWidth="1"/>
    <col min="1031" max="1279" width="9.140625" style="602"/>
    <col min="1280" max="1280" width="11" style="602" customWidth="1"/>
    <col min="1281" max="1281" width="46.7109375" style="602" bestFit="1" customWidth="1"/>
    <col min="1282" max="1283" width="9.140625" style="602"/>
    <col min="1284" max="1284" width="11.28515625" style="602" bestFit="1" customWidth="1"/>
    <col min="1285" max="1285" width="9.140625" style="602"/>
    <col min="1286" max="1286" width="14.28515625" style="602" bestFit="1" customWidth="1"/>
    <col min="1287" max="1535" width="9.140625" style="602"/>
    <col min="1536" max="1536" width="11" style="602" customWidth="1"/>
    <col min="1537" max="1537" width="46.7109375" style="602" bestFit="1" customWidth="1"/>
    <col min="1538" max="1539" width="9.140625" style="602"/>
    <col min="1540" max="1540" width="11.28515625" style="602" bestFit="1" customWidth="1"/>
    <col min="1541" max="1541" width="9.140625" style="602"/>
    <col min="1542" max="1542" width="14.28515625" style="602" bestFit="1" customWidth="1"/>
    <col min="1543" max="1791" width="9.140625" style="602"/>
    <col min="1792" max="1792" width="11" style="602" customWidth="1"/>
    <col min="1793" max="1793" width="46.7109375" style="602" bestFit="1" customWidth="1"/>
    <col min="1794" max="1795" width="9.140625" style="602"/>
    <col min="1796" max="1796" width="11.28515625" style="602" bestFit="1" customWidth="1"/>
    <col min="1797" max="1797" width="9.140625" style="602"/>
    <col min="1798" max="1798" width="14.28515625" style="602" bestFit="1" customWidth="1"/>
    <col min="1799" max="2047" width="9.140625" style="602"/>
    <col min="2048" max="2048" width="11" style="602" customWidth="1"/>
    <col min="2049" max="2049" width="46.7109375" style="602" bestFit="1" customWidth="1"/>
    <col min="2050" max="2051" width="9.140625" style="602"/>
    <col min="2052" max="2052" width="11.28515625" style="602" bestFit="1" customWidth="1"/>
    <col min="2053" max="2053" width="9.140625" style="602"/>
    <col min="2054" max="2054" width="14.28515625" style="602" bestFit="1" customWidth="1"/>
    <col min="2055" max="2303" width="9.140625" style="602"/>
    <col min="2304" max="2304" width="11" style="602" customWidth="1"/>
    <col min="2305" max="2305" width="46.7109375" style="602" bestFit="1" customWidth="1"/>
    <col min="2306" max="2307" width="9.140625" style="602"/>
    <col min="2308" max="2308" width="11.28515625" style="602" bestFit="1" customWidth="1"/>
    <col min="2309" max="2309" width="9.140625" style="602"/>
    <col min="2310" max="2310" width="14.28515625" style="602" bestFit="1" customWidth="1"/>
    <col min="2311" max="2559" width="9.140625" style="602"/>
    <col min="2560" max="2560" width="11" style="602" customWidth="1"/>
    <col min="2561" max="2561" width="46.7109375" style="602" bestFit="1" customWidth="1"/>
    <col min="2562" max="2563" width="9.140625" style="602"/>
    <col min="2564" max="2564" width="11.28515625" style="602" bestFit="1" customWidth="1"/>
    <col min="2565" max="2565" width="9.140625" style="602"/>
    <col min="2566" max="2566" width="14.28515625" style="602" bestFit="1" customWidth="1"/>
    <col min="2567" max="2815" width="9.140625" style="602"/>
    <col min="2816" max="2816" width="11" style="602" customWidth="1"/>
    <col min="2817" max="2817" width="46.7109375" style="602" bestFit="1" customWidth="1"/>
    <col min="2818" max="2819" width="9.140625" style="602"/>
    <col min="2820" max="2820" width="11.28515625" style="602" bestFit="1" customWidth="1"/>
    <col min="2821" max="2821" width="9.140625" style="602"/>
    <col min="2822" max="2822" width="14.28515625" style="602" bestFit="1" customWidth="1"/>
    <col min="2823" max="3071" width="9.140625" style="602"/>
    <col min="3072" max="3072" width="11" style="602" customWidth="1"/>
    <col min="3073" max="3073" width="46.7109375" style="602" bestFit="1" customWidth="1"/>
    <col min="3074" max="3075" width="9.140625" style="602"/>
    <col min="3076" max="3076" width="11.28515625" style="602" bestFit="1" customWidth="1"/>
    <col min="3077" max="3077" width="9.140625" style="602"/>
    <col min="3078" max="3078" width="14.28515625" style="602" bestFit="1" customWidth="1"/>
    <col min="3079" max="3327" width="9.140625" style="602"/>
    <col min="3328" max="3328" width="11" style="602" customWidth="1"/>
    <col min="3329" max="3329" width="46.7109375" style="602" bestFit="1" customWidth="1"/>
    <col min="3330" max="3331" width="9.140625" style="602"/>
    <col min="3332" max="3332" width="11.28515625" style="602" bestFit="1" customWidth="1"/>
    <col min="3333" max="3333" width="9.140625" style="602"/>
    <col min="3334" max="3334" width="14.28515625" style="602" bestFit="1" customWidth="1"/>
    <col min="3335" max="3583" width="9.140625" style="602"/>
    <col min="3584" max="3584" width="11" style="602" customWidth="1"/>
    <col min="3585" max="3585" width="46.7109375" style="602" bestFit="1" customWidth="1"/>
    <col min="3586" max="3587" width="9.140625" style="602"/>
    <col min="3588" max="3588" width="11.28515625" style="602" bestFit="1" customWidth="1"/>
    <col min="3589" max="3589" width="9.140625" style="602"/>
    <col min="3590" max="3590" width="14.28515625" style="602" bestFit="1" customWidth="1"/>
    <col min="3591" max="3839" width="9.140625" style="602"/>
    <col min="3840" max="3840" width="11" style="602" customWidth="1"/>
    <col min="3841" max="3841" width="46.7109375" style="602" bestFit="1" customWidth="1"/>
    <col min="3842" max="3843" width="9.140625" style="602"/>
    <col min="3844" max="3844" width="11.28515625" style="602" bestFit="1" customWidth="1"/>
    <col min="3845" max="3845" width="9.140625" style="602"/>
    <col min="3846" max="3846" width="14.28515625" style="602" bestFit="1" customWidth="1"/>
    <col min="3847" max="4095" width="9.140625" style="602"/>
    <col min="4096" max="4096" width="11" style="602" customWidth="1"/>
    <col min="4097" max="4097" width="46.7109375" style="602" bestFit="1" customWidth="1"/>
    <col min="4098" max="4099" width="9.140625" style="602"/>
    <col min="4100" max="4100" width="11.28515625" style="602" bestFit="1" customWidth="1"/>
    <col min="4101" max="4101" width="9.140625" style="602"/>
    <col min="4102" max="4102" width="14.28515625" style="602" bestFit="1" customWidth="1"/>
    <col min="4103" max="4351" width="9.140625" style="602"/>
    <col min="4352" max="4352" width="11" style="602" customWidth="1"/>
    <col min="4353" max="4353" width="46.7109375" style="602" bestFit="1" customWidth="1"/>
    <col min="4354" max="4355" width="9.140625" style="602"/>
    <col min="4356" max="4356" width="11.28515625" style="602" bestFit="1" customWidth="1"/>
    <col min="4357" max="4357" width="9.140625" style="602"/>
    <col min="4358" max="4358" width="14.28515625" style="602" bestFit="1" customWidth="1"/>
    <col min="4359" max="4607" width="9.140625" style="602"/>
    <col min="4608" max="4608" width="11" style="602" customWidth="1"/>
    <col min="4609" max="4609" width="46.7109375" style="602" bestFit="1" customWidth="1"/>
    <col min="4610" max="4611" width="9.140625" style="602"/>
    <col min="4612" max="4612" width="11.28515625" style="602" bestFit="1" customWidth="1"/>
    <col min="4613" max="4613" width="9.140625" style="602"/>
    <col min="4614" max="4614" width="14.28515625" style="602" bestFit="1" customWidth="1"/>
    <col min="4615" max="4863" width="9.140625" style="602"/>
    <col min="4864" max="4864" width="11" style="602" customWidth="1"/>
    <col min="4865" max="4865" width="46.7109375" style="602" bestFit="1" customWidth="1"/>
    <col min="4866" max="4867" width="9.140625" style="602"/>
    <col min="4868" max="4868" width="11.28515625" style="602" bestFit="1" customWidth="1"/>
    <col min="4869" max="4869" width="9.140625" style="602"/>
    <col min="4870" max="4870" width="14.28515625" style="602" bestFit="1" customWidth="1"/>
    <col min="4871" max="5119" width="9.140625" style="602"/>
    <col min="5120" max="5120" width="11" style="602" customWidth="1"/>
    <col min="5121" max="5121" width="46.7109375" style="602" bestFit="1" customWidth="1"/>
    <col min="5122" max="5123" width="9.140625" style="602"/>
    <col min="5124" max="5124" width="11.28515625" style="602" bestFit="1" customWidth="1"/>
    <col min="5125" max="5125" width="9.140625" style="602"/>
    <col min="5126" max="5126" width="14.28515625" style="602" bestFit="1" customWidth="1"/>
    <col min="5127" max="5375" width="9.140625" style="602"/>
    <col min="5376" max="5376" width="11" style="602" customWidth="1"/>
    <col min="5377" max="5377" width="46.7109375" style="602" bestFit="1" customWidth="1"/>
    <col min="5378" max="5379" width="9.140625" style="602"/>
    <col min="5380" max="5380" width="11.28515625" style="602" bestFit="1" customWidth="1"/>
    <col min="5381" max="5381" width="9.140625" style="602"/>
    <col min="5382" max="5382" width="14.28515625" style="602" bestFit="1" customWidth="1"/>
    <col min="5383" max="5631" width="9.140625" style="602"/>
    <col min="5632" max="5632" width="11" style="602" customWidth="1"/>
    <col min="5633" max="5633" width="46.7109375" style="602" bestFit="1" customWidth="1"/>
    <col min="5634" max="5635" width="9.140625" style="602"/>
    <col min="5636" max="5636" width="11.28515625" style="602" bestFit="1" customWidth="1"/>
    <col min="5637" max="5637" width="9.140625" style="602"/>
    <col min="5638" max="5638" width="14.28515625" style="602" bestFit="1" customWidth="1"/>
    <col min="5639" max="5887" width="9.140625" style="602"/>
    <col min="5888" max="5888" width="11" style="602" customWidth="1"/>
    <col min="5889" max="5889" width="46.7109375" style="602" bestFit="1" customWidth="1"/>
    <col min="5890" max="5891" width="9.140625" style="602"/>
    <col min="5892" max="5892" width="11.28515625" style="602" bestFit="1" customWidth="1"/>
    <col min="5893" max="5893" width="9.140625" style="602"/>
    <col min="5894" max="5894" width="14.28515625" style="602" bestFit="1" customWidth="1"/>
    <col min="5895" max="6143" width="9.140625" style="602"/>
    <col min="6144" max="6144" width="11" style="602" customWidth="1"/>
    <col min="6145" max="6145" width="46.7109375" style="602" bestFit="1" customWidth="1"/>
    <col min="6146" max="6147" width="9.140625" style="602"/>
    <col min="6148" max="6148" width="11.28515625" style="602" bestFit="1" customWidth="1"/>
    <col min="6149" max="6149" width="9.140625" style="602"/>
    <col min="6150" max="6150" width="14.28515625" style="602" bestFit="1" customWidth="1"/>
    <col min="6151" max="6399" width="9.140625" style="602"/>
    <col min="6400" max="6400" width="11" style="602" customWidth="1"/>
    <col min="6401" max="6401" width="46.7109375" style="602" bestFit="1" customWidth="1"/>
    <col min="6402" max="6403" width="9.140625" style="602"/>
    <col min="6404" max="6404" width="11.28515625" style="602" bestFit="1" customWidth="1"/>
    <col min="6405" max="6405" width="9.140625" style="602"/>
    <col min="6406" max="6406" width="14.28515625" style="602" bestFit="1" customWidth="1"/>
    <col min="6407" max="6655" width="9.140625" style="602"/>
    <col min="6656" max="6656" width="11" style="602" customWidth="1"/>
    <col min="6657" max="6657" width="46.7109375" style="602" bestFit="1" customWidth="1"/>
    <col min="6658" max="6659" width="9.140625" style="602"/>
    <col min="6660" max="6660" width="11.28515625" style="602" bestFit="1" customWidth="1"/>
    <col min="6661" max="6661" width="9.140625" style="602"/>
    <col min="6662" max="6662" width="14.28515625" style="602" bestFit="1" customWidth="1"/>
    <col min="6663" max="6911" width="9.140625" style="602"/>
    <col min="6912" max="6912" width="11" style="602" customWidth="1"/>
    <col min="6913" max="6913" width="46.7109375" style="602" bestFit="1" customWidth="1"/>
    <col min="6914" max="6915" width="9.140625" style="602"/>
    <col min="6916" max="6916" width="11.28515625" style="602" bestFit="1" customWidth="1"/>
    <col min="6917" max="6917" width="9.140625" style="602"/>
    <col min="6918" max="6918" width="14.28515625" style="602" bestFit="1" customWidth="1"/>
    <col min="6919" max="7167" width="9.140625" style="602"/>
    <col min="7168" max="7168" width="11" style="602" customWidth="1"/>
    <col min="7169" max="7169" width="46.7109375" style="602" bestFit="1" customWidth="1"/>
    <col min="7170" max="7171" width="9.140625" style="602"/>
    <col min="7172" max="7172" width="11.28515625" style="602" bestFit="1" customWidth="1"/>
    <col min="7173" max="7173" width="9.140625" style="602"/>
    <col min="7174" max="7174" width="14.28515625" style="602" bestFit="1" customWidth="1"/>
    <col min="7175" max="7423" width="9.140625" style="602"/>
    <col min="7424" max="7424" width="11" style="602" customWidth="1"/>
    <col min="7425" max="7425" width="46.7109375" style="602" bestFit="1" customWidth="1"/>
    <col min="7426" max="7427" width="9.140625" style="602"/>
    <col min="7428" max="7428" width="11.28515625" style="602" bestFit="1" customWidth="1"/>
    <col min="7429" max="7429" width="9.140625" style="602"/>
    <col min="7430" max="7430" width="14.28515625" style="602" bestFit="1" customWidth="1"/>
    <col min="7431" max="7679" width="9.140625" style="602"/>
    <col min="7680" max="7680" width="11" style="602" customWidth="1"/>
    <col min="7681" max="7681" width="46.7109375" style="602" bestFit="1" customWidth="1"/>
    <col min="7682" max="7683" width="9.140625" style="602"/>
    <col min="7684" max="7684" width="11.28515625" style="602" bestFit="1" customWidth="1"/>
    <col min="7685" max="7685" width="9.140625" style="602"/>
    <col min="7686" max="7686" width="14.28515625" style="602" bestFit="1" customWidth="1"/>
    <col min="7687" max="7935" width="9.140625" style="602"/>
    <col min="7936" max="7936" width="11" style="602" customWidth="1"/>
    <col min="7937" max="7937" width="46.7109375" style="602" bestFit="1" customWidth="1"/>
    <col min="7938" max="7939" width="9.140625" style="602"/>
    <col min="7940" max="7940" width="11.28515625" style="602" bestFit="1" customWidth="1"/>
    <col min="7941" max="7941" width="9.140625" style="602"/>
    <col min="7942" max="7942" width="14.28515625" style="602" bestFit="1" customWidth="1"/>
    <col min="7943" max="8191" width="9.140625" style="602"/>
    <col min="8192" max="8192" width="11" style="602" customWidth="1"/>
    <col min="8193" max="8193" width="46.7109375" style="602" bestFit="1" customWidth="1"/>
    <col min="8194" max="8195" width="9.140625" style="602"/>
    <col min="8196" max="8196" width="11.28515625" style="602" bestFit="1" customWidth="1"/>
    <col min="8197" max="8197" width="9.140625" style="602"/>
    <col min="8198" max="8198" width="14.28515625" style="602" bestFit="1" customWidth="1"/>
    <col min="8199" max="8447" width="9.140625" style="602"/>
    <col min="8448" max="8448" width="11" style="602" customWidth="1"/>
    <col min="8449" max="8449" width="46.7109375" style="602" bestFit="1" customWidth="1"/>
    <col min="8450" max="8451" width="9.140625" style="602"/>
    <col min="8452" max="8452" width="11.28515625" style="602" bestFit="1" customWidth="1"/>
    <col min="8453" max="8453" width="9.140625" style="602"/>
    <col min="8454" max="8454" width="14.28515625" style="602" bestFit="1" customWidth="1"/>
    <col min="8455" max="8703" width="9.140625" style="602"/>
    <col min="8704" max="8704" width="11" style="602" customWidth="1"/>
    <col min="8705" max="8705" width="46.7109375" style="602" bestFit="1" customWidth="1"/>
    <col min="8706" max="8707" width="9.140625" style="602"/>
    <col min="8708" max="8708" width="11.28515625" style="602" bestFit="1" customWidth="1"/>
    <col min="8709" max="8709" width="9.140625" style="602"/>
    <col min="8710" max="8710" width="14.28515625" style="602" bestFit="1" customWidth="1"/>
    <col min="8711" max="8959" width="9.140625" style="602"/>
    <col min="8960" max="8960" width="11" style="602" customWidth="1"/>
    <col min="8961" max="8961" width="46.7109375" style="602" bestFit="1" customWidth="1"/>
    <col min="8962" max="8963" width="9.140625" style="602"/>
    <col min="8964" max="8964" width="11.28515625" style="602" bestFit="1" customWidth="1"/>
    <col min="8965" max="8965" width="9.140625" style="602"/>
    <col min="8966" max="8966" width="14.28515625" style="602" bestFit="1" customWidth="1"/>
    <col min="8967" max="9215" width="9.140625" style="602"/>
    <col min="9216" max="9216" width="11" style="602" customWidth="1"/>
    <col min="9217" max="9217" width="46.7109375" style="602" bestFit="1" customWidth="1"/>
    <col min="9218" max="9219" width="9.140625" style="602"/>
    <col min="9220" max="9220" width="11.28515625" style="602" bestFit="1" customWidth="1"/>
    <col min="9221" max="9221" width="9.140625" style="602"/>
    <col min="9222" max="9222" width="14.28515625" style="602" bestFit="1" customWidth="1"/>
    <col min="9223" max="9471" width="9.140625" style="602"/>
    <col min="9472" max="9472" width="11" style="602" customWidth="1"/>
    <col min="9473" max="9473" width="46.7109375" style="602" bestFit="1" customWidth="1"/>
    <col min="9474" max="9475" width="9.140625" style="602"/>
    <col min="9476" max="9476" width="11.28515625" style="602" bestFit="1" customWidth="1"/>
    <col min="9477" max="9477" width="9.140625" style="602"/>
    <col min="9478" max="9478" width="14.28515625" style="602" bestFit="1" customWidth="1"/>
    <col min="9479" max="9727" width="9.140625" style="602"/>
    <col min="9728" max="9728" width="11" style="602" customWidth="1"/>
    <col min="9729" max="9729" width="46.7109375" style="602" bestFit="1" customWidth="1"/>
    <col min="9730" max="9731" width="9.140625" style="602"/>
    <col min="9732" max="9732" width="11.28515625" style="602" bestFit="1" customWidth="1"/>
    <col min="9733" max="9733" width="9.140625" style="602"/>
    <col min="9734" max="9734" width="14.28515625" style="602" bestFit="1" customWidth="1"/>
    <col min="9735" max="9983" width="9.140625" style="602"/>
    <col min="9984" max="9984" width="11" style="602" customWidth="1"/>
    <col min="9985" max="9985" width="46.7109375" style="602" bestFit="1" customWidth="1"/>
    <col min="9986" max="9987" width="9.140625" style="602"/>
    <col min="9988" max="9988" width="11.28515625" style="602" bestFit="1" customWidth="1"/>
    <col min="9989" max="9989" width="9.140625" style="602"/>
    <col min="9990" max="9990" width="14.28515625" style="602" bestFit="1" customWidth="1"/>
    <col min="9991" max="10239" width="9.140625" style="602"/>
    <col min="10240" max="10240" width="11" style="602" customWidth="1"/>
    <col min="10241" max="10241" width="46.7109375" style="602" bestFit="1" customWidth="1"/>
    <col min="10242" max="10243" width="9.140625" style="602"/>
    <col min="10244" max="10244" width="11.28515625" style="602" bestFit="1" customWidth="1"/>
    <col min="10245" max="10245" width="9.140625" style="602"/>
    <col min="10246" max="10246" width="14.28515625" style="602" bestFit="1" customWidth="1"/>
    <col min="10247" max="10495" width="9.140625" style="602"/>
    <col min="10496" max="10496" width="11" style="602" customWidth="1"/>
    <col min="10497" max="10497" width="46.7109375" style="602" bestFit="1" customWidth="1"/>
    <col min="10498" max="10499" width="9.140625" style="602"/>
    <col min="10500" max="10500" width="11.28515625" style="602" bestFit="1" customWidth="1"/>
    <col min="10501" max="10501" width="9.140625" style="602"/>
    <col min="10502" max="10502" width="14.28515625" style="602" bestFit="1" customWidth="1"/>
    <col min="10503" max="10751" width="9.140625" style="602"/>
    <col min="10752" max="10752" width="11" style="602" customWidth="1"/>
    <col min="10753" max="10753" width="46.7109375" style="602" bestFit="1" customWidth="1"/>
    <col min="10754" max="10755" width="9.140625" style="602"/>
    <col min="10756" max="10756" width="11.28515625" style="602" bestFit="1" customWidth="1"/>
    <col min="10757" max="10757" width="9.140625" style="602"/>
    <col min="10758" max="10758" width="14.28515625" style="602" bestFit="1" customWidth="1"/>
    <col min="10759" max="11007" width="9.140625" style="602"/>
    <col min="11008" max="11008" width="11" style="602" customWidth="1"/>
    <col min="11009" max="11009" width="46.7109375" style="602" bestFit="1" customWidth="1"/>
    <col min="11010" max="11011" width="9.140625" style="602"/>
    <col min="11012" max="11012" width="11.28515625" style="602" bestFit="1" customWidth="1"/>
    <col min="11013" max="11013" width="9.140625" style="602"/>
    <col min="11014" max="11014" width="14.28515625" style="602" bestFit="1" customWidth="1"/>
    <col min="11015" max="11263" width="9.140625" style="602"/>
    <col min="11264" max="11264" width="11" style="602" customWidth="1"/>
    <col min="11265" max="11265" width="46.7109375" style="602" bestFit="1" customWidth="1"/>
    <col min="11266" max="11267" width="9.140625" style="602"/>
    <col min="11268" max="11268" width="11.28515625" style="602" bestFit="1" customWidth="1"/>
    <col min="11269" max="11269" width="9.140625" style="602"/>
    <col min="11270" max="11270" width="14.28515625" style="602" bestFit="1" customWidth="1"/>
    <col min="11271" max="11519" width="9.140625" style="602"/>
    <col min="11520" max="11520" width="11" style="602" customWidth="1"/>
    <col min="11521" max="11521" width="46.7109375" style="602" bestFit="1" customWidth="1"/>
    <col min="11522" max="11523" width="9.140625" style="602"/>
    <col min="11524" max="11524" width="11.28515625" style="602" bestFit="1" customWidth="1"/>
    <col min="11525" max="11525" width="9.140625" style="602"/>
    <col min="11526" max="11526" width="14.28515625" style="602" bestFit="1" customWidth="1"/>
    <col min="11527" max="11775" width="9.140625" style="602"/>
    <col min="11776" max="11776" width="11" style="602" customWidth="1"/>
    <col min="11777" max="11777" width="46.7109375" style="602" bestFit="1" customWidth="1"/>
    <col min="11778" max="11779" width="9.140625" style="602"/>
    <col min="11780" max="11780" width="11.28515625" style="602" bestFit="1" customWidth="1"/>
    <col min="11781" max="11781" width="9.140625" style="602"/>
    <col min="11782" max="11782" width="14.28515625" style="602" bestFit="1" customWidth="1"/>
    <col min="11783" max="12031" width="9.140625" style="602"/>
    <col min="12032" max="12032" width="11" style="602" customWidth="1"/>
    <col min="12033" max="12033" width="46.7109375" style="602" bestFit="1" customWidth="1"/>
    <col min="12034" max="12035" width="9.140625" style="602"/>
    <col min="12036" max="12036" width="11.28515625" style="602" bestFit="1" customWidth="1"/>
    <col min="12037" max="12037" width="9.140625" style="602"/>
    <col min="12038" max="12038" width="14.28515625" style="602" bestFit="1" customWidth="1"/>
    <col min="12039" max="12287" width="9.140625" style="602"/>
    <col min="12288" max="12288" width="11" style="602" customWidth="1"/>
    <col min="12289" max="12289" width="46.7109375" style="602" bestFit="1" customWidth="1"/>
    <col min="12290" max="12291" width="9.140625" style="602"/>
    <col min="12292" max="12292" width="11.28515625" style="602" bestFit="1" customWidth="1"/>
    <col min="12293" max="12293" width="9.140625" style="602"/>
    <col min="12294" max="12294" width="14.28515625" style="602" bestFit="1" customWidth="1"/>
    <col min="12295" max="12543" width="9.140625" style="602"/>
    <col min="12544" max="12544" width="11" style="602" customWidth="1"/>
    <col min="12545" max="12545" width="46.7109375" style="602" bestFit="1" customWidth="1"/>
    <col min="12546" max="12547" width="9.140625" style="602"/>
    <col min="12548" max="12548" width="11.28515625" style="602" bestFit="1" customWidth="1"/>
    <col min="12549" max="12549" width="9.140625" style="602"/>
    <col min="12550" max="12550" width="14.28515625" style="602" bestFit="1" customWidth="1"/>
    <col min="12551" max="12799" width="9.140625" style="602"/>
    <col min="12800" max="12800" width="11" style="602" customWidth="1"/>
    <col min="12801" max="12801" width="46.7109375" style="602" bestFit="1" customWidth="1"/>
    <col min="12802" max="12803" width="9.140625" style="602"/>
    <col min="12804" max="12804" width="11.28515625" style="602" bestFit="1" customWidth="1"/>
    <col min="12805" max="12805" width="9.140625" style="602"/>
    <col min="12806" max="12806" width="14.28515625" style="602" bestFit="1" customWidth="1"/>
    <col min="12807" max="13055" width="9.140625" style="602"/>
    <col min="13056" max="13056" width="11" style="602" customWidth="1"/>
    <col min="13057" max="13057" width="46.7109375" style="602" bestFit="1" customWidth="1"/>
    <col min="13058" max="13059" width="9.140625" style="602"/>
    <col min="13060" max="13060" width="11.28515625" style="602" bestFit="1" customWidth="1"/>
    <col min="13061" max="13061" width="9.140625" style="602"/>
    <col min="13062" max="13062" width="14.28515625" style="602" bestFit="1" customWidth="1"/>
    <col min="13063" max="13311" width="9.140625" style="602"/>
    <col min="13312" max="13312" width="11" style="602" customWidth="1"/>
    <col min="13313" max="13313" width="46.7109375" style="602" bestFit="1" customWidth="1"/>
    <col min="13314" max="13315" width="9.140625" style="602"/>
    <col min="13316" max="13316" width="11.28515625" style="602" bestFit="1" customWidth="1"/>
    <col min="13317" max="13317" width="9.140625" style="602"/>
    <col min="13318" max="13318" width="14.28515625" style="602" bestFit="1" customWidth="1"/>
    <col min="13319" max="13567" width="9.140625" style="602"/>
    <col min="13568" max="13568" width="11" style="602" customWidth="1"/>
    <col min="13569" max="13569" width="46.7109375" style="602" bestFit="1" customWidth="1"/>
    <col min="13570" max="13571" width="9.140625" style="602"/>
    <col min="13572" max="13572" width="11.28515625" style="602" bestFit="1" customWidth="1"/>
    <col min="13573" max="13573" width="9.140625" style="602"/>
    <col min="13574" max="13574" width="14.28515625" style="602" bestFit="1" customWidth="1"/>
    <col min="13575" max="13823" width="9.140625" style="602"/>
    <col min="13824" max="13824" width="11" style="602" customWidth="1"/>
    <col min="13825" max="13825" width="46.7109375" style="602" bestFit="1" customWidth="1"/>
    <col min="13826" max="13827" width="9.140625" style="602"/>
    <col min="13828" max="13828" width="11.28515625" style="602" bestFit="1" customWidth="1"/>
    <col min="13829" max="13829" width="9.140625" style="602"/>
    <col min="13830" max="13830" width="14.28515625" style="602" bestFit="1" customWidth="1"/>
    <col min="13831" max="14079" width="9.140625" style="602"/>
    <col min="14080" max="14080" width="11" style="602" customWidth="1"/>
    <col min="14081" max="14081" width="46.7109375" style="602" bestFit="1" customWidth="1"/>
    <col min="14082" max="14083" width="9.140625" style="602"/>
    <col min="14084" max="14084" width="11.28515625" style="602" bestFit="1" customWidth="1"/>
    <col min="14085" max="14085" width="9.140625" style="602"/>
    <col min="14086" max="14086" width="14.28515625" style="602" bestFit="1" customWidth="1"/>
    <col min="14087" max="14335" width="9.140625" style="602"/>
    <col min="14336" max="14336" width="11" style="602" customWidth="1"/>
    <col min="14337" max="14337" width="46.7109375" style="602" bestFit="1" customWidth="1"/>
    <col min="14338" max="14339" width="9.140625" style="602"/>
    <col min="14340" max="14340" width="11.28515625" style="602" bestFit="1" customWidth="1"/>
    <col min="14341" max="14341" width="9.140625" style="602"/>
    <col min="14342" max="14342" width="14.28515625" style="602" bestFit="1" customWidth="1"/>
    <col min="14343" max="14591" width="9.140625" style="602"/>
    <col min="14592" max="14592" width="11" style="602" customWidth="1"/>
    <col min="14593" max="14593" width="46.7109375" style="602" bestFit="1" customWidth="1"/>
    <col min="14594" max="14595" width="9.140625" style="602"/>
    <col min="14596" max="14596" width="11.28515625" style="602" bestFit="1" customWidth="1"/>
    <col min="14597" max="14597" width="9.140625" style="602"/>
    <col min="14598" max="14598" width="14.28515625" style="602" bestFit="1" customWidth="1"/>
    <col min="14599" max="14847" width="9.140625" style="602"/>
    <col min="14848" max="14848" width="11" style="602" customWidth="1"/>
    <col min="14849" max="14849" width="46.7109375" style="602" bestFit="1" customWidth="1"/>
    <col min="14850" max="14851" width="9.140625" style="602"/>
    <col min="14852" max="14852" width="11.28515625" style="602" bestFit="1" customWidth="1"/>
    <col min="14853" max="14853" width="9.140625" style="602"/>
    <col min="14854" max="14854" width="14.28515625" style="602" bestFit="1" customWidth="1"/>
    <col min="14855" max="15103" width="9.140625" style="602"/>
    <col min="15104" max="15104" width="11" style="602" customWidth="1"/>
    <col min="15105" max="15105" width="46.7109375" style="602" bestFit="1" customWidth="1"/>
    <col min="15106" max="15107" width="9.140625" style="602"/>
    <col min="15108" max="15108" width="11.28515625" style="602" bestFit="1" customWidth="1"/>
    <col min="15109" max="15109" width="9.140625" style="602"/>
    <col min="15110" max="15110" width="14.28515625" style="602" bestFit="1" customWidth="1"/>
    <col min="15111" max="15359" width="9.140625" style="602"/>
    <col min="15360" max="15360" width="11" style="602" customWidth="1"/>
    <col min="15361" max="15361" width="46.7109375" style="602" bestFit="1" customWidth="1"/>
    <col min="15362" max="15363" width="9.140625" style="602"/>
    <col min="15364" max="15364" width="11.28515625" style="602" bestFit="1" customWidth="1"/>
    <col min="15365" max="15365" width="9.140625" style="602"/>
    <col min="15366" max="15366" width="14.28515625" style="602" bestFit="1" customWidth="1"/>
    <col min="15367" max="15615" width="9.140625" style="602"/>
    <col min="15616" max="15616" width="11" style="602" customWidth="1"/>
    <col min="15617" max="15617" width="46.7109375" style="602" bestFit="1" customWidth="1"/>
    <col min="15618" max="15619" width="9.140625" style="602"/>
    <col min="15620" max="15620" width="11.28515625" style="602" bestFit="1" customWidth="1"/>
    <col min="15621" max="15621" width="9.140625" style="602"/>
    <col min="15622" max="15622" width="14.28515625" style="602" bestFit="1" customWidth="1"/>
    <col min="15623" max="15871" width="9.140625" style="602"/>
    <col min="15872" max="15872" width="11" style="602" customWidth="1"/>
    <col min="15873" max="15873" width="46.7109375" style="602" bestFit="1" customWidth="1"/>
    <col min="15874" max="15875" width="9.140625" style="602"/>
    <col min="15876" max="15876" width="11.28515625" style="602" bestFit="1" customWidth="1"/>
    <col min="15877" max="15877" width="9.140625" style="602"/>
    <col min="15878" max="15878" width="14.28515625" style="602" bestFit="1" customWidth="1"/>
    <col min="15879" max="16127" width="9.140625" style="602"/>
    <col min="16128" max="16128" width="11" style="602" customWidth="1"/>
    <col min="16129" max="16129" width="46.7109375" style="602" bestFit="1" customWidth="1"/>
    <col min="16130" max="16131" width="9.140625" style="602"/>
    <col min="16132" max="16132" width="11.28515625" style="602" bestFit="1" customWidth="1"/>
    <col min="16133" max="16133" width="9.140625" style="602"/>
    <col min="16134" max="16134" width="14.28515625" style="602" bestFit="1" customWidth="1"/>
    <col min="16135" max="16384" width="9.140625" style="602"/>
  </cols>
  <sheetData>
    <row r="1" spans="1:6" x14ac:dyDescent="0.25">
      <c r="A1" s="1370" t="s">
        <v>1103</v>
      </c>
      <c r="B1" s="1370"/>
      <c r="C1" s="1370"/>
      <c r="D1" s="1370"/>
      <c r="E1" s="1370"/>
      <c r="F1" s="1370"/>
    </row>
    <row r="2" spans="1:6" x14ac:dyDescent="0.25">
      <c r="A2" s="1370" t="s">
        <v>1102</v>
      </c>
      <c r="B2" s="1370"/>
      <c r="C2" s="1370"/>
      <c r="D2" s="1370"/>
      <c r="E2" s="1370"/>
      <c r="F2" s="1370"/>
    </row>
    <row r="3" spans="1:6" x14ac:dyDescent="0.25">
      <c r="A3" s="1370" t="s">
        <v>1023</v>
      </c>
      <c r="B3" s="1370"/>
      <c r="C3" s="1370"/>
      <c r="D3" s="1370"/>
      <c r="E3" s="1370"/>
      <c r="F3" s="1370"/>
    </row>
    <row r="4" spans="1:6" x14ac:dyDescent="0.25">
      <c r="A4" s="1375" t="s">
        <v>1</v>
      </c>
      <c r="B4" s="1375"/>
      <c r="C4" s="1375"/>
      <c r="D4" s="1375"/>
      <c r="E4" s="1375"/>
      <c r="F4" s="1375"/>
    </row>
    <row r="5" spans="1:6" ht="25.5" x14ac:dyDescent="0.25">
      <c r="A5" s="735" t="s">
        <v>195</v>
      </c>
      <c r="B5" s="735" t="s">
        <v>391</v>
      </c>
      <c r="C5" s="736" t="s">
        <v>632</v>
      </c>
      <c r="D5" s="737" t="s">
        <v>8</v>
      </c>
      <c r="E5" s="737" t="s">
        <v>7</v>
      </c>
      <c r="F5" s="738" t="s">
        <v>8</v>
      </c>
    </row>
    <row r="6" spans="1:6" s="734" customFormat="1" x14ac:dyDescent="0.25">
      <c r="A6" s="734" t="s">
        <v>232</v>
      </c>
      <c r="B6" s="755"/>
      <c r="C6" s="762">
        <f>SUM(C7:C7)</f>
        <v>27</v>
      </c>
      <c r="D6" s="757">
        <f t="shared" ref="D6:D12" si="0">C6/$C$13*100</f>
        <v>41.53846153846154</v>
      </c>
      <c r="E6" s="756">
        <v>3143.5412800000004</v>
      </c>
      <c r="F6" s="757">
        <f t="shared" ref="F6:F13" si="1">E6/$E$13*100</f>
        <v>9.9994909121967801</v>
      </c>
    </row>
    <row r="7" spans="1:6" s="734" customFormat="1" x14ac:dyDescent="0.25">
      <c r="B7" s="734" t="s">
        <v>696</v>
      </c>
      <c r="C7" s="763">
        <v>27</v>
      </c>
      <c r="D7" s="754">
        <f t="shared" si="0"/>
        <v>41.53846153846154</v>
      </c>
      <c r="E7" s="754">
        <v>3143.5412800000004</v>
      </c>
      <c r="F7" s="754">
        <f t="shared" si="1"/>
        <v>9.9994909121967801</v>
      </c>
    </row>
    <row r="8" spans="1:6" s="734" customFormat="1" x14ac:dyDescent="0.25">
      <c r="A8" s="734" t="s">
        <v>233</v>
      </c>
      <c r="B8" s="755"/>
      <c r="C8" s="762">
        <f>SUM(C9:C10)</f>
        <v>9</v>
      </c>
      <c r="D8" s="757">
        <f t="shared" si="0"/>
        <v>13.846153846153847</v>
      </c>
      <c r="E8" s="756">
        <v>764.43220999999994</v>
      </c>
      <c r="F8" s="757">
        <f t="shared" si="1"/>
        <v>2.431631162446672</v>
      </c>
    </row>
    <row r="9" spans="1:6" s="734" customFormat="1" x14ac:dyDescent="0.25">
      <c r="B9" s="734" t="s">
        <v>697</v>
      </c>
      <c r="C9" s="763">
        <v>5</v>
      </c>
      <c r="D9" s="754">
        <f t="shared" si="0"/>
        <v>7.6923076923076925</v>
      </c>
      <c r="E9" s="754">
        <v>245.97498000000002</v>
      </c>
      <c r="F9" s="754">
        <f t="shared" si="1"/>
        <v>0.78243749900360293</v>
      </c>
    </row>
    <row r="10" spans="1:6" s="734" customFormat="1" x14ac:dyDescent="0.25">
      <c r="B10" s="734" t="s">
        <v>698</v>
      </c>
      <c r="C10" s="763">
        <v>4</v>
      </c>
      <c r="D10" s="754">
        <f t="shared" si="0"/>
        <v>6.1538461538461542</v>
      </c>
      <c r="E10" s="754">
        <v>518.45722999999998</v>
      </c>
      <c r="F10" s="754">
        <f t="shared" si="1"/>
        <v>1.6491936634430691</v>
      </c>
    </row>
    <row r="11" spans="1:6" s="734" customFormat="1" x14ac:dyDescent="0.25">
      <c r="A11" s="734" t="s">
        <v>237</v>
      </c>
      <c r="B11" s="755"/>
      <c r="C11" s="762">
        <f>SUM(C12:C12)</f>
        <v>29</v>
      </c>
      <c r="D11" s="757">
        <f t="shared" si="0"/>
        <v>44.61538461538462</v>
      </c>
      <c r="E11" s="756">
        <v>27529.03973</v>
      </c>
      <c r="F11" s="757">
        <f t="shared" si="1"/>
        <v>87.568877925356546</v>
      </c>
    </row>
    <row r="12" spans="1:6" s="734" customFormat="1" x14ac:dyDescent="0.25">
      <c r="B12" s="760" t="s">
        <v>699</v>
      </c>
      <c r="C12" s="763">
        <v>29</v>
      </c>
      <c r="D12" s="754">
        <f t="shared" si="0"/>
        <v>44.61538461538462</v>
      </c>
      <c r="E12" s="754">
        <v>27529.03973</v>
      </c>
      <c r="F12" s="754">
        <f t="shared" si="1"/>
        <v>87.568877925356546</v>
      </c>
    </row>
    <row r="13" spans="1:6" x14ac:dyDescent="0.25">
      <c r="A13" s="735" t="s">
        <v>29</v>
      </c>
      <c r="B13" s="735"/>
      <c r="C13" s="736">
        <f>C6+C8+C11</f>
        <v>65</v>
      </c>
      <c r="D13" s="737">
        <f>D6+D8+D11</f>
        <v>100</v>
      </c>
      <c r="E13" s="759">
        <f>E6+E8+E11</f>
        <v>31437.013220000001</v>
      </c>
      <c r="F13" s="737">
        <f t="shared" si="1"/>
        <v>100</v>
      </c>
    </row>
    <row r="14" spans="1:6" x14ac:dyDescent="0.25">
      <c r="A14" s="484" t="s">
        <v>67</v>
      </c>
    </row>
    <row r="15" spans="1:6" x14ac:dyDescent="0.25">
      <c r="A15" s="484" t="s">
        <v>1016</v>
      </c>
    </row>
  </sheetData>
  <sheetProtection password="9C8D" sheet="1" objects="1" scenarios="1"/>
  <mergeCells count="4">
    <mergeCell ref="A1:F1"/>
    <mergeCell ref="A2:F2"/>
    <mergeCell ref="A3:F3"/>
    <mergeCell ref="A4:F4"/>
  </mergeCells>
  <pageMargins left="0.511811024" right="0.511811024" top="0.78740157499999996" bottom="0.78740157499999996" header="0.31496062000000002" footer="0.3149606200000000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indowProtection="1" showGridLines="0" workbookViewId="0">
      <selection activeCell="F6" sqref="F6"/>
    </sheetView>
  </sheetViews>
  <sheetFormatPr defaultRowHeight="12.75" x14ac:dyDescent="0.2"/>
  <cols>
    <col min="1" max="1" width="30.28515625" customWidth="1"/>
    <col min="2" max="2" width="15.85546875" customWidth="1"/>
    <col min="3" max="3" width="8.28515625" customWidth="1"/>
    <col min="4" max="4" width="12.5703125" customWidth="1"/>
    <col min="5" max="5" width="8" customWidth="1"/>
    <col min="7" max="7" width="10.7109375" customWidth="1"/>
    <col min="9" max="9" width="14" bestFit="1" customWidth="1"/>
  </cols>
  <sheetData>
    <row r="1" spans="1:10" ht="15.75" x14ac:dyDescent="0.25">
      <c r="A1" s="1225" t="s">
        <v>1104</v>
      </c>
      <c r="B1" s="1225"/>
      <c r="C1" s="1225"/>
      <c r="D1" s="1225"/>
      <c r="E1" s="1225"/>
    </row>
    <row r="2" spans="1:10" ht="18" x14ac:dyDescent="0.2">
      <c r="A2" s="1226" t="s">
        <v>193</v>
      </c>
      <c r="B2" s="1226"/>
      <c r="C2" s="1226"/>
      <c r="D2" s="1226"/>
      <c r="E2" s="1226"/>
    </row>
    <row r="3" spans="1:10" ht="15" x14ac:dyDescent="0.2">
      <c r="A3" s="1226" t="str">
        <f>[5]Dados!$A18</f>
        <v>Exercício de 2015</v>
      </c>
      <c r="B3" s="1226"/>
      <c r="C3" s="1226"/>
      <c r="D3" s="1226"/>
      <c r="E3" s="1226"/>
    </row>
    <row r="4" spans="1:10" x14ac:dyDescent="0.2">
      <c r="A4" s="99"/>
      <c r="B4" s="99"/>
      <c r="C4" s="99"/>
      <c r="D4" s="99"/>
      <c r="E4" s="99"/>
    </row>
    <row r="5" spans="1:10" x14ac:dyDescent="0.2">
      <c r="A5" s="1227" t="s">
        <v>1</v>
      </c>
      <c r="B5" s="1227"/>
      <c r="C5" s="1227"/>
      <c r="D5" s="1227"/>
      <c r="E5" s="1227"/>
    </row>
    <row r="6" spans="1:10" ht="25.5" x14ac:dyDescent="0.2">
      <c r="A6" s="120" t="s">
        <v>188</v>
      </c>
      <c r="B6" s="225" t="s">
        <v>189</v>
      </c>
      <c r="C6" s="225" t="s">
        <v>8</v>
      </c>
      <c r="D6" s="225" t="s">
        <v>7</v>
      </c>
      <c r="E6" s="225" t="s">
        <v>8</v>
      </c>
      <c r="F6" s="58"/>
      <c r="G6" s="249"/>
    </row>
    <row r="7" spans="1:10" ht="20.100000000000001" customHeight="1" x14ac:dyDescent="0.2">
      <c r="A7" s="250" t="s">
        <v>190</v>
      </c>
      <c r="B7" s="269">
        <v>16</v>
      </c>
      <c r="C7" s="252">
        <f>ROUND(B7/$B$9*100,1)</f>
        <v>69.599999999999994</v>
      </c>
      <c r="D7" s="270">
        <v>90665</v>
      </c>
      <c r="E7" s="252">
        <f>ROUND(D7/$D$9*100,1)</f>
        <v>94.2</v>
      </c>
      <c r="F7" s="263"/>
      <c r="G7" s="264"/>
      <c r="H7" s="265"/>
      <c r="I7" s="266"/>
      <c r="J7" s="264"/>
    </row>
    <row r="8" spans="1:10" ht="20.100000000000001" customHeight="1" x14ac:dyDescent="0.2">
      <c r="A8" s="96" t="s">
        <v>191</v>
      </c>
      <c r="B8" s="269">
        <v>7</v>
      </c>
      <c r="C8" s="252">
        <f>ROUND(B8/$B$9*100,1)</f>
        <v>30.4</v>
      </c>
      <c r="D8" s="270">
        <v>5623</v>
      </c>
      <c r="E8" s="252">
        <f>ROUND(D8/$D$9*100,1)</f>
        <v>5.8</v>
      </c>
      <c r="F8" s="258"/>
      <c r="G8" s="264"/>
      <c r="H8" s="265"/>
      <c r="I8" s="266"/>
      <c r="J8" s="264"/>
    </row>
    <row r="9" spans="1:10" ht="20.100000000000001" customHeight="1" x14ac:dyDescent="0.2">
      <c r="A9" s="120" t="s">
        <v>29</v>
      </c>
      <c r="B9" s="268">
        <f>SUM(B7:B8)</f>
        <v>23</v>
      </c>
      <c r="C9" s="267">
        <f>SUM(C7:C8)</f>
        <v>100</v>
      </c>
      <c r="D9" s="226">
        <f>SUM(D7:D8)</f>
        <v>96288</v>
      </c>
      <c r="E9" s="267">
        <f>SUM(E7:E8)</f>
        <v>100</v>
      </c>
      <c r="F9" s="260"/>
      <c r="G9" s="264"/>
      <c r="H9" s="265"/>
      <c r="I9" s="266"/>
      <c r="J9" s="264"/>
    </row>
    <row r="10" spans="1:10" x14ac:dyDescent="0.2">
      <c r="A10" s="1228" t="s">
        <v>185</v>
      </c>
      <c r="B10" s="1228"/>
      <c r="C10" s="1228"/>
      <c r="D10" s="1228"/>
      <c r="E10" s="1228"/>
      <c r="F10" s="258"/>
      <c r="G10" s="254"/>
      <c r="H10" s="258"/>
    </row>
    <row r="11" spans="1:10" x14ac:dyDescent="0.2">
      <c r="A11" s="1359" t="s">
        <v>186</v>
      </c>
      <c r="B11" s="1360"/>
      <c r="C11" s="1360"/>
      <c r="D11" s="1360"/>
      <c r="E11" s="1360"/>
      <c r="F11" s="254"/>
      <c r="G11" s="258"/>
      <c r="H11" s="258"/>
    </row>
    <row r="12" spans="1:10" x14ac:dyDescent="0.2">
      <c r="A12" s="1360"/>
      <c r="B12" s="1360"/>
      <c r="C12" s="1360"/>
      <c r="D12" s="1360"/>
      <c r="E12" s="1360"/>
      <c r="F12" s="258"/>
      <c r="G12" s="258"/>
      <c r="H12" s="258"/>
    </row>
    <row r="13" spans="1:10" x14ac:dyDescent="0.2">
      <c r="D13" s="13"/>
      <c r="F13" s="258"/>
      <c r="G13" s="258"/>
      <c r="H13" s="258"/>
    </row>
    <row r="14" spans="1:10" x14ac:dyDescent="0.2">
      <c r="A14" s="42"/>
      <c r="F14" s="254"/>
      <c r="G14" s="258"/>
      <c r="H14" s="258"/>
    </row>
  </sheetData>
  <sheetProtection password="9C8D" sheet="1" objects="1" scenarios="1"/>
  <mergeCells count="6">
    <mergeCell ref="A11:E12"/>
    <mergeCell ref="A1:E1"/>
    <mergeCell ref="A2:E2"/>
    <mergeCell ref="A3:E3"/>
    <mergeCell ref="A5:E5"/>
    <mergeCell ref="A10:E10"/>
  </mergeCells>
  <pageMargins left="0.78740157499999996" right="0.78740157499999996" top="0.984251969" bottom="0.984251969" header="0.49212598499999999" footer="0.49212598499999999"/>
  <pageSetup orientation="portrait" horizontalDpi="4294967293"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indowProtection="1" workbookViewId="0">
      <selection activeCell="A24" sqref="A24"/>
    </sheetView>
  </sheetViews>
  <sheetFormatPr defaultRowHeight="15" x14ac:dyDescent="0.25"/>
  <cols>
    <col min="1" max="1" width="11.7109375" style="734" customWidth="1"/>
    <col min="2" max="2" width="72.5703125" style="734" bestFit="1" customWidth="1"/>
    <col min="3" max="3" width="14.5703125" style="734" bestFit="1" customWidth="1"/>
    <col min="4" max="4" width="7.7109375" style="754" bestFit="1" customWidth="1"/>
    <col min="5" max="5" width="10.5703125" style="754" bestFit="1" customWidth="1"/>
    <col min="6" max="6" width="9.140625" style="754"/>
    <col min="7" max="256" width="9.140625" style="734"/>
    <col min="257" max="257" width="11.7109375" style="734" customWidth="1"/>
    <col min="258" max="258" width="72.5703125" style="734" bestFit="1" customWidth="1"/>
    <col min="259" max="259" width="14.5703125" style="734" bestFit="1" customWidth="1"/>
    <col min="260" max="260" width="7.7109375" style="734" bestFit="1" customWidth="1"/>
    <col min="261" max="261" width="10.5703125" style="734" bestFit="1" customWidth="1"/>
    <col min="262" max="512" width="9.140625" style="734"/>
    <col min="513" max="513" width="11.7109375" style="734" customWidth="1"/>
    <col min="514" max="514" width="72.5703125" style="734" bestFit="1" customWidth="1"/>
    <col min="515" max="515" width="14.5703125" style="734" bestFit="1" customWidth="1"/>
    <col min="516" max="516" width="7.7109375" style="734" bestFit="1" customWidth="1"/>
    <col min="517" max="517" width="10.5703125" style="734" bestFit="1" customWidth="1"/>
    <col min="518" max="768" width="9.140625" style="734"/>
    <col min="769" max="769" width="11.7109375" style="734" customWidth="1"/>
    <col min="770" max="770" width="72.5703125" style="734" bestFit="1" customWidth="1"/>
    <col min="771" max="771" width="14.5703125" style="734" bestFit="1" customWidth="1"/>
    <col min="772" max="772" width="7.7109375" style="734" bestFit="1" customWidth="1"/>
    <col min="773" max="773" width="10.5703125" style="734" bestFit="1" customWidth="1"/>
    <col min="774" max="1024" width="9.140625" style="734"/>
    <col min="1025" max="1025" width="11.7109375" style="734" customWidth="1"/>
    <col min="1026" max="1026" width="72.5703125" style="734" bestFit="1" customWidth="1"/>
    <col min="1027" max="1027" width="14.5703125" style="734" bestFit="1" customWidth="1"/>
    <col min="1028" max="1028" width="7.7109375" style="734" bestFit="1" customWidth="1"/>
    <col min="1029" max="1029" width="10.5703125" style="734" bestFit="1" customWidth="1"/>
    <col min="1030" max="1280" width="9.140625" style="734"/>
    <col min="1281" max="1281" width="11.7109375" style="734" customWidth="1"/>
    <col min="1282" max="1282" width="72.5703125" style="734" bestFit="1" customWidth="1"/>
    <col min="1283" max="1283" width="14.5703125" style="734" bestFit="1" customWidth="1"/>
    <col min="1284" max="1284" width="7.7109375" style="734" bestFit="1" customWidth="1"/>
    <col min="1285" max="1285" width="10.5703125" style="734" bestFit="1" customWidth="1"/>
    <col min="1286" max="1536" width="9.140625" style="734"/>
    <col min="1537" max="1537" width="11.7109375" style="734" customWidth="1"/>
    <col min="1538" max="1538" width="72.5703125" style="734" bestFit="1" customWidth="1"/>
    <col min="1539" max="1539" width="14.5703125" style="734" bestFit="1" customWidth="1"/>
    <col min="1540" max="1540" width="7.7109375" style="734" bestFit="1" customWidth="1"/>
    <col min="1541" max="1541" width="10.5703125" style="734" bestFit="1" customWidth="1"/>
    <col min="1542" max="1792" width="9.140625" style="734"/>
    <col min="1793" max="1793" width="11.7109375" style="734" customWidth="1"/>
    <col min="1794" max="1794" width="72.5703125" style="734" bestFit="1" customWidth="1"/>
    <col min="1795" max="1795" width="14.5703125" style="734" bestFit="1" customWidth="1"/>
    <col min="1796" max="1796" width="7.7109375" style="734" bestFit="1" customWidth="1"/>
    <col min="1797" max="1797" width="10.5703125" style="734" bestFit="1" customWidth="1"/>
    <col min="1798" max="2048" width="9.140625" style="734"/>
    <col min="2049" max="2049" width="11.7109375" style="734" customWidth="1"/>
    <col min="2050" max="2050" width="72.5703125" style="734" bestFit="1" customWidth="1"/>
    <col min="2051" max="2051" width="14.5703125" style="734" bestFit="1" customWidth="1"/>
    <col min="2052" max="2052" width="7.7109375" style="734" bestFit="1" customWidth="1"/>
    <col min="2053" max="2053" width="10.5703125" style="734" bestFit="1" customWidth="1"/>
    <col min="2054" max="2304" width="9.140625" style="734"/>
    <col min="2305" max="2305" width="11.7109375" style="734" customWidth="1"/>
    <col min="2306" max="2306" width="72.5703125" style="734" bestFit="1" customWidth="1"/>
    <col min="2307" max="2307" width="14.5703125" style="734" bestFit="1" customWidth="1"/>
    <col min="2308" max="2308" width="7.7109375" style="734" bestFit="1" customWidth="1"/>
    <col min="2309" max="2309" width="10.5703125" style="734" bestFit="1" customWidth="1"/>
    <col min="2310" max="2560" width="9.140625" style="734"/>
    <col min="2561" max="2561" width="11.7109375" style="734" customWidth="1"/>
    <col min="2562" max="2562" width="72.5703125" style="734" bestFit="1" customWidth="1"/>
    <col min="2563" max="2563" width="14.5703125" style="734" bestFit="1" customWidth="1"/>
    <col min="2564" max="2564" width="7.7109375" style="734" bestFit="1" customWidth="1"/>
    <col min="2565" max="2565" width="10.5703125" style="734" bestFit="1" customWidth="1"/>
    <col min="2566" max="2816" width="9.140625" style="734"/>
    <col min="2817" max="2817" width="11.7109375" style="734" customWidth="1"/>
    <col min="2818" max="2818" width="72.5703125" style="734" bestFit="1" customWidth="1"/>
    <col min="2819" max="2819" width="14.5703125" style="734" bestFit="1" customWidth="1"/>
    <col min="2820" max="2820" width="7.7109375" style="734" bestFit="1" customWidth="1"/>
    <col min="2821" max="2821" width="10.5703125" style="734" bestFit="1" customWidth="1"/>
    <col min="2822" max="3072" width="9.140625" style="734"/>
    <col min="3073" max="3073" width="11.7109375" style="734" customWidth="1"/>
    <col min="3074" max="3074" width="72.5703125" style="734" bestFit="1" customWidth="1"/>
    <col min="3075" max="3075" width="14.5703125" style="734" bestFit="1" customWidth="1"/>
    <col min="3076" max="3076" width="7.7109375" style="734" bestFit="1" customWidth="1"/>
    <col min="3077" max="3077" width="10.5703125" style="734" bestFit="1" customWidth="1"/>
    <col min="3078" max="3328" width="9.140625" style="734"/>
    <col min="3329" max="3329" width="11.7109375" style="734" customWidth="1"/>
    <col min="3330" max="3330" width="72.5703125" style="734" bestFit="1" customWidth="1"/>
    <col min="3331" max="3331" width="14.5703125" style="734" bestFit="1" customWidth="1"/>
    <col min="3332" max="3332" width="7.7109375" style="734" bestFit="1" customWidth="1"/>
    <col min="3333" max="3333" width="10.5703125" style="734" bestFit="1" customWidth="1"/>
    <col min="3334" max="3584" width="9.140625" style="734"/>
    <col min="3585" max="3585" width="11.7109375" style="734" customWidth="1"/>
    <col min="3586" max="3586" width="72.5703125" style="734" bestFit="1" customWidth="1"/>
    <col min="3587" max="3587" width="14.5703125" style="734" bestFit="1" customWidth="1"/>
    <col min="3588" max="3588" width="7.7109375" style="734" bestFit="1" customWidth="1"/>
    <col min="3589" max="3589" width="10.5703125" style="734" bestFit="1" customWidth="1"/>
    <col min="3590" max="3840" width="9.140625" style="734"/>
    <col min="3841" max="3841" width="11.7109375" style="734" customWidth="1"/>
    <col min="3842" max="3842" width="72.5703125" style="734" bestFit="1" customWidth="1"/>
    <col min="3843" max="3843" width="14.5703125" style="734" bestFit="1" customWidth="1"/>
    <col min="3844" max="3844" width="7.7109375" style="734" bestFit="1" customWidth="1"/>
    <col min="3845" max="3845" width="10.5703125" style="734" bestFit="1" customWidth="1"/>
    <col min="3846" max="4096" width="9.140625" style="734"/>
    <col min="4097" max="4097" width="11.7109375" style="734" customWidth="1"/>
    <col min="4098" max="4098" width="72.5703125" style="734" bestFit="1" customWidth="1"/>
    <col min="4099" max="4099" width="14.5703125" style="734" bestFit="1" customWidth="1"/>
    <col min="4100" max="4100" width="7.7109375" style="734" bestFit="1" customWidth="1"/>
    <col min="4101" max="4101" width="10.5703125" style="734" bestFit="1" customWidth="1"/>
    <col min="4102" max="4352" width="9.140625" style="734"/>
    <col min="4353" max="4353" width="11.7109375" style="734" customWidth="1"/>
    <col min="4354" max="4354" width="72.5703125" style="734" bestFit="1" customWidth="1"/>
    <col min="4355" max="4355" width="14.5703125" style="734" bestFit="1" customWidth="1"/>
    <col min="4356" max="4356" width="7.7109375" style="734" bestFit="1" customWidth="1"/>
    <col min="4357" max="4357" width="10.5703125" style="734" bestFit="1" customWidth="1"/>
    <col min="4358" max="4608" width="9.140625" style="734"/>
    <col min="4609" max="4609" width="11.7109375" style="734" customWidth="1"/>
    <col min="4610" max="4610" width="72.5703125" style="734" bestFit="1" customWidth="1"/>
    <col min="4611" max="4611" width="14.5703125" style="734" bestFit="1" customWidth="1"/>
    <col min="4612" max="4612" width="7.7109375" style="734" bestFit="1" customWidth="1"/>
    <col min="4613" max="4613" width="10.5703125" style="734" bestFit="1" customWidth="1"/>
    <col min="4614" max="4864" width="9.140625" style="734"/>
    <col min="4865" max="4865" width="11.7109375" style="734" customWidth="1"/>
    <col min="4866" max="4866" width="72.5703125" style="734" bestFit="1" customWidth="1"/>
    <col min="4867" max="4867" width="14.5703125" style="734" bestFit="1" customWidth="1"/>
    <col min="4868" max="4868" width="7.7109375" style="734" bestFit="1" customWidth="1"/>
    <col min="4869" max="4869" width="10.5703125" style="734" bestFit="1" customWidth="1"/>
    <col min="4870" max="5120" width="9.140625" style="734"/>
    <col min="5121" max="5121" width="11.7109375" style="734" customWidth="1"/>
    <col min="5122" max="5122" width="72.5703125" style="734" bestFit="1" customWidth="1"/>
    <col min="5123" max="5123" width="14.5703125" style="734" bestFit="1" customWidth="1"/>
    <col min="5124" max="5124" width="7.7109375" style="734" bestFit="1" customWidth="1"/>
    <col min="5125" max="5125" width="10.5703125" style="734" bestFit="1" customWidth="1"/>
    <col min="5126" max="5376" width="9.140625" style="734"/>
    <col min="5377" max="5377" width="11.7109375" style="734" customWidth="1"/>
    <col min="5378" max="5378" width="72.5703125" style="734" bestFit="1" customWidth="1"/>
    <col min="5379" max="5379" width="14.5703125" style="734" bestFit="1" customWidth="1"/>
    <col min="5380" max="5380" width="7.7109375" style="734" bestFit="1" customWidth="1"/>
    <col min="5381" max="5381" width="10.5703125" style="734" bestFit="1" customWidth="1"/>
    <col min="5382" max="5632" width="9.140625" style="734"/>
    <col min="5633" max="5633" width="11.7109375" style="734" customWidth="1"/>
    <col min="5634" max="5634" width="72.5703125" style="734" bestFit="1" customWidth="1"/>
    <col min="5635" max="5635" width="14.5703125" style="734" bestFit="1" customWidth="1"/>
    <col min="5636" max="5636" width="7.7109375" style="734" bestFit="1" customWidth="1"/>
    <col min="5637" max="5637" width="10.5703125" style="734" bestFit="1" customWidth="1"/>
    <col min="5638" max="5888" width="9.140625" style="734"/>
    <col min="5889" max="5889" width="11.7109375" style="734" customWidth="1"/>
    <col min="5890" max="5890" width="72.5703125" style="734" bestFit="1" customWidth="1"/>
    <col min="5891" max="5891" width="14.5703125" style="734" bestFit="1" customWidth="1"/>
    <col min="5892" max="5892" width="7.7109375" style="734" bestFit="1" customWidth="1"/>
    <col min="5893" max="5893" width="10.5703125" style="734" bestFit="1" customWidth="1"/>
    <col min="5894" max="6144" width="9.140625" style="734"/>
    <col min="6145" max="6145" width="11.7109375" style="734" customWidth="1"/>
    <col min="6146" max="6146" width="72.5703125" style="734" bestFit="1" customWidth="1"/>
    <col min="6147" max="6147" width="14.5703125" style="734" bestFit="1" customWidth="1"/>
    <col min="6148" max="6148" width="7.7109375" style="734" bestFit="1" customWidth="1"/>
    <col min="6149" max="6149" width="10.5703125" style="734" bestFit="1" customWidth="1"/>
    <col min="6150" max="6400" width="9.140625" style="734"/>
    <col min="6401" max="6401" width="11.7109375" style="734" customWidth="1"/>
    <col min="6402" max="6402" width="72.5703125" style="734" bestFit="1" customWidth="1"/>
    <col min="6403" max="6403" width="14.5703125" style="734" bestFit="1" customWidth="1"/>
    <col min="6404" max="6404" width="7.7109375" style="734" bestFit="1" customWidth="1"/>
    <col min="6405" max="6405" width="10.5703125" style="734" bestFit="1" customWidth="1"/>
    <col min="6406" max="6656" width="9.140625" style="734"/>
    <col min="6657" max="6657" width="11.7109375" style="734" customWidth="1"/>
    <col min="6658" max="6658" width="72.5703125" style="734" bestFit="1" customWidth="1"/>
    <col min="6659" max="6659" width="14.5703125" style="734" bestFit="1" customWidth="1"/>
    <col min="6660" max="6660" width="7.7109375" style="734" bestFit="1" customWidth="1"/>
    <col min="6661" max="6661" width="10.5703125" style="734" bestFit="1" customWidth="1"/>
    <col min="6662" max="6912" width="9.140625" style="734"/>
    <col min="6913" max="6913" width="11.7109375" style="734" customWidth="1"/>
    <col min="6914" max="6914" width="72.5703125" style="734" bestFit="1" customWidth="1"/>
    <col min="6915" max="6915" width="14.5703125" style="734" bestFit="1" customWidth="1"/>
    <col min="6916" max="6916" width="7.7109375" style="734" bestFit="1" customWidth="1"/>
    <col min="6917" max="6917" width="10.5703125" style="734" bestFit="1" customWidth="1"/>
    <col min="6918" max="7168" width="9.140625" style="734"/>
    <col min="7169" max="7169" width="11.7109375" style="734" customWidth="1"/>
    <col min="7170" max="7170" width="72.5703125" style="734" bestFit="1" customWidth="1"/>
    <col min="7171" max="7171" width="14.5703125" style="734" bestFit="1" customWidth="1"/>
    <col min="7172" max="7172" width="7.7109375" style="734" bestFit="1" customWidth="1"/>
    <col min="7173" max="7173" width="10.5703125" style="734" bestFit="1" customWidth="1"/>
    <col min="7174" max="7424" width="9.140625" style="734"/>
    <col min="7425" max="7425" width="11.7109375" style="734" customWidth="1"/>
    <col min="7426" max="7426" width="72.5703125" style="734" bestFit="1" customWidth="1"/>
    <col min="7427" max="7427" width="14.5703125" style="734" bestFit="1" customWidth="1"/>
    <col min="7428" max="7428" width="7.7109375" style="734" bestFit="1" customWidth="1"/>
    <col min="7429" max="7429" width="10.5703125" style="734" bestFit="1" customWidth="1"/>
    <col min="7430" max="7680" width="9.140625" style="734"/>
    <col min="7681" max="7681" width="11.7109375" style="734" customWidth="1"/>
    <col min="7682" max="7682" width="72.5703125" style="734" bestFit="1" customWidth="1"/>
    <col min="7683" max="7683" width="14.5703125" style="734" bestFit="1" customWidth="1"/>
    <col min="7684" max="7684" width="7.7109375" style="734" bestFit="1" customWidth="1"/>
    <col min="7685" max="7685" width="10.5703125" style="734" bestFit="1" customWidth="1"/>
    <col min="7686" max="7936" width="9.140625" style="734"/>
    <col min="7937" max="7937" width="11.7109375" style="734" customWidth="1"/>
    <col min="7938" max="7938" width="72.5703125" style="734" bestFit="1" customWidth="1"/>
    <col min="7939" max="7939" width="14.5703125" style="734" bestFit="1" customWidth="1"/>
    <col min="7940" max="7940" width="7.7109375" style="734" bestFit="1" customWidth="1"/>
    <col min="7941" max="7941" width="10.5703125" style="734" bestFit="1" customWidth="1"/>
    <col min="7942" max="8192" width="9.140625" style="734"/>
    <col min="8193" max="8193" width="11.7109375" style="734" customWidth="1"/>
    <col min="8194" max="8194" width="72.5703125" style="734" bestFit="1" customWidth="1"/>
    <col min="8195" max="8195" width="14.5703125" style="734" bestFit="1" customWidth="1"/>
    <col min="8196" max="8196" width="7.7109375" style="734" bestFit="1" customWidth="1"/>
    <col min="8197" max="8197" width="10.5703125" style="734" bestFit="1" customWidth="1"/>
    <col min="8198" max="8448" width="9.140625" style="734"/>
    <col min="8449" max="8449" width="11.7109375" style="734" customWidth="1"/>
    <col min="8450" max="8450" width="72.5703125" style="734" bestFit="1" customWidth="1"/>
    <col min="8451" max="8451" width="14.5703125" style="734" bestFit="1" customWidth="1"/>
    <col min="8452" max="8452" width="7.7109375" style="734" bestFit="1" customWidth="1"/>
    <col min="8453" max="8453" width="10.5703125" style="734" bestFit="1" customWidth="1"/>
    <col min="8454" max="8704" width="9.140625" style="734"/>
    <col min="8705" max="8705" width="11.7109375" style="734" customWidth="1"/>
    <col min="8706" max="8706" width="72.5703125" style="734" bestFit="1" customWidth="1"/>
    <col min="8707" max="8707" width="14.5703125" style="734" bestFit="1" customWidth="1"/>
    <col min="8708" max="8708" width="7.7109375" style="734" bestFit="1" customWidth="1"/>
    <col min="8709" max="8709" width="10.5703125" style="734" bestFit="1" customWidth="1"/>
    <col min="8710" max="8960" width="9.140625" style="734"/>
    <col min="8961" max="8961" width="11.7109375" style="734" customWidth="1"/>
    <col min="8962" max="8962" width="72.5703125" style="734" bestFit="1" customWidth="1"/>
    <col min="8963" max="8963" width="14.5703125" style="734" bestFit="1" customWidth="1"/>
    <col min="8964" max="8964" width="7.7109375" style="734" bestFit="1" customWidth="1"/>
    <col min="8965" max="8965" width="10.5703125" style="734" bestFit="1" customWidth="1"/>
    <col min="8966" max="9216" width="9.140625" style="734"/>
    <col min="9217" max="9217" width="11.7109375" style="734" customWidth="1"/>
    <col min="9218" max="9218" width="72.5703125" style="734" bestFit="1" customWidth="1"/>
    <col min="9219" max="9219" width="14.5703125" style="734" bestFit="1" customWidth="1"/>
    <col min="9220" max="9220" width="7.7109375" style="734" bestFit="1" customWidth="1"/>
    <col min="9221" max="9221" width="10.5703125" style="734" bestFit="1" customWidth="1"/>
    <col min="9222" max="9472" width="9.140625" style="734"/>
    <col min="9473" max="9473" width="11.7109375" style="734" customWidth="1"/>
    <col min="9474" max="9474" width="72.5703125" style="734" bestFit="1" customWidth="1"/>
    <col min="9475" max="9475" width="14.5703125" style="734" bestFit="1" customWidth="1"/>
    <col min="9476" max="9476" width="7.7109375" style="734" bestFit="1" customWidth="1"/>
    <col min="9477" max="9477" width="10.5703125" style="734" bestFit="1" customWidth="1"/>
    <col min="9478" max="9728" width="9.140625" style="734"/>
    <col min="9729" max="9729" width="11.7109375" style="734" customWidth="1"/>
    <col min="9730" max="9730" width="72.5703125" style="734" bestFit="1" customWidth="1"/>
    <col min="9731" max="9731" width="14.5703125" style="734" bestFit="1" customWidth="1"/>
    <col min="9732" max="9732" width="7.7109375" style="734" bestFit="1" customWidth="1"/>
    <col min="9733" max="9733" width="10.5703125" style="734" bestFit="1" customWidth="1"/>
    <col min="9734" max="9984" width="9.140625" style="734"/>
    <col min="9985" max="9985" width="11.7109375" style="734" customWidth="1"/>
    <col min="9986" max="9986" width="72.5703125" style="734" bestFit="1" customWidth="1"/>
    <col min="9987" max="9987" width="14.5703125" style="734" bestFit="1" customWidth="1"/>
    <col min="9988" max="9988" width="7.7109375" style="734" bestFit="1" customWidth="1"/>
    <col min="9989" max="9989" width="10.5703125" style="734" bestFit="1" customWidth="1"/>
    <col min="9990" max="10240" width="9.140625" style="734"/>
    <col min="10241" max="10241" width="11.7109375" style="734" customWidth="1"/>
    <col min="10242" max="10242" width="72.5703125" style="734" bestFit="1" customWidth="1"/>
    <col min="10243" max="10243" width="14.5703125" style="734" bestFit="1" customWidth="1"/>
    <col min="10244" max="10244" width="7.7109375" style="734" bestFit="1" customWidth="1"/>
    <col min="10245" max="10245" width="10.5703125" style="734" bestFit="1" customWidth="1"/>
    <col min="10246" max="10496" width="9.140625" style="734"/>
    <col min="10497" max="10497" width="11.7109375" style="734" customWidth="1"/>
    <col min="10498" max="10498" width="72.5703125" style="734" bestFit="1" customWidth="1"/>
    <col min="10499" max="10499" width="14.5703125" style="734" bestFit="1" customWidth="1"/>
    <col min="10500" max="10500" width="7.7109375" style="734" bestFit="1" customWidth="1"/>
    <col min="10501" max="10501" width="10.5703125" style="734" bestFit="1" customWidth="1"/>
    <col min="10502" max="10752" width="9.140625" style="734"/>
    <col min="10753" max="10753" width="11.7109375" style="734" customWidth="1"/>
    <col min="10754" max="10754" width="72.5703125" style="734" bestFit="1" customWidth="1"/>
    <col min="10755" max="10755" width="14.5703125" style="734" bestFit="1" customWidth="1"/>
    <col min="10756" max="10756" width="7.7109375" style="734" bestFit="1" customWidth="1"/>
    <col min="10757" max="10757" width="10.5703125" style="734" bestFit="1" customWidth="1"/>
    <col min="10758" max="11008" width="9.140625" style="734"/>
    <col min="11009" max="11009" width="11.7109375" style="734" customWidth="1"/>
    <col min="11010" max="11010" width="72.5703125" style="734" bestFit="1" customWidth="1"/>
    <col min="11011" max="11011" width="14.5703125" style="734" bestFit="1" customWidth="1"/>
    <col min="11012" max="11012" width="7.7109375" style="734" bestFit="1" customWidth="1"/>
    <col min="11013" max="11013" width="10.5703125" style="734" bestFit="1" customWidth="1"/>
    <col min="11014" max="11264" width="9.140625" style="734"/>
    <col min="11265" max="11265" width="11.7109375" style="734" customWidth="1"/>
    <col min="11266" max="11266" width="72.5703125" style="734" bestFit="1" customWidth="1"/>
    <col min="11267" max="11267" width="14.5703125" style="734" bestFit="1" customWidth="1"/>
    <col min="11268" max="11268" width="7.7109375" style="734" bestFit="1" customWidth="1"/>
    <col min="11269" max="11269" width="10.5703125" style="734" bestFit="1" customWidth="1"/>
    <col min="11270" max="11520" width="9.140625" style="734"/>
    <col min="11521" max="11521" width="11.7109375" style="734" customWidth="1"/>
    <col min="11522" max="11522" width="72.5703125" style="734" bestFit="1" customWidth="1"/>
    <col min="11523" max="11523" width="14.5703125" style="734" bestFit="1" customWidth="1"/>
    <col min="11524" max="11524" width="7.7109375" style="734" bestFit="1" customWidth="1"/>
    <col min="11525" max="11525" width="10.5703125" style="734" bestFit="1" customWidth="1"/>
    <col min="11526" max="11776" width="9.140625" style="734"/>
    <col min="11777" max="11777" width="11.7109375" style="734" customWidth="1"/>
    <col min="11778" max="11778" width="72.5703125" style="734" bestFit="1" customWidth="1"/>
    <col min="11779" max="11779" width="14.5703125" style="734" bestFit="1" customWidth="1"/>
    <col min="11780" max="11780" width="7.7109375" style="734" bestFit="1" customWidth="1"/>
    <col min="11781" max="11781" width="10.5703125" style="734" bestFit="1" customWidth="1"/>
    <col min="11782" max="12032" width="9.140625" style="734"/>
    <col min="12033" max="12033" width="11.7109375" style="734" customWidth="1"/>
    <col min="12034" max="12034" width="72.5703125" style="734" bestFit="1" customWidth="1"/>
    <col min="12035" max="12035" width="14.5703125" style="734" bestFit="1" customWidth="1"/>
    <col min="12036" max="12036" width="7.7109375" style="734" bestFit="1" customWidth="1"/>
    <col min="12037" max="12037" width="10.5703125" style="734" bestFit="1" customWidth="1"/>
    <col min="12038" max="12288" width="9.140625" style="734"/>
    <col min="12289" max="12289" width="11.7109375" style="734" customWidth="1"/>
    <col min="12290" max="12290" width="72.5703125" style="734" bestFit="1" customWidth="1"/>
    <col min="12291" max="12291" width="14.5703125" style="734" bestFit="1" customWidth="1"/>
    <col min="12292" max="12292" width="7.7109375" style="734" bestFit="1" customWidth="1"/>
    <col min="12293" max="12293" width="10.5703125" style="734" bestFit="1" customWidth="1"/>
    <col min="12294" max="12544" width="9.140625" style="734"/>
    <col min="12545" max="12545" width="11.7109375" style="734" customWidth="1"/>
    <col min="12546" max="12546" width="72.5703125" style="734" bestFit="1" customWidth="1"/>
    <col min="12547" max="12547" width="14.5703125" style="734" bestFit="1" customWidth="1"/>
    <col min="12548" max="12548" width="7.7109375" style="734" bestFit="1" customWidth="1"/>
    <col min="12549" max="12549" width="10.5703125" style="734" bestFit="1" customWidth="1"/>
    <col min="12550" max="12800" width="9.140625" style="734"/>
    <col min="12801" max="12801" width="11.7109375" style="734" customWidth="1"/>
    <col min="12802" max="12802" width="72.5703125" style="734" bestFit="1" customWidth="1"/>
    <col min="12803" max="12803" width="14.5703125" style="734" bestFit="1" customWidth="1"/>
    <col min="12804" max="12804" width="7.7109375" style="734" bestFit="1" customWidth="1"/>
    <col min="12805" max="12805" width="10.5703125" style="734" bestFit="1" customWidth="1"/>
    <col min="12806" max="13056" width="9.140625" style="734"/>
    <col min="13057" max="13057" width="11.7109375" style="734" customWidth="1"/>
    <col min="13058" max="13058" width="72.5703125" style="734" bestFit="1" customWidth="1"/>
    <col min="13059" max="13059" width="14.5703125" style="734" bestFit="1" customWidth="1"/>
    <col min="13060" max="13060" width="7.7109375" style="734" bestFit="1" customWidth="1"/>
    <col min="13061" max="13061" width="10.5703125" style="734" bestFit="1" customWidth="1"/>
    <col min="13062" max="13312" width="9.140625" style="734"/>
    <col min="13313" max="13313" width="11.7109375" style="734" customWidth="1"/>
    <col min="13314" max="13314" width="72.5703125" style="734" bestFit="1" customWidth="1"/>
    <col min="13315" max="13315" width="14.5703125" style="734" bestFit="1" customWidth="1"/>
    <col min="13316" max="13316" width="7.7109375" style="734" bestFit="1" customWidth="1"/>
    <col min="13317" max="13317" width="10.5703125" style="734" bestFit="1" customWidth="1"/>
    <col min="13318" max="13568" width="9.140625" style="734"/>
    <col min="13569" max="13569" width="11.7109375" style="734" customWidth="1"/>
    <col min="13570" max="13570" width="72.5703125" style="734" bestFit="1" customWidth="1"/>
    <col min="13571" max="13571" width="14.5703125" style="734" bestFit="1" customWidth="1"/>
    <col min="13572" max="13572" width="7.7109375" style="734" bestFit="1" customWidth="1"/>
    <col min="13573" max="13573" width="10.5703125" style="734" bestFit="1" customWidth="1"/>
    <col min="13574" max="13824" width="9.140625" style="734"/>
    <col min="13825" max="13825" width="11.7109375" style="734" customWidth="1"/>
    <col min="13826" max="13826" width="72.5703125" style="734" bestFit="1" customWidth="1"/>
    <col min="13827" max="13827" width="14.5703125" style="734" bestFit="1" customWidth="1"/>
    <col min="13828" max="13828" width="7.7109375" style="734" bestFit="1" customWidth="1"/>
    <col min="13829" max="13829" width="10.5703125" style="734" bestFit="1" customWidth="1"/>
    <col min="13830" max="14080" width="9.140625" style="734"/>
    <col min="14081" max="14081" width="11.7109375" style="734" customWidth="1"/>
    <col min="14082" max="14082" width="72.5703125" style="734" bestFit="1" customWidth="1"/>
    <col min="14083" max="14083" width="14.5703125" style="734" bestFit="1" customWidth="1"/>
    <col min="14084" max="14084" width="7.7109375" style="734" bestFit="1" customWidth="1"/>
    <col min="14085" max="14085" width="10.5703125" style="734" bestFit="1" customWidth="1"/>
    <col min="14086" max="14336" width="9.140625" style="734"/>
    <col min="14337" max="14337" width="11.7109375" style="734" customWidth="1"/>
    <col min="14338" max="14338" width="72.5703125" style="734" bestFit="1" customWidth="1"/>
    <col min="14339" max="14339" width="14.5703125" style="734" bestFit="1" customWidth="1"/>
    <col min="14340" max="14340" width="7.7109375" style="734" bestFit="1" customWidth="1"/>
    <col min="14341" max="14341" width="10.5703125" style="734" bestFit="1" customWidth="1"/>
    <col min="14342" max="14592" width="9.140625" style="734"/>
    <col min="14593" max="14593" width="11.7109375" style="734" customWidth="1"/>
    <col min="14594" max="14594" width="72.5703125" style="734" bestFit="1" customWidth="1"/>
    <col min="14595" max="14595" width="14.5703125" style="734" bestFit="1" customWidth="1"/>
    <col min="14596" max="14596" width="7.7109375" style="734" bestFit="1" customWidth="1"/>
    <col min="14597" max="14597" width="10.5703125" style="734" bestFit="1" customWidth="1"/>
    <col min="14598" max="14848" width="9.140625" style="734"/>
    <col min="14849" max="14849" width="11.7109375" style="734" customWidth="1"/>
    <col min="14850" max="14850" width="72.5703125" style="734" bestFit="1" customWidth="1"/>
    <col min="14851" max="14851" width="14.5703125" style="734" bestFit="1" customWidth="1"/>
    <col min="14852" max="14852" width="7.7109375" style="734" bestFit="1" customWidth="1"/>
    <col min="14853" max="14853" width="10.5703125" style="734" bestFit="1" customWidth="1"/>
    <col min="14854" max="15104" width="9.140625" style="734"/>
    <col min="15105" max="15105" width="11.7109375" style="734" customWidth="1"/>
    <col min="15106" max="15106" width="72.5703125" style="734" bestFit="1" customWidth="1"/>
    <col min="15107" max="15107" width="14.5703125" style="734" bestFit="1" customWidth="1"/>
    <col min="15108" max="15108" width="7.7109375" style="734" bestFit="1" customWidth="1"/>
    <col min="15109" max="15109" width="10.5703125" style="734" bestFit="1" customWidth="1"/>
    <col min="15110" max="15360" width="9.140625" style="734"/>
    <col min="15361" max="15361" width="11.7109375" style="734" customWidth="1"/>
    <col min="15362" max="15362" width="72.5703125" style="734" bestFit="1" customWidth="1"/>
    <col min="15363" max="15363" width="14.5703125" style="734" bestFit="1" customWidth="1"/>
    <col min="15364" max="15364" width="7.7109375" style="734" bestFit="1" customWidth="1"/>
    <col min="15365" max="15365" width="10.5703125" style="734" bestFit="1" customWidth="1"/>
    <col min="15366" max="15616" width="9.140625" style="734"/>
    <col min="15617" max="15617" width="11.7109375" style="734" customWidth="1"/>
    <col min="15618" max="15618" width="72.5703125" style="734" bestFit="1" customWidth="1"/>
    <col min="15619" max="15619" width="14.5703125" style="734" bestFit="1" customWidth="1"/>
    <col min="15620" max="15620" width="7.7109375" style="734" bestFit="1" customWidth="1"/>
    <col min="15621" max="15621" width="10.5703125" style="734" bestFit="1" customWidth="1"/>
    <col min="15622" max="15872" width="9.140625" style="734"/>
    <col min="15873" max="15873" width="11.7109375" style="734" customWidth="1"/>
    <col min="15874" max="15874" width="72.5703125" style="734" bestFit="1" customWidth="1"/>
    <col min="15875" max="15875" width="14.5703125" style="734" bestFit="1" customWidth="1"/>
    <col min="15876" max="15876" width="7.7109375" style="734" bestFit="1" customWidth="1"/>
    <col min="15877" max="15877" width="10.5703125" style="734" bestFit="1" customWidth="1"/>
    <col min="15878" max="16128" width="9.140625" style="734"/>
    <col min="16129" max="16129" width="11.7109375" style="734" customWidth="1"/>
    <col min="16130" max="16130" width="72.5703125" style="734" bestFit="1" customWidth="1"/>
    <col min="16131" max="16131" width="14.5703125" style="734" bestFit="1" customWidth="1"/>
    <col min="16132" max="16132" width="7.7109375" style="734" bestFit="1" customWidth="1"/>
    <col min="16133" max="16133" width="10.5703125" style="734" bestFit="1" customWidth="1"/>
    <col min="16134" max="16384" width="9.140625" style="734"/>
  </cols>
  <sheetData>
    <row r="1" spans="1:6" ht="30" customHeight="1" x14ac:dyDescent="0.25">
      <c r="A1" s="1376" t="s">
        <v>700</v>
      </c>
      <c r="B1" s="1376"/>
      <c r="C1" s="1376"/>
      <c r="D1" s="1376"/>
      <c r="E1" s="1376"/>
      <c r="F1" s="1376"/>
    </row>
    <row r="3" spans="1:6" x14ac:dyDescent="0.25">
      <c r="A3" s="735" t="s">
        <v>195</v>
      </c>
      <c r="B3" s="735" t="s">
        <v>391</v>
      </c>
      <c r="C3" s="736" t="s">
        <v>632</v>
      </c>
      <c r="D3" s="737" t="s">
        <v>8</v>
      </c>
      <c r="E3" s="737" t="s">
        <v>7</v>
      </c>
      <c r="F3" s="738" t="s">
        <v>8</v>
      </c>
    </row>
    <row r="4" spans="1:6" x14ac:dyDescent="0.25">
      <c r="A4" s="734" t="s">
        <v>229</v>
      </c>
      <c r="C4" s="753">
        <f>SUM(C5:C13)</f>
        <v>12</v>
      </c>
      <c r="D4" s="754">
        <f>C4/$C$22*100</f>
        <v>30.76923076923077</v>
      </c>
      <c r="E4" s="754">
        <f>SUM(E5:E13)</f>
        <v>1411.1477500000001</v>
      </c>
      <c r="F4" s="754">
        <f>E4/$E$22*100</f>
        <v>4.8201762008646938</v>
      </c>
    </row>
    <row r="5" spans="1:6" x14ac:dyDescent="0.25">
      <c r="B5" s="734" t="s">
        <v>701</v>
      </c>
      <c r="C5" s="753">
        <v>1</v>
      </c>
      <c r="D5" s="754">
        <f t="shared" ref="D5:D22" si="0">C5/$C$22*100</f>
        <v>2.5641025641025639</v>
      </c>
      <c r="E5" s="754">
        <v>79.8</v>
      </c>
      <c r="F5" s="754">
        <f t="shared" ref="F5:F22" si="1">E5/$E$22*100</f>
        <v>0.27257957986965042</v>
      </c>
    </row>
    <row r="6" spans="1:6" x14ac:dyDescent="0.25">
      <c r="B6" s="734" t="s">
        <v>702</v>
      </c>
      <c r="C6" s="753">
        <v>2</v>
      </c>
      <c r="D6" s="754">
        <f t="shared" si="0"/>
        <v>5.1282051282051277</v>
      </c>
      <c r="E6" s="754">
        <v>553.13359000000014</v>
      </c>
      <c r="F6" s="754">
        <f t="shared" si="1"/>
        <v>1.8893849821302198</v>
      </c>
    </row>
    <row r="7" spans="1:6" x14ac:dyDescent="0.25">
      <c r="B7" s="734" t="s">
        <v>703</v>
      </c>
      <c r="C7" s="753">
        <v>3</v>
      </c>
      <c r="D7" s="754">
        <f t="shared" si="0"/>
        <v>7.6923076923076925</v>
      </c>
      <c r="E7" s="754">
        <v>140.97060000000002</v>
      </c>
      <c r="F7" s="754">
        <f t="shared" si="1"/>
        <v>0.48152514939815227</v>
      </c>
    </row>
    <row r="8" spans="1:6" x14ac:dyDescent="0.25">
      <c r="B8" s="734" t="s">
        <v>704</v>
      </c>
      <c r="C8" s="753">
        <v>1</v>
      </c>
      <c r="D8" s="754">
        <f t="shared" si="0"/>
        <v>2.5641025641025639</v>
      </c>
      <c r="E8" s="754">
        <v>49.278559999999999</v>
      </c>
      <c r="F8" s="754">
        <f t="shared" si="1"/>
        <v>0.16832492708497948</v>
      </c>
    </row>
    <row r="9" spans="1:6" x14ac:dyDescent="0.25">
      <c r="B9" s="734" t="s">
        <v>705</v>
      </c>
      <c r="C9" s="753">
        <v>1</v>
      </c>
      <c r="D9" s="754">
        <f t="shared" si="0"/>
        <v>2.5641025641025639</v>
      </c>
      <c r="E9" s="754">
        <v>43.4</v>
      </c>
      <c r="F9" s="754">
        <f t="shared" si="1"/>
        <v>0.14824503466595024</v>
      </c>
    </row>
    <row r="10" spans="1:6" x14ac:dyDescent="0.25">
      <c r="B10" s="734" t="s">
        <v>706</v>
      </c>
      <c r="C10" s="753">
        <v>1</v>
      </c>
      <c r="D10" s="754">
        <f t="shared" si="0"/>
        <v>2.5641025641025639</v>
      </c>
      <c r="E10" s="754">
        <v>47.942999999999998</v>
      </c>
      <c r="F10" s="754">
        <f t="shared" si="1"/>
        <v>0.16376294232695052</v>
      </c>
    </row>
    <row r="11" spans="1:6" x14ac:dyDescent="0.25">
      <c r="B11" s="734" t="s">
        <v>707</v>
      </c>
      <c r="C11" s="753">
        <v>1</v>
      </c>
      <c r="D11" s="754">
        <f t="shared" si="0"/>
        <v>2.5641025641025639</v>
      </c>
      <c r="E11" s="754">
        <v>390</v>
      </c>
      <c r="F11" s="754">
        <f t="shared" si="1"/>
        <v>1.3321558414682164</v>
      </c>
    </row>
    <row r="12" spans="1:6" x14ac:dyDescent="0.25">
      <c r="B12" s="734" t="s">
        <v>708</v>
      </c>
      <c r="C12" s="753">
        <v>1</v>
      </c>
      <c r="D12" s="754">
        <f t="shared" si="0"/>
        <v>2.5641025641025639</v>
      </c>
      <c r="E12" s="754">
        <v>60.9</v>
      </c>
      <c r="F12" s="754">
        <f t="shared" si="1"/>
        <v>0.20802125832157536</v>
      </c>
    </row>
    <row r="13" spans="1:6" x14ac:dyDescent="0.25">
      <c r="B13" s="734" t="s">
        <v>709</v>
      </c>
      <c r="C13" s="753">
        <v>1</v>
      </c>
      <c r="D13" s="754">
        <f t="shared" si="0"/>
        <v>2.5641025641025639</v>
      </c>
      <c r="E13" s="754">
        <v>45.722000000000001</v>
      </c>
      <c r="F13" s="754">
        <f t="shared" si="1"/>
        <v>0.15617648559899949</v>
      </c>
    </row>
    <row r="14" spans="1:6" x14ac:dyDescent="0.25">
      <c r="A14" s="734" t="s">
        <v>346</v>
      </c>
      <c r="C14" s="753">
        <f>SUM(C15)</f>
        <v>1</v>
      </c>
      <c r="D14" s="754">
        <f t="shared" si="0"/>
        <v>2.5641025641025639</v>
      </c>
      <c r="E14" s="754">
        <f>SUM(E15)</f>
        <v>7064.7569999999996</v>
      </c>
      <c r="F14" s="754">
        <f t="shared" si="1"/>
        <v>24.131685400265312</v>
      </c>
    </row>
    <row r="15" spans="1:6" x14ac:dyDescent="0.25">
      <c r="B15" s="734" t="s">
        <v>644</v>
      </c>
      <c r="C15" s="753">
        <v>1</v>
      </c>
      <c r="D15" s="754">
        <f t="shared" si="0"/>
        <v>2.5641025641025639</v>
      </c>
      <c r="E15" s="754">
        <v>7064.7569999999996</v>
      </c>
      <c r="F15" s="754">
        <f t="shared" si="1"/>
        <v>24.131685400265312</v>
      </c>
    </row>
    <row r="16" spans="1:6" x14ac:dyDescent="0.25">
      <c r="A16" s="734" t="s">
        <v>235</v>
      </c>
      <c r="C16" s="753">
        <f>SUM(C17:C21)</f>
        <v>26</v>
      </c>
      <c r="D16" s="754">
        <f t="shared" si="0"/>
        <v>66.666666666666657</v>
      </c>
      <c r="E16" s="754">
        <f>SUM(E17:E21)</f>
        <v>20799.94931</v>
      </c>
      <c r="F16" s="754">
        <f t="shared" si="1"/>
        <v>71.048138398869995</v>
      </c>
    </row>
    <row r="17" spans="1:6" x14ac:dyDescent="0.25">
      <c r="B17" s="734" t="s">
        <v>645</v>
      </c>
      <c r="C17" s="753">
        <v>10</v>
      </c>
      <c r="D17" s="754">
        <f t="shared" si="0"/>
        <v>25.641025641025639</v>
      </c>
      <c r="E17" s="754">
        <v>17305.943800000001</v>
      </c>
      <c r="F17" s="754">
        <f t="shared" si="1"/>
        <v>59.113369552027351</v>
      </c>
    </row>
    <row r="18" spans="1:6" x14ac:dyDescent="0.25">
      <c r="B18" s="734" t="s">
        <v>646</v>
      </c>
      <c r="C18" s="753">
        <v>1</v>
      </c>
      <c r="D18" s="754">
        <f t="shared" si="0"/>
        <v>2.5641025641025639</v>
      </c>
      <c r="E18" s="754">
        <v>112</v>
      </c>
      <c r="F18" s="754">
        <f t="shared" si="1"/>
        <v>0.38256783139600065</v>
      </c>
    </row>
    <row r="19" spans="1:6" x14ac:dyDescent="0.25">
      <c r="B19" s="734" t="s">
        <v>647</v>
      </c>
      <c r="C19" s="753">
        <v>2</v>
      </c>
      <c r="D19" s="754">
        <f t="shared" si="0"/>
        <v>5.1282051282051277</v>
      </c>
      <c r="E19" s="754">
        <v>71.968509999999995</v>
      </c>
      <c r="F19" s="754">
        <f t="shared" si="1"/>
        <v>0.24582889999554808</v>
      </c>
    </row>
    <row r="20" spans="1:6" x14ac:dyDescent="0.25">
      <c r="B20" s="734" t="s">
        <v>648</v>
      </c>
      <c r="C20" s="753">
        <v>11</v>
      </c>
      <c r="D20" s="754">
        <f t="shared" si="0"/>
        <v>28.205128205128204</v>
      </c>
      <c r="E20" s="754">
        <v>2670.0369999999998</v>
      </c>
      <c r="F20" s="754">
        <f t="shared" si="1"/>
        <v>9.1202702217596734</v>
      </c>
    </row>
    <row r="21" spans="1:6" x14ac:dyDescent="0.25">
      <c r="B21" s="734" t="s">
        <v>649</v>
      </c>
      <c r="C21" s="753">
        <v>2</v>
      </c>
      <c r="D21" s="754">
        <f t="shared" si="0"/>
        <v>5.1282051282051277</v>
      </c>
      <c r="E21" s="754">
        <v>640</v>
      </c>
      <c r="F21" s="754">
        <f t="shared" si="1"/>
        <v>2.1861018936914323</v>
      </c>
    </row>
    <row r="22" spans="1:6" x14ac:dyDescent="0.25">
      <c r="A22" s="735"/>
      <c r="B22" s="765" t="s">
        <v>29</v>
      </c>
      <c r="C22" s="736">
        <f>C4+C14+C16</f>
        <v>39</v>
      </c>
      <c r="D22" s="737">
        <f t="shared" si="0"/>
        <v>100</v>
      </c>
      <c r="E22" s="737">
        <f>E4+E14+E16</f>
        <v>29275.854059999998</v>
      </c>
      <c r="F22" s="738">
        <f t="shared" si="1"/>
        <v>100</v>
      </c>
    </row>
    <row r="23" spans="1:6" x14ac:dyDescent="0.25">
      <c r="A23" s="1228" t="s">
        <v>185</v>
      </c>
      <c r="B23" s="1228"/>
      <c r="C23" s="1228"/>
      <c r="D23" s="1228"/>
      <c r="E23" s="1228"/>
    </row>
    <row r="24" spans="1:6" ht="15" customHeight="1" x14ac:dyDescent="0.25">
      <c r="A24" s="1078" t="s">
        <v>186</v>
      </c>
      <c r="B24" s="1079"/>
      <c r="C24" s="1079"/>
      <c r="D24" s="1079"/>
      <c r="E24" s="1079"/>
    </row>
    <row r="25" spans="1:6" x14ac:dyDescent="0.25">
      <c r="A25" s="1079"/>
      <c r="B25" s="1079"/>
      <c r="C25" s="1079"/>
      <c r="D25" s="1079"/>
      <c r="E25" s="1079"/>
    </row>
  </sheetData>
  <sheetProtection password="9C8D" sheet="1" objects="1" scenarios="1"/>
  <mergeCells count="2">
    <mergeCell ref="A1:F1"/>
    <mergeCell ref="A23:E23"/>
  </mergeCells>
  <pageMargins left="0.511811024" right="0.511811024" top="0.78740157499999996" bottom="0.78740157499999996" header="0.31496062000000002" footer="0.3149606200000000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57"/>
  <sheetViews>
    <sheetView windowProtection="1" showGridLines="0" zoomScale="90" zoomScaleNormal="90" workbookViewId="0">
      <selection activeCell="G28" sqref="G28"/>
    </sheetView>
  </sheetViews>
  <sheetFormatPr defaultRowHeight="12.75" x14ac:dyDescent="0.2"/>
  <cols>
    <col min="1" max="1" width="25.7109375" customWidth="1"/>
    <col min="2" max="2" width="12.7109375" customWidth="1"/>
    <col min="3" max="3" width="13.85546875" customWidth="1"/>
    <col min="4" max="4" width="12.85546875" customWidth="1"/>
    <col min="5" max="5" width="13.42578125" customWidth="1"/>
    <col min="6" max="6" width="12.28515625" customWidth="1"/>
    <col min="7" max="7" width="13.42578125" customWidth="1"/>
    <col min="8" max="8" width="10.5703125" customWidth="1"/>
    <col min="9" max="9" width="13.42578125" customWidth="1"/>
    <col min="10" max="10" width="10.28515625" customWidth="1"/>
    <col min="11" max="11" width="13.42578125" customWidth="1"/>
    <col min="12" max="12" width="12.42578125" customWidth="1"/>
    <col min="13" max="13" width="14.7109375" customWidth="1"/>
    <col min="14" max="14" width="12.140625" bestFit="1" customWidth="1"/>
    <col min="15" max="15" width="11.140625" style="196" bestFit="1" customWidth="1"/>
    <col min="16" max="16" width="13.85546875" bestFit="1" customWidth="1"/>
  </cols>
  <sheetData>
    <row r="1" spans="1:83" ht="15.75" x14ac:dyDescent="0.25">
      <c r="A1" s="1297" t="s">
        <v>183</v>
      </c>
      <c r="B1" s="1297"/>
      <c r="C1" s="1297"/>
      <c r="D1" s="1297"/>
      <c r="E1" s="1297"/>
      <c r="F1" s="1297"/>
      <c r="G1" s="1297"/>
      <c r="H1" s="1297"/>
      <c r="I1" s="1297"/>
      <c r="J1" s="1297"/>
      <c r="K1" s="1297"/>
      <c r="L1" s="1297"/>
      <c r="M1" s="1297"/>
      <c r="N1" s="110"/>
      <c r="O1" s="194"/>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row>
    <row r="2" spans="1:83" ht="15" x14ac:dyDescent="0.2">
      <c r="A2" s="1298" t="s">
        <v>146</v>
      </c>
      <c r="B2" s="1298"/>
      <c r="C2" s="1298"/>
      <c r="D2" s="1298"/>
      <c r="E2" s="1298"/>
      <c r="F2" s="1298"/>
      <c r="G2" s="1298"/>
      <c r="H2" s="1298"/>
      <c r="I2" s="1298"/>
      <c r="J2" s="1298"/>
      <c r="K2" s="1298"/>
      <c r="L2" s="1298"/>
      <c r="M2" s="1298"/>
      <c r="N2" s="110"/>
      <c r="O2" s="194"/>
      <c r="P2" s="110"/>
      <c r="Q2" s="110"/>
      <c r="R2" s="110"/>
      <c r="S2" s="110"/>
      <c r="T2" s="110"/>
      <c r="U2" s="110"/>
      <c r="V2" s="110"/>
      <c r="W2" s="110"/>
      <c r="X2" s="110"/>
      <c r="Y2" s="110"/>
      <c r="Z2" s="110"/>
      <c r="AA2" s="110"/>
      <c r="AB2" s="110"/>
      <c r="AC2" s="110"/>
      <c r="AD2" s="110"/>
      <c r="AE2" s="110"/>
      <c r="AF2" s="110"/>
      <c r="AG2" s="110"/>
      <c r="AH2" s="110"/>
      <c r="AI2" s="110"/>
      <c r="AJ2" s="110"/>
      <c r="AK2" s="110"/>
      <c r="AL2" s="110"/>
      <c r="AM2" s="110"/>
      <c r="AN2" s="110"/>
      <c r="AO2" s="110"/>
      <c r="AP2" s="110"/>
    </row>
    <row r="3" spans="1:83" ht="15" x14ac:dyDescent="0.2">
      <c r="A3" s="1298" t="str">
        <f>[5]Dados!A18</f>
        <v>Exercício de 2015</v>
      </c>
      <c r="B3" s="1298"/>
      <c r="C3" s="1298"/>
      <c r="D3" s="1298"/>
      <c r="E3" s="1298"/>
      <c r="F3" s="1298"/>
      <c r="G3" s="1298"/>
      <c r="H3" s="1298"/>
      <c r="I3" s="1298"/>
      <c r="J3" s="1298"/>
      <c r="K3" s="1298"/>
      <c r="L3" s="1298"/>
      <c r="M3" s="1298"/>
      <c r="N3" s="110"/>
      <c r="O3" s="194"/>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row>
    <row r="4" spans="1:83" x14ac:dyDescent="0.2">
      <c r="A4" s="1304" t="s">
        <v>147</v>
      </c>
      <c r="B4" s="1304"/>
      <c r="C4" s="1304"/>
      <c r="D4" s="1304"/>
      <c r="E4" s="1304"/>
      <c r="F4" s="1304"/>
      <c r="G4" s="1304"/>
      <c r="H4" s="1304"/>
      <c r="I4" s="1304"/>
      <c r="J4" s="1304"/>
      <c r="K4" s="1304"/>
      <c r="L4" s="1304"/>
      <c r="M4" s="1304"/>
      <c r="N4" s="110"/>
      <c r="O4" s="194"/>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row>
    <row r="5" spans="1:83" ht="18" customHeight="1" x14ac:dyDescent="0.2">
      <c r="A5" s="1191" t="s">
        <v>148</v>
      </c>
      <c r="B5" s="1191" t="s">
        <v>149</v>
      </c>
      <c r="C5" s="1191"/>
      <c r="D5" s="1191" t="s">
        <v>150</v>
      </c>
      <c r="E5" s="1191"/>
      <c r="F5" s="1191" t="s">
        <v>151</v>
      </c>
      <c r="G5" s="1191"/>
      <c r="H5" s="1191" t="s">
        <v>152</v>
      </c>
      <c r="I5" s="1191"/>
      <c r="J5" s="1191" t="s">
        <v>153</v>
      </c>
      <c r="K5" s="1191"/>
      <c r="L5" s="1191" t="s">
        <v>29</v>
      </c>
      <c r="M5" s="1191"/>
      <c r="N5" s="1377"/>
      <c r="O5" s="151"/>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c r="BX5" s="110"/>
      <c r="BY5" s="110"/>
      <c r="BZ5" s="110"/>
      <c r="CA5" s="110"/>
      <c r="CB5" s="110"/>
      <c r="CC5" s="110"/>
      <c r="CD5" s="110"/>
      <c r="CE5" s="110"/>
    </row>
    <row r="6" spans="1:83" ht="18" customHeight="1" x14ac:dyDescent="0.2">
      <c r="A6" s="1191"/>
      <c r="B6" s="97" t="s">
        <v>154</v>
      </c>
      <c r="C6" s="97" t="s">
        <v>155</v>
      </c>
      <c r="D6" s="97" t="s">
        <v>154</v>
      </c>
      <c r="E6" s="97" t="s">
        <v>155</v>
      </c>
      <c r="F6" s="97" t="s">
        <v>154</v>
      </c>
      <c r="G6" s="97" t="s">
        <v>155</v>
      </c>
      <c r="H6" s="97" t="s">
        <v>154</v>
      </c>
      <c r="I6" s="97" t="s">
        <v>155</v>
      </c>
      <c r="J6" s="97" t="s">
        <v>154</v>
      </c>
      <c r="K6" s="97" t="s">
        <v>155</v>
      </c>
      <c r="L6" s="97" t="s">
        <v>154</v>
      </c>
      <c r="M6" s="97" t="s">
        <v>155</v>
      </c>
      <c r="N6" s="1377"/>
      <c r="O6" s="151"/>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row>
    <row r="7" spans="1:83" ht="21.95" customHeight="1" x14ac:dyDescent="0.2">
      <c r="A7" s="197" t="s">
        <v>156</v>
      </c>
      <c r="B7" s="198">
        <f>1182+3528</f>
        <v>4710</v>
      </c>
      <c r="C7" s="198">
        <f>43504+35971</f>
        <v>79475</v>
      </c>
      <c r="D7" s="75">
        <v>3831</v>
      </c>
      <c r="E7" s="75">
        <v>416134</v>
      </c>
      <c r="F7" s="75">
        <v>569</v>
      </c>
      <c r="G7" s="75">
        <v>227514</v>
      </c>
      <c r="H7" s="75">
        <v>279</v>
      </c>
      <c r="I7" s="75">
        <v>518744</v>
      </c>
      <c r="J7" s="75">
        <v>68</v>
      </c>
      <c r="K7" s="75">
        <v>1099533</v>
      </c>
      <c r="L7" s="198">
        <f>B7+D7+F7+H7+J7</f>
        <v>9457</v>
      </c>
      <c r="M7" s="198">
        <f t="shared" ref="L7:M10" si="0">C7+E7+G7+I7+K7</f>
        <v>2341400</v>
      </c>
      <c r="N7" s="199"/>
      <c r="O7" s="200"/>
      <c r="P7" s="201"/>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0"/>
    </row>
    <row r="8" spans="1:83" ht="21.95" customHeight="1" x14ac:dyDescent="0.2">
      <c r="A8" s="197" t="s">
        <v>157</v>
      </c>
      <c r="B8" s="198">
        <f>1565+143293</f>
        <v>144858</v>
      </c>
      <c r="C8" s="198">
        <f>51420+879766</f>
        <v>931186</v>
      </c>
      <c r="D8" s="75">
        <v>3492</v>
      </c>
      <c r="E8" s="75">
        <v>448999</v>
      </c>
      <c r="F8" s="75">
        <v>273</v>
      </c>
      <c r="G8" s="75">
        <v>124918</v>
      </c>
      <c r="H8" s="75">
        <v>105</v>
      </c>
      <c r="I8" s="75">
        <v>97279</v>
      </c>
      <c r="J8" s="75">
        <v>21</v>
      </c>
      <c r="K8" s="75">
        <v>67198</v>
      </c>
      <c r="L8" s="198">
        <f t="shared" si="0"/>
        <v>148749</v>
      </c>
      <c r="M8" s="198">
        <f t="shared" si="0"/>
        <v>1669580</v>
      </c>
      <c r="N8" s="199"/>
      <c r="O8" s="200"/>
      <c r="P8" s="201"/>
      <c r="Q8" s="110"/>
      <c r="R8" s="11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row>
    <row r="9" spans="1:83" ht="21.95" customHeight="1" x14ac:dyDescent="0.2">
      <c r="A9" s="197" t="s">
        <v>158</v>
      </c>
      <c r="B9" s="198">
        <f>2220+168173</f>
        <v>170393</v>
      </c>
      <c r="C9" s="198">
        <f>71380+966025</f>
        <v>1037405</v>
      </c>
      <c r="D9" s="75">
        <v>4093</v>
      </c>
      <c r="E9" s="75">
        <v>600287</v>
      </c>
      <c r="F9" s="75">
        <v>566</v>
      </c>
      <c r="G9" s="75">
        <v>490485</v>
      </c>
      <c r="H9" s="75">
        <v>305</v>
      </c>
      <c r="I9" s="75">
        <v>694081</v>
      </c>
      <c r="J9" s="75">
        <v>47</v>
      </c>
      <c r="K9" s="75">
        <v>725878</v>
      </c>
      <c r="L9" s="198">
        <f t="shared" si="0"/>
        <v>175404</v>
      </c>
      <c r="M9" s="198">
        <f t="shared" si="0"/>
        <v>3548136</v>
      </c>
      <c r="N9" s="199"/>
      <c r="O9" s="200"/>
      <c r="P9" s="201"/>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row>
    <row r="10" spans="1:83" ht="21.95" customHeight="1" x14ac:dyDescent="0.2">
      <c r="A10" s="197" t="s">
        <v>159</v>
      </c>
      <c r="B10" s="198">
        <f>3268+160290</f>
        <v>163558</v>
      </c>
      <c r="C10" s="198">
        <f>121531+917344</f>
        <v>1038875</v>
      </c>
      <c r="D10" s="75">
        <v>7442</v>
      </c>
      <c r="E10" s="75">
        <v>1025508</v>
      </c>
      <c r="F10" s="75">
        <v>942</v>
      </c>
      <c r="G10" s="75">
        <v>380618</v>
      </c>
      <c r="H10" s="75">
        <v>483</v>
      </c>
      <c r="I10" s="75">
        <v>428447</v>
      </c>
      <c r="J10" s="75">
        <v>82</v>
      </c>
      <c r="K10" s="75">
        <v>1062663</v>
      </c>
      <c r="L10" s="198">
        <f t="shared" si="0"/>
        <v>172507</v>
      </c>
      <c r="M10" s="198">
        <f t="shared" si="0"/>
        <v>3936111</v>
      </c>
      <c r="N10" s="199"/>
      <c r="O10" s="200"/>
      <c r="P10" s="201"/>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row>
    <row r="11" spans="1:83" ht="21.75" customHeight="1" x14ac:dyDescent="0.2">
      <c r="A11" s="202" t="s">
        <v>29</v>
      </c>
      <c r="B11" s="203">
        <f>SUM(B7:B10)</f>
        <v>483519</v>
      </c>
      <c r="C11" s="203">
        <f t="shared" ref="C11:M11" si="1">SUM(C7:C10)</f>
        <v>3086941</v>
      </c>
      <c r="D11" s="203">
        <f t="shared" si="1"/>
        <v>18858</v>
      </c>
      <c r="E11" s="203">
        <f t="shared" si="1"/>
        <v>2490928</v>
      </c>
      <c r="F11" s="203">
        <f>SUM(F7:F10)</f>
        <v>2350</v>
      </c>
      <c r="G11" s="203">
        <f>SUM(G7:G10)</f>
        <v>1223535</v>
      </c>
      <c r="H11" s="203">
        <f t="shared" si="1"/>
        <v>1172</v>
      </c>
      <c r="I11" s="203">
        <f t="shared" si="1"/>
        <v>1738551</v>
      </c>
      <c r="J11" s="203">
        <f t="shared" si="1"/>
        <v>218</v>
      </c>
      <c r="K11" s="203">
        <f t="shared" si="1"/>
        <v>2955272</v>
      </c>
      <c r="L11" s="203">
        <f>SUM(L7:L10)</f>
        <v>506117</v>
      </c>
      <c r="M11" s="203">
        <f t="shared" si="1"/>
        <v>11495227</v>
      </c>
      <c r="N11" s="201"/>
      <c r="O11" s="20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row>
    <row r="12" spans="1:83" x14ac:dyDescent="0.2">
      <c r="A12" s="1305" t="s">
        <v>144</v>
      </c>
      <c r="B12" s="1305"/>
      <c r="C12" s="1305"/>
      <c r="D12" s="1305"/>
      <c r="E12" s="1305"/>
      <c r="F12" s="1305"/>
      <c r="G12" s="1305"/>
      <c r="H12" s="1305"/>
      <c r="I12" s="1305"/>
      <c r="J12" s="1305"/>
      <c r="K12" s="1305"/>
      <c r="L12" s="1305"/>
      <c r="M12" s="1305"/>
      <c r="N12" s="204"/>
      <c r="O12" s="194"/>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row>
    <row r="13" spans="1:83" ht="21.75" customHeight="1" x14ac:dyDescent="0.2">
      <c r="A13" s="1303"/>
      <c r="B13" s="1241"/>
      <c r="C13" s="1241"/>
      <c r="D13" s="1241"/>
      <c r="E13" s="1241"/>
      <c r="F13" s="1241"/>
      <c r="G13" s="1241"/>
      <c r="H13" s="1241"/>
      <c r="I13" s="1241"/>
      <c r="J13" s="1241"/>
      <c r="K13" s="1241"/>
      <c r="L13" s="1241"/>
      <c r="M13" s="1241"/>
      <c r="N13" s="110"/>
      <c r="O13" s="194"/>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row>
    <row r="14" spans="1:83" x14ac:dyDescent="0.2">
      <c r="A14" s="110"/>
      <c r="B14" s="204"/>
      <c r="C14" s="204"/>
      <c r="D14" s="204"/>
      <c r="E14" s="204"/>
      <c r="F14" s="204"/>
      <c r="G14" s="204"/>
      <c r="H14" s="204"/>
      <c r="I14" s="204"/>
      <c r="J14" s="204"/>
      <c r="K14" s="204"/>
      <c r="L14" s="204"/>
      <c r="M14" s="204"/>
      <c r="N14" s="110"/>
      <c r="O14" s="194"/>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row>
    <row r="15" spans="1:83" x14ac:dyDescent="0.2">
      <c r="A15" s="205"/>
      <c r="B15" s="205"/>
      <c r="C15" s="206"/>
      <c r="D15" s="206"/>
      <c r="E15" s="206"/>
      <c r="F15" s="206"/>
      <c r="G15" s="206"/>
      <c r="H15" s="206"/>
      <c r="I15" s="206"/>
      <c r="J15" s="206"/>
      <c r="K15" s="206"/>
      <c r="L15" s="206"/>
      <c r="M15" s="206"/>
      <c r="N15" s="110"/>
      <c r="O15" s="194"/>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row>
    <row r="16" spans="1:83" x14ac:dyDescent="0.2">
      <c r="A16" s="205"/>
      <c r="B16" s="201"/>
      <c r="C16" s="201"/>
      <c r="D16" s="201"/>
      <c r="E16" s="201"/>
      <c r="F16" s="201"/>
      <c r="G16" s="201"/>
      <c r="H16" s="201"/>
      <c r="I16" s="201"/>
      <c r="J16" s="201"/>
      <c r="K16" s="201"/>
      <c r="L16" s="201"/>
      <c r="M16" s="201"/>
      <c r="N16" s="110"/>
      <c r="O16" s="194"/>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row>
    <row r="17" spans="1:83" x14ac:dyDescent="0.2">
      <c r="A17" s="205"/>
      <c r="B17" s="205"/>
      <c r="C17" s="206"/>
      <c r="D17" s="206"/>
      <c r="E17" s="195"/>
      <c r="F17" s="195"/>
      <c r="G17" s="195"/>
      <c r="H17" s="195"/>
      <c r="I17" s="195"/>
      <c r="J17" s="195"/>
      <c r="K17" s="195"/>
      <c r="L17" s="195"/>
      <c r="M17" s="195"/>
      <c r="N17" s="110"/>
      <c r="O17" s="194"/>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row>
    <row r="18" spans="1:83" x14ac:dyDescent="0.2">
      <c r="A18" s="205"/>
      <c r="B18" s="205"/>
      <c r="C18" s="206"/>
      <c r="D18" s="206"/>
      <c r="E18" s="110"/>
      <c r="F18" s="110"/>
      <c r="G18" s="110"/>
      <c r="H18" s="110"/>
      <c r="I18" s="110"/>
      <c r="J18" s="110"/>
      <c r="K18" s="110"/>
      <c r="L18" s="110"/>
      <c r="M18" s="110"/>
      <c r="N18" s="110"/>
      <c r="O18" s="194"/>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row>
    <row r="19" spans="1:83" x14ac:dyDescent="0.2">
      <c r="A19" s="205"/>
      <c r="B19" s="205"/>
      <c r="C19" s="206"/>
      <c r="D19" s="206"/>
      <c r="E19" s="110"/>
      <c r="F19" s="110"/>
      <c r="G19" s="110"/>
      <c r="H19" s="110"/>
      <c r="I19" s="110"/>
      <c r="J19" s="110"/>
      <c r="K19" s="110"/>
      <c r="L19" s="110"/>
      <c r="M19" s="110"/>
      <c r="N19" s="110"/>
      <c r="O19" s="194"/>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c r="BP19" s="110"/>
      <c r="BQ19" s="110"/>
      <c r="BR19" s="110"/>
      <c r="BS19" s="110"/>
      <c r="BT19" s="110"/>
      <c r="BU19" s="110"/>
      <c r="BV19" s="110"/>
      <c r="BW19" s="110"/>
      <c r="BX19" s="110"/>
      <c r="BY19" s="110"/>
      <c r="BZ19" s="110"/>
      <c r="CA19" s="110"/>
      <c r="CB19" s="110"/>
      <c r="CC19" s="110"/>
      <c r="CD19" s="110"/>
      <c r="CE19" s="110"/>
    </row>
    <row r="20" spans="1:83" x14ac:dyDescent="0.2">
      <c r="A20" s="110"/>
      <c r="B20" s="110"/>
      <c r="C20" s="110"/>
      <c r="D20" s="110"/>
      <c r="E20" s="110"/>
      <c r="F20" s="110"/>
      <c r="G20" s="110"/>
      <c r="H20" s="110"/>
      <c r="I20" s="110"/>
      <c r="J20" s="110"/>
      <c r="K20" s="110"/>
      <c r="L20" s="110"/>
      <c r="M20" s="110"/>
      <c r="N20" s="110"/>
      <c r="O20" s="194"/>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c r="AW20" s="110"/>
      <c r="AX20" s="110"/>
      <c r="AY20" s="110"/>
      <c r="AZ20" s="110"/>
      <c r="BA20" s="110"/>
      <c r="BB20" s="110"/>
      <c r="BC20" s="110"/>
      <c r="BD20" s="110"/>
      <c r="BE20" s="110"/>
      <c r="BF20" s="110"/>
      <c r="BG20" s="110"/>
      <c r="BH20" s="110"/>
      <c r="BI20" s="110"/>
      <c r="BJ20" s="110"/>
      <c r="BK20" s="110"/>
      <c r="BL20" s="110"/>
      <c r="BM20" s="110"/>
      <c r="BN20" s="110"/>
      <c r="BO20" s="110"/>
      <c r="BP20" s="110"/>
      <c r="BQ20" s="110"/>
      <c r="BR20" s="110"/>
      <c r="BS20" s="110"/>
      <c r="BT20" s="110"/>
      <c r="BU20" s="110"/>
      <c r="BV20" s="110"/>
      <c r="BW20" s="110"/>
      <c r="BX20" s="110"/>
      <c r="BY20" s="110"/>
      <c r="BZ20" s="110"/>
      <c r="CA20" s="110"/>
      <c r="CB20" s="110"/>
      <c r="CC20" s="110"/>
      <c r="CD20" s="110"/>
      <c r="CE20" s="110"/>
    </row>
    <row r="21" spans="1:83" x14ac:dyDescent="0.2">
      <c r="A21" s="110"/>
      <c r="B21" s="110"/>
      <c r="C21" s="110"/>
      <c r="D21" s="110"/>
      <c r="E21" s="110"/>
      <c r="F21" s="110"/>
      <c r="G21" s="110"/>
      <c r="H21" s="110"/>
      <c r="I21" s="110"/>
      <c r="J21" s="110"/>
      <c r="K21" s="110"/>
      <c r="L21" s="110"/>
      <c r="M21" s="110"/>
      <c r="N21" s="110"/>
      <c r="O21" s="194"/>
      <c r="P21" s="110"/>
      <c r="Q21" s="110"/>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c r="AX21" s="110"/>
      <c r="AY21" s="110"/>
      <c r="AZ21" s="110"/>
      <c r="BA21" s="110"/>
      <c r="BB21" s="110"/>
      <c r="BC21" s="110"/>
      <c r="BD21" s="110"/>
      <c r="BE21" s="110"/>
      <c r="BF21" s="110"/>
      <c r="BG21" s="110"/>
      <c r="BH21" s="110"/>
      <c r="BI21" s="110"/>
      <c r="BJ21" s="110"/>
      <c r="BK21" s="110"/>
      <c r="BL21" s="110"/>
      <c r="BM21" s="110"/>
      <c r="BN21" s="110"/>
      <c r="BO21" s="110"/>
      <c r="BP21" s="110"/>
      <c r="BQ21" s="110"/>
      <c r="BR21" s="110"/>
      <c r="BS21" s="110"/>
      <c r="BT21" s="110"/>
      <c r="BU21" s="110"/>
      <c r="BV21" s="110"/>
      <c r="BW21" s="110"/>
      <c r="BX21" s="110"/>
      <c r="BY21" s="110"/>
      <c r="BZ21" s="110"/>
      <c r="CA21" s="110"/>
      <c r="CB21" s="110"/>
      <c r="CC21" s="110"/>
      <c r="CD21" s="110"/>
      <c r="CE21" s="110"/>
    </row>
    <row r="22" spans="1:83" x14ac:dyDescent="0.2">
      <c r="A22" s="110"/>
      <c r="B22" s="110"/>
      <c r="C22" s="110"/>
      <c r="D22" s="110"/>
      <c r="E22" s="110"/>
      <c r="F22" s="110"/>
      <c r="G22" s="110"/>
      <c r="H22" s="110"/>
      <c r="I22" s="110"/>
      <c r="J22" s="110"/>
      <c r="K22" s="110"/>
      <c r="L22" s="110"/>
      <c r="M22" s="110"/>
      <c r="N22" s="110"/>
      <c r="O22" s="194"/>
      <c r="P22" s="110"/>
      <c r="Q22" s="110"/>
      <c r="R22" s="11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c r="BI22" s="110"/>
      <c r="BJ22" s="110"/>
      <c r="BK22" s="110"/>
      <c r="BL22" s="110"/>
      <c r="BM22" s="110"/>
      <c r="BN22" s="110"/>
      <c r="BO22" s="110"/>
      <c r="BP22" s="110"/>
      <c r="BQ22" s="110"/>
      <c r="BR22" s="110"/>
      <c r="BS22" s="110"/>
      <c r="BT22" s="110"/>
      <c r="BU22" s="110"/>
      <c r="BV22" s="110"/>
      <c r="BW22" s="110"/>
      <c r="BX22" s="110"/>
      <c r="BY22" s="110"/>
      <c r="BZ22" s="110"/>
      <c r="CA22" s="110"/>
      <c r="CB22" s="110"/>
      <c r="CC22" s="110"/>
      <c r="CD22" s="110"/>
      <c r="CE22" s="110"/>
    </row>
    <row r="23" spans="1:83" x14ac:dyDescent="0.2">
      <c r="A23" s="110"/>
      <c r="B23" s="110"/>
      <c r="C23" s="110"/>
      <c r="D23" s="110"/>
      <c r="E23" s="110"/>
      <c r="F23" s="110"/>
      <c r="G23" s="110"/>
      <c r="H23" s="110"/>
      <c r="I23" s="110"/>
      <c r="J23" s="110"/>
      <c r="K23" s="110"/>
      <c r="L23" s="110"/>
      <c r="M23" s="110"/>
      <c r="N23" s="110"/>
      <c r="O23" s="194"/>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0"/>
      <c r="BP23" s="110"/>
      <c r="BQ23" s="110"/>
      <c r="BR23" s="110"/>
      <c r="BS23" s="110"/>
      <c r="BT23" s="110"/>
      <c r="BU23" s="110"/>
      <c r="BV23" s="110"/>
      <c r="BW23" s="110"/>
      <c r="BX23" s="110"/>
      <c r="BY23" s="110"/>
      <c r="BZ23" s="110"/>
      <c r="CA23" s="110"/>
      <c r="CB23" s="110"/>
      <c r="CC23" s="110"/>
      <c r="CD23" s="110"/>
      <c r="CE23" s="110"/>
    </row>
    <row r="24" spans="1:83" x14ac:dyDescent="0.2">
      <c r="A24" s="110"/>
      <c r="B24" s="110"/>
      <c r="C24" s="110"/>
      <c r="D24" s="110"/>
      <c r="E24" s="110"/>
      <c r="F24" s="110"/>
      <c r="G24" s="110"/>
      <c r="H24" s="110"/>
      <c r="I24" s="110"/>
      <c r="J24" s="110"/>
      <c r="K24" s="110"/>
      <c r="L24" s="110"/>
      <c r="M24" s="110"/>
      <c r="N24" s="110"/>
      <c r="O24" s="194"/>
      <c r="P24" s="110"/>
      <c r="Q24" s="110"/>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10"/>
      <c r="BV24" s="110"/>
      <c r="BW24" s="110"/>
      <c r="BX24" s="110"/>
      <c r="BY24" s="110"/>
      <c r="BZ24" s="110"/>
      <c r="CA24" s="110"/>
      <c r="CB24" s="110"/>
      <c r="CC24" s="110"/>
      <c r="CD24" s="110"/>
      <c r="CE24" s="110"/>
    </row>
    <row r="25" spans="1:83" x14ac:dyDescent="0.2">
      <c r="A25" s="110"/>
      <c r="B25" s="110"/>
      <c r="C25" s="110"/>
      <c r="D25" s="110"/>
      <c r="E25" s="110"/>
      <c r="F25" s="110"/>
      <c r="G25" s="110"/>
      <c r="H25" s="110"/>
      <c r="I25" s="110"/>
      <c r="J25" s="110"/>
      <c r="K25" s="110"/>
      <c r="L25" s="110"/>
      <c r="M25" s="110"/>
      <c r="N25" s="110"/>
      <c r="O25" s="194"/>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10"/>
      <c r="BV25" s="110"/>
      <c r="BW25" s="110"/>
      <c r="BX25" s="110"/>
      <c r="BY25" s="110"/>
      <c r="BZ25" s="110"/>
      <c r="CA25" s="110"/>
      <c r="CB25" s="110"/>
      <c r="CC25" s="110"/>
      <c r="CD25" s="110"/>
      <c r="CE25" s="110"/>
    </row>
    <row r="26" spans="1:83" x14ac:dyDescent="0.2">
      <c r="A26" s="110"/>
      <c r="B26" s="110"/>
      <c r="C26" s="110"/>
      <c r="D26" s="110"/>
      <c r="E26" s="110"/>
      <c r="F26" s="110"/>
      <c r="G26" s="110"/>
      <c r="H26" s="110"/>
      <c r="I26" s="110"/>
      <c r="J26" s="110"/>
      <c r="K26" s="110"/>
      <c r="L26" s="110"/>
      <c r="M26" s="110"/>
      <c r="N26" s="110"/>
      <c r="O26" s="194"/>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10"/>
      <c r="BV26" s="110"/>
      <c r="BW26" s="110"/>
      <c r="BX26" s="110"/>
      <c r="BY26" s="110"/>
      <c r="BZ26" s="110"/>
      <c r="CA26" s="110"/>
      <c r="CB26" s="110"/>
      <c r="CC26" s="110"/>
      <c r="CD26" s="110"/>
      <c r="CE26" s="110"/>
    </row>
    <row r="27" spans="1:83" x14ac:dyDescent="0.2">
      <c r="A27" s="110"/>
      <c r="B27" s="110"/>
      <c r="C27" s="110"/>
      <c r="D27" s="110"/>
      <c r="E27" s="110"/>
      <c r="F27" s="110"/>
      <c r="G27" s="110"/>
      <c r="H27" s="110"/>
      <c r="I27" s="110"/>
      <c r="J27" s="110"/>
      <c r="K27" s="110"/>
      <c r="L27" s="110"/>
      <c r="M27" s="110"/>
      <c r="N27" s="110"/>
      <c r="O27" s="194"/>
      <c r="P27" s="110"/>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0"/>
      <c r="BL27" s="110"/>
      <c r="BM27" s="110"/>
      <c r="BN27" s="110"/>
      <c r="BO27" s="110"/>
      <c r="BP27" s="110"/>
      <c r="BQ27" s="110"/>
      <c r="BR27" s="110"/>
      <c r="BS27" s="110"/>
      <c r="BT27" s="110"/>
      <c r="BU27" s="110"/>
      <c r="BV27" s="110"/>
      <c r="BW27" s="110"/>
      <c r="BX27" s="110"/>
      <c r="BY27" s="110"/>
      <c r="BZ27" s="110"/>
      <c r="CA27" s="110"/>
      <c r="CB27" s="110"/>
      <c r="CC27" s="110"/>
      <c r="CD27" s="110"/>
      <c r="CE27" s="110"/>
    </row>
    <row r="28" spans="1:83" x14ac:dyDescent="0.2">
      <c r="A28" s="110"/>
      <c r="B28" s="110"/>
      <c r="C28" s="110"/>
      <c r="D28" s="110"/>
      <c r="E28" s="110"/>
      <c r="F28" s="110"/>
      <c r="G28" s="110"/>
      <c r="H28" s="110"/>
      <c r="I28" s="110"/>
      <c r="J28" s="110"/>
      <c r="K28" s="110"/>
      <c r="L28" s="110"/>
      <c r="M28" s="110"/>
      <c r="N28" s="110"/>
      <c r="O28" s="194"/>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c r="BO28" s="110"/>
      <c r="BP28" s="110"/>
      <c r="BQ28" s="110"/>
      <c r="BR28" s="110"/>
      <c r="BS28" s="110"/>
      <c r="BT28" s="110"/>
      <c r="BU28" s="110"/>
      <c r="BV28" s="110"/>
      <c r="BW28" s="110"/>
      <c r="BX28" s="110"/>
      <c r="BY28" s="110"/>
      <c r="BZ28" s="110"/>
      <c r="CA28" s="110"/>
      <c r="CB28" s="110"/>
      <c r="CC28" s="110"/>
      <c r="CD28" s="110"/>
      <c r="CE28" s="110"/>
    </row>
    <row r="29" spans="1:83" x14ac:dyDescent="0.2">
      <c r="A29" s="110"/>
      <c r="B29" s="110"/>
      <c r="C29" s="110"/>
      <c r="D29" s="110"/>
      <c r="E29" s="110"/>
      <c r="F29" s="110"/>
      <c r="G29" s="110"/>
      <c r="H29" s="110"/>
      <c r="I29" s="110"/>
      <c r="J29" s="110"/>
      <c r="K29" s="110"/>
      <c r="L29" s="110"/>
      <c r="M29" s="110"/>
      <c r="N29" s="110"/>
      <c r="O29" s="194"/>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c r="BX29" s="110"/>
      <c r="BY29" s="110"/>
      <c r="BZ29" s="110"/>
      <c r="CA29" s="110"/>
      <c r="CB29" s="110"/>
      <c r="CC29" s="110"/>
      <c r="CD29" s="110"/>
      <c r="CE29" s="110"/>
    </row>
    <row r="30" spans="1:83" x14ac:dyDescent="0.2">
      <c r="A30" s="110"/>
      <c r="B30" s="110"/>
      <c r="C30" s="110"/>
      <c r="D30" s="110"/>
      <c r="E30" s="110"/>
      <c r="F30" s="110"/>
      <c r="G30" s="110"/>
      <c r="H30" s="110"/>
      <c r="I30" s="110"/>
      <c r="J30" s="110"/>
      <c r="K30" s="110"/>
      <c r="L30" s="110"/>
      <c r="M30" s="110"/>
      <c r="N30" s="110"/>
      <c r="O30" s="194"/>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10"/>
      <c r="BS30" s="110"/>
      <c r="BT30" s="110"/>
      <c r="BU30" s="110"/>
      <c r="BV30" s="110"/>
      <c r="BW30" s="110"/>
      <c r="BX30" s="110"/>
      <c r="BY30" s="110"/>
      <c r="BZ30" s="110"/>
      <c r="CA30" s="110"/>
      <c r="CB30" s="110"/>
      <c r="CC30" s="110"/>
      <c r="CD30" s="110"/>
      <c r="CE30" s="110"/>
    </row>
    <row r="31" spans="1:83" x14ac:dyDescent="0.2">
      <c r="A31" s="110"/>
      <c r="B31" s="110"/>
      <c r="C31" s="110"/>
      <c r="D31" s="110"/>
      <c r="E31" s="110"/>
      <c r="F31" s="110"/>
      <c r="G31" s="110"/>
      <c r="H31" s="110"/>
      <c r="I31" s="110"/>
      <c r="J31" s="110"/>
      <c r="K31" s="110"/>
      <c r="L31" s="110"/>
      <c r="M31" s="110"/>
      <c r="N31" s="110"/>
      <c r="O31" s="194"/>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row>
    <row r="32" spans="1:83" x14ac:dyDescent="0.2">
      <c r="A32" s="110"/>
      <c r="B32" s="110"/>
      <c r="C32" s="110"/>
      <c r="D32" s="110"/>
      <c r="E32" s="110"/>
      <c r="F32" s="110"/>
      <c r="G32" s="110"/>
      <c r="H32" s="110"/>
      <c r="I32" s="110"/>
      <c r="J32" s="110"/>
      <c r="K32" s="110"/>
      <c r="L32" s="110"/>
      <c r="M32" s="110"/>
      <c r="N32" s="110"/>
      <c r="O32" s="194"/>
      <c r="P32" s="110"/>
      <c r="Q32" s="110"/>
      <c r="R32" s="11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c r="AX32" s="110"/>
      <c r="AY32" s="110"/>
      <c r="AZ32" s="110"/>
      <c r="BA32" s="110"/>
      <c r="BB32" s="110"/>
      <c r="BC32" s="110"/>
      <c r="BD32" s="110"/>
      <c r="BE32" s="110"/>
      <c r="BF32" s="110"/>
      <c r="BG32" s="110"/>
      <c r="BH32" s="110"/>
      <c r="BI32" s="110"/>
      <c r="BJ32" s="110"/>
      <c r="BK32" s="110"/>
      <c r="BL32" s="110"/>
      <c r="BM32" s="110"/>
      <c r="BN32" s="110"/>
      <c r="BO32" s="110"/>
      <c r="BP32" s="110"/>
      <c r="BQ32" s="110"/>
      <c r="BR32" s="110"/>
      <c r="BS32" s="110"/>
      <c r="BT32" s="110"/>
      <c r="BU32" s="110"/>
      <c r="BV32" s="110"/>
      <c r="BW32" s="110"/>
      <c r="BX32" s="110"/>
      <c r="BY32" s="110"/>
      <c r="BZ32" s="110"/>
      <c r="CA32" s="110"/>
      <c r="CB32" s="110"/>
      <c r="CC32" s="110"/>
      <c r="CD32" s="110"/>
      <c r="CE32" s="110"/>
    </row>
    <row r="33" spans="1:83" x14ac:dyDescent="0.2">
      <c r="A33" s="110"/>
      <c r="B33" s="110"/>
      <c r="C33" s="110"/>
      <c r="D33" s="110"/>
      <c r="E33" s="110"/>
      <c r="F33" s="110"/>
      <c r="G33" s="110"/>
      <c r="H33" s="110"/>
      <c r="I33" s="110"/>
      <c r="J33" s="110"/>
      <c r="K33" s="110"/>
      <c r="L33" s="110"/>
      <c r="M33" s="110"/>
      <c r="N33" s="110"/>
      <c r="O33" s="194"/>
      <c r="P33" s="110"/>
      <c r="Q33" s="110"/>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0"/>
      <c r="BC33" s="110"/>
      <c r="BD33" s="110"/>
      <c r="BE33" s="110"/>
      <c r="BF33" s="110"/>
      <c r="BG33" s="110"/>
      <c r="BH33" s="110"/>
      <c r="BI33" s="110"/>
      <c r="BJ33" s="110"/>
      <c r="BK33" s="110"/>
      <c r="BL33" s="110"/>
      <c r="BM33" s="110"/>
      <c r="BN33" s="110"/>
      <c r="BO33" s="110"/>
      <c r="BP33" s="110"/>
      <c r="BQ33" s="110"/>
      <c r="BR33" s="110"/>
      <c r="BS33" s="110"/>
      <c r="BT33" s="110"/>
      <c r="BU33" s="110"/>
      <c r="BV33" s="110"/>
      <c r="BW33" s="110"/>
      <c r="BX33" s="110"/>
      <c r="BY33" s="110"/>
      <c r="BZ33" s="110"/>
      <c r="CA33" s="110"/>
      <c r="CB33" s="110"/>
      <c r="CC33" s="110"/>
      <c r="CD33" s="110"/>
      <c r="CE33" s="110"/>
    </row>
    <row r="34" spans="1:83" x14ac:dyDescent="0.2">
      <c r="A34" s="110"/>
      <c r="B34" s="110"/>
      <c r="C34" s="110"/>
      <c r="D34" s="110"/>
      <c r="E34" s="110"/>
      <c r="F34" s="110"/>
      <c r="G34" s="110"/>
      <c r="H34" s="110"/>
      <c r="I34" s="110"/>
      <c r="J34" s="110"/>
      <c r="K34" s="110"/>
      <c r="L34" s="110"/>
      <c r="M34" s="110"/>
      <c r="N34" s="110"/>
      <c r="O34" s="194"/>
      <c r="P34" s="110"/>
      <c r="Q34" s="110"/>
      <c r="R34" s="110"/>
      <c r="S34" s="110"/>
      <c r="T34" s="110"/>
      <c r="U34" s="110"/>
      <c r="V34" s="110"/>
      <c r="W34" s="110"/>
      <c r="X34" s="110"/>
      <c r="Y34" s="110"/>
      <c r="Z34" s="110"/>
    </row>
    <row r="35" spans="1:83" x14ac:dyDescent="0.2">
      <c r="A35" s="110"/>
      <c r="B35" s="110"/>
      <c r="C35" s="110"/>
      <c r="D35" s="110"/>
      <c r="E35" s="110"/>
      <c r="F35" s="110"/>
      <c r="G35" s="110"/>
      <c r="H35" s="110"/>
      <c r="I35" s="110"/>
      <c r="J35" s="110"/>
      <c r="K35" s="110"/>
      <c r="L35" s="110"/>
      <c r="M35" s="110"/>
      <c r="N35" s="110"/>
      <c r="O35" s="194"/>
      <c r="P35" s="110"/>
      <c r="Q35" s="110"/>
      <c r="R35" s="110"/>
      <c r="S35" s="110"/>
      <c r="T35" s="110"/>
      <c r="U35" s="110"/>
      <c r="V35" s="110"/>
      <c r="W35" s="110"/>
      <c r="X35" s="110"/>
      <c r="Y35" s="110"/>
      <c r="Z35" s="110"/>
    </row>
    <row r="36" spans="1:83" x14ac:dyDescent="0.2">
      <c r="A36" s="110"/>
      <c r="B36" s="110"/>
      <c r="C36" s="110"/>
      <c r="D36" s="110"/>
      <c r="E36" s="110"/>
      <c r="F36" s="110"/>
      <c r="G36" s="110"/>
      <c r="H36" s="110"/>
      <c r="I36" s="110"/>
      <c r="J36" s="110"/>
      <c r="K36" s="110"/>
      <c r="L36" s="110"/>
      <c r="M36" s="110"/>
      <c r="N36" s="110"/>
      <c r="O36" s="194"/>
      <c r="P36" s="110"/>
      <c r="Q36" s="110"/>
      <c r="R36" s="110"/>
      <c r="S36" s="110"/>
      <c r="T36" s="110"/>
      <c r="U36" s="110"/>
      <c r="V36" s="110"/>
      <c r="W36" s="110"/>
      <c r="X36" s="110"/>
      <c r="Y36" s="110"/>
      <c r="Z36" s="110"/>
    </row>
    <row r="37" spans="1:83" x14ac:dyDescent="0.2">
      <c r="A37" s="110"/>
      <c r="B37" s="110"/>
      <c r="C37" s="110"/>
      <c r="D37" s="110"/>
      <c r="E37" s="110"/>
      <c r="F37" s="110"/>
      <c r="G37" s="110"/>
      <c r="H37" s="110"/>
      <c r="I37" s="110"/>
      <c r="J37" s="110"/>
      <c r="K37" s="110"/>
      <c r="L37" s="110"/>
      <c r="M37" s="110"/>
      <c r="N37" s="110"/>
      <c r="O37" s="194"/>
      <c r="P37" s="110"/>
      <c r="Q37" s="110"/>
      <c r="R37" s="110"/>
      <c r="S37" s="110"/>
      <c r="T37" s="110"/>
      <c r="U37" s="110"/>
      <c r="V37" s="110"/>
      <c r="W37" s="110"/>
      <c r="X37" s="110"/>
      <c r="Y37" s="110"/>
      <c r="Z37" s="110"/>
    </row>
    <row r="38" spans="1:83" x14ac:dyDescent="0.2">
      <c r="A38" s="110"/>
      <c r="B38" s="110"/>
      <c r="C38" s="110"/>
      <c r="D38" s="110"/>
      <c r="E38" s="110"/>
      <c r="F38" s="110"/>
      <c r="G38" s="110"/>
      <c r="H38" s="110"/>
      <c r="I38" s="110"/>
      <c r="J38" s="110"/>
      <c r="K38" s="110"/>
      <c r="L38" s="110"/>
      <c r="M38" s="110"/>
      <c r="N38" s="110"/>
      <c r="O38" s="194"/>
      <c r="P38" s="110"/>
      <c r="Q38" s="110"/>
      <c r="R38" s="110"/>
      <c r="S38" s="110"/>
      <c r="T38" s="110"/>
      <c r="U38" s="110"/>
      <c r="V38" s="110"/>
      <c r="W38" s="110"/>
      <c r="X38" s="110"/>
      <c r="Y38" s="110"/>
      <c r="Z38" s="110"/>
    </row>
    <row r="39" spans="1:83" x14ac:dyDescent="0.2">
      <c r="A39" s="110"/>
      <c r="B39" s="110"/>
      <c r="C39" s="110"/>
      <c r="D39" s="110"/>
      <c r="E39" s="110"/>
      <c r="F39" s="110"/>
      <c r="G39" s="110"/>
      <c r="H39" s="110"/>
      <c r="I39" s="110"/>
      <c r="J39" s="110"/>
      <c r="K39" s="110"/>
      <c r="L39" s="110"/>
      <c r="M39" s="110"/>
      <c r="N39" s="110"/>
      <c r="O39" s="194"/>
      <c r="P39" s="110"/>
      <c r="Q39" s="110"/>
      <c r="R39" s="110"/>
      <c r="S39" s="110"/>
      <c r="T39" s="110"/>
      <c r="U39" s="110"/>
      <c r="V39" s="110"/>
      <c r="W39" s="110"/>
      <c r="X39" s="110"/>
      <c r="Y39" s="110"/>
      <c r="Z39" s="110"/>
    </row>
    <row r="40" spans="1:83" x14ac:dyDescent="0.2">
      <c r="A40" s="110"/>
      <c r="B40" s="110"/>
      <c r="C40" s="110"/>
      <c r="D40" s="110"/>
      <c r="E40" s="110"/>
      <c r="F40" s="110"/>
      <c r="G40" s="110"/>
      <c r="H40" s="110"/>
      <c r="I40" s="110"/>
      <c r="J40" s="110"/>
      <c r="K40" s="110"/>
      <c r="L40" s="110"/>
      <c r="M40" s="110"/>
      <c r="N40" s="110"/>
      <c r="O40" s="194"/>
      <c r="P40" s="110"/>
      <c r="Q40" s="110"/>
      <c r="R40" s="110"/>
      <c r="S40" s="110"/>
      <c r="T40" s="110"/>
      <c r="U40" s="110"/>
      <c r="V40" s="110"/>
      <c r="W40" s="110"/>
      <c r="X40" s="110"/>
      <c r="Y40" s="110"/>
      <c r="Z40" s="110"/>
    </row>
    <row r="41" spans="1:83" x14ac:dyDescent="0.2">
      <c r="A41" s="110"/>
      <c r="B41" s="110"/>
      <c r="C41" s="110"/>
      <c r="D41" s="110"/>
      <c r="E41" s="110"/>
      <c r="F41" s="110"/>
      <c r="G41" s="110"/>
      <c r="H41" s="110"/>
      <c r="I41" s="110"/>
      <c r="J41" s="110"/>
      <c r="K41" s="110"/>
      <c r="L41" s="110"/>
      <c r="M41" s="110"/>
      <c r="N41" s="110"/>
      <c r="O41" s="194"/>
      <c r="P41" s="110"/>
      <c r="Q41" s="110"/>
      <c r="R41" s="110"/>
      <c r="S41" s="110"/>
      <c r="T41" s="110"/>
      <c r="U41" s="110"/>
      <c r="V41" s="110"/>
      <c r="W41" s="110"/>
      <c r="X41" s="110"/>
      <c r="Y41" s="110"/>
      <c r="Z41" s="110"/>
    </row>
    <row r="42" spans="1:83" x14ac:dyDescent="0.2">
      <c r="A42" s="110"/>
      <c r="B42" s="110"/>
      <c r="C42" s="110"/>
      <c r="D42" s="110"/>
      <c r="E42" s="110"/>
      <c r="F42" s="110"/>
      <c r="G42" s="110"/>
      <c r="H42" s="110"/>
      <c r="I42" s="110"/>
      <c r="J42" s="110"/>
      <c r="K42" s="110"/>
      <c r="L42" s="110"/>
      <c r="M42" s="110"/>
      <c r="N42" s="110"/>
      <c r="O42" s="194"/>
      <c r="P42" s="110"/>
      <c r="Q42" s="110"/>
      <c r="R42" s="110"/>
      <c r="S42" s="110"/>
      <c r="T42" s="110"/>
      <c r="U42" s="110"/>
      <c r="V42" s="110"/>
      <c r="W42" s="110"/>
      <c r="X42" s="110"/>
      <c r="Y42" s="110"/>
      <c r="Z42" s="110"/>
    </row>
    <row r="43" spans="1:83" x14ac:dyDescent="0.2">
      <c r="A43" s="110"/>
      <c r="B43" s="110"/>
      <c r="C43" s="110"/>
      <c r="D43" s="110"/>
      <c r="E43" s="110"/>
      <c r="F43" s="110"/>
      <c r="G43" s="110"/>
      <c r="H43" s="110"/>
      <c r="I43" s="110"/>
      <c r="J43" s="110"/>
      <c r="K43" s="110"/>
      <c r="L43" s="110"/>
      <c r="M43" s="110"/>
      <c r="N43" s="110"/>
      <c r="O43" s="194"/>
      <c r="P43" s="110"/>
      <c r="Q43" s="110"/>
      <c r="R43" s="110"/>
      <c r="S43" s="110"/>
      <c r="T43" s="110"/>
      <c r="U43" s="110"/>
      <c r="V43" s="110"/>
      <c r="W43" s="110"/>
      <c r="X43" s="110"/>
      <c r="Y43" s="110"/>
      <c r="Z43" s="110"/>
    </row>
    <row r="44" spans="1:83" x14ac:dyDescent="0.2">
      <c r="A44" s="110"/>
      <c r="B44" s="110"/>
      <c r="C44" s="110"/>
      <c r="D44" s="110"/>
      <c r="E44" s="110"/>
      <c r="F44" s="110"/>
      <c r="G44" s="110"/>
      <c r="H44" s="110"/>
      <c r="I44" s="110"/>
      <c r="J44" s="110"/>
      <c r="K44" s="110"/>
      <c r="L44" s="110"/>
      <c r="M44" s="110"/>
      <c r="N44" s="110"/>
      <c r="O44" s="194"/>
      <c r="P44" s="110"/>
      <c r="Q44" s="110"/>
      <c r="R44" s="110"/>
      <c r="S44" s="110"/>
      <c r="T44" s="110"/>
      <c r="U44" s="110"/>
      <c r="V44" s="110"/>
      <c r="W44" s="110"/>
      <c r="X44" s="110"/>
      <c r="Y44" s="110"/>
      <c r="Z44" s="110"/>
    </row>
    <row r="45" spans="1:83" x14ac:dyDescent="0.2">
      <c r="A45" s="110"/>
      <c r="B45" s="110"/>
      <c r="C45" s="110"/>
      <c r="D45" s="110"/>
      <c r="E45" s="110"/>
      <c r="F45" s="110"/>
      <c r="G45" s="110"/>
      <c r="H45" s="110"/>
      <c r="I45" s="110"/>
      <c r="J45" s="110"/>
      <c r="K45" s="110"/>
      <c r="L45" s="110"/>
      <c r="M45" s="110"/>
      <c r="N45" s="110"/>
      <c r="O45" s="194"/>
      <c r="P45" s="110"/>
      <c r="Q45" s="110"/>
      <c r="R45" s="110"/>
      <c r="S45" s="110"/>
      <c r="T45" s="110"/>
      <c r="U45" s="110"/>
      <c r="V45" s="110"/>
      <c r="W45" s="110"/>
      <c r="X45" s="110"/>
      <c r="Y45" s="110"/>
      <c r="Z45" s="110"/>
    </row>
    <row r="46" spans="1:83" x14ac:dyDescent="0.2">
      <c r="A46" s="110"/>
      <c r="B46" s="110"/>
      <c r="C46" s="110"/>
      <c r="D46" s="110"/>
      <c r="E46" s="110"/>
      <c r="F46" s="110"/>
      <c r="G46" s="110"/>
      <c r="H46" s="110"/>
      <c r="I46" s="110"/>
      <c r="J46" s="110"/>
      <c r="K46" s="110"/>
      <c r="L46" s="110"/>
      <c r="M46" s="110"/>
      <c r="N46" s="110"/>
      <c r="O46" s="194"/>
      <c r="P46" s="110"/>
      <c r="Q46" s="110"/>
      <c r="R46" s="110"/>
      <c r="S46" s="110"/>
      <c r="T46" s="110"/>
      <c r="U46" s="110"/>
      <c r="V46" s="110"/>
      <c r="W46" s="110"/>
      <c r="X46" s="110"/>
      <c r="Y46" s="110"/>
      <c r="Z46" s="110"/>
    </row>
    <row r="47" spans="1:83" x14ac:dyDescent="0.2">
      <c r="A47" s="110"/>
      <c r="B47" s="110"/>
      <c r="C47" s="110"/>
      <c r="D47" s="110"/>
      <c r="E47" s="110"/>
      <c r="F47" s="110"/>
      <c r="G47" s="110"/>
      <c r="H47" s="110"/>
      <c r="I47" s="110"/>
      <c r="J47" s="110"/>
      <c r="K47" s="110"/>
      <c r="L47" s="110"/>
      <c r="M47" s="110"/>
      <c r="N47" s="110"/>
      <c r="O47" s="194"/>
      <c r="P47" s="110"/>
      <c r="Q47" s="110"/>
      <c r="R47" s="110"/>
      <c r="S47" s="110"/>
      <c r="T47" s="110"/>
      <c r="U47" s="110"/>
      <c r="V47" s="110"/>
      <c r="W47" s="110"/>
      <c r="X47" s="110"/>
      <c r="Y47" s="110"/>
      <c r="Z47" s="110"/>
    </row>
    <row r="48" spans="1:83" x14ac:dyDescent="0.2">
      <c r="A48" s="110"/>
      <c r="B48" s="110"/>
      <c r="C48" s="110"/>
      <c r="D48" s="110"/>
      <c r="E48" s="110"/>
      <c r="F48" s="110"/>
      <c r="G48" s="110"/>
      <c r="H48" s="110"/>
      <c r="I48" s="110"/>
      <c r="J48" s="110"/>
      <c r="K48" s="110"/>
      <c r="L48" s="110"/>
      <c r="M48" s="110"/>
      <c r="N48" s="110"/>
      <c r="O48" s="194"/>
      <c r="P48" s="110"/>
      <c r="Q48" s="110"/>
      <c r="R48" s="110"/>
      <c r="S48" s="110"/>
      <c r="T48" s="110"/>
      <c r="U48" s="110"/>
      <c r="V48" s="110"/>
      <c r="W48" s="110"/>
      <c r="X48" s="110"/>
      <c r="Y48" s="110"/>
      <c r="Z48" s="110"/>
    </row>
    <row r="49" spans="1:26" x14ac:dyDescent="0.2">
      <c r="A49" s="110"/>
      <c r="B49" s="110"/>
      <c r="C49" s="110"/>
      <c r="D49" s="110"/>
      <c r="E49" s="110"/>
      <c r="F49" s="110"/>
      <c r="G49" s="110"/>
      <c r="H49" s="110"/>
      <c r="I49" s="110"/>
      <c r="J49" s="110"/>
      <c r="K49" s="110"/>
      <c r="L49" s="110"/>
      <c r="M49" s="110"/>
      <c r="N49" s="110"/>
      <c r="O49" s="194"/>
      <c r="P49" s="110"/>
      <c r="Q49" s="110"/>
      <c r="R49" s="110"/>
      <c r="S49" s="110"/>
      <c r="T49" s="110"/>
      <c r="U49" s="110"/>
      <c r="V49" s="110"/>
      <c r="W49" s="110"/>
      <c r="X49" s="110"/>
      <c r="Y49" s="110"/>
      <c r="Z49" s="110"/>
    </row>
    <row r="50" spans="1:26" x14ac:dyDescent="0.2">
      <c r="A50" s="110"/>
      <c r="B50" s="110"/>
      <c r="C50" s="110"/>
      <c r="D50" s="110"/>
      <c r="E50" s="110"/>
      <c r="F50" s="110"/>
      <c r="G50" s="110"/>
      <c r="H50" s="110"/>
      <c r="I50" s="110"/>
      <c r="J50" s="110"/>
      <c r="K50" s="110"/>
      <c r="L50" s="110"/>
      <c r="M50" s="110"/>
      <c r="N50" s="110"/>
      <c r="O50" s="194"/>
      <c r="P50" s="110"/>
      <c r="Q50" s="110"/>
      <c r="R50" s="110"/>
      <c r="S50" s="110"/>
      <c r="T50" s="110"/>
      <c r="U50" s="110"/>
      <c r="V50" s="110"/>
      <c r="W50" s="110"/>
      <c r="X50" s="110"/>
      <c r="Y50" s="110"/>
      <c r="Z50" s="110"/>
    </row>
    <row r="51" spans="1:26" x14ac:dyDescent="0.2">
      <c r="A51" s="110"/>
      <c r="B51" s="110"/>
      <c r="C51" s="110"/>
      <c r="D51" s="110"/>
      <c r="E51" s="110"/>
      <c r="F51" s="110"/>
      <c r="G51" s="110"/>
      <c r="H51" s="110"/>
      <c r="I51" s="110"/>
      <c r="J51" s="110"/>
      <c r="K51" s="110"/>
      <c r="L51" s="110"/>
      <c r="M51" s="110"/>
      <c r="N51" s="110"/>
      <c r="O51" s="194"/>
      <c r="P51" s="110"/>
      <c r="Q51" s="110"/>
      <c r="R51" s="110"/>
      <c r="S51" s="110"/>
      <c r="T51" s="110"/>
      <c r="U51" s="110"/>
      <c r="V51" s="110"/>
      <c r="W51" s="110"/>
      <c r="X51" s="110"/>
      <c r="Y51" s="110"/>
      <c r="Z51" s="110"/>
    </row>
    <row r="52" spans="1:26" x14ac:dyDescent="0.2">
      <c r="A52" s="110"/>
      <c r="B52" s="110"/>
      <c r="C52" s="110"/>
      <c r="D52" s="110"/>
      <c r="E52" s="110"/>
      <c r="F52" s="110"/>
      <c r="G52" s="110"/>
      <c r="H52" s="110"/>
      <c r="I52" s="110"/>
      <c r="J52" s="110"/>
      <c r="K52" s="110"/>
      <c r="L52" s="110"/>
      <c r="M52" s="110"/>
      <c r="N52" s="110"/>
      <c r="O52" s="194"/>
      <c r="P52" s="110"/>
      <c r="Q52" s="110"/>
      <c r="R52" s="110"/>
      <c r="S52" s="110"/>
      <c r="T52" s="110"/>
      <c r="U52" s="110"/>
      <c r="V52" s="110"/>
      <c r="W52" s="110"/>
      <c r="X52" s="110"/>
      <c r="Y52" s="110"/>
      <c r="Z52" s="110"/>
    </row>
    <row r="53" spans="1:26" x14ac:dyDescent="0.2">
      <c r="A53" s="110"/>
      <c r="B53" s="110"/>
      <c r="C53" s="110"/>
      <c r="D53" s="110"/>
      <c r="E53" s="110"/>
      <c r="F53" s="110"/>
      <c r="G53" s="110"/>
      <c r="H53" s="110"/>
      <c r="I53" s="110"/>
      <c r="J53" s="110"/>
      <c r="K53" s="110"/>
      <c r="L53" s="110"/>
      <c r="M53" s="110"/>
      <c r="N53" s="110"/>
      <c r="O53" s="194"/>
      <c r="P53" s="110"/>
      <c r="Q53" s="110"/>
      <c r="R53" s="110"/>
      <c r="S53" s="110"/>
      <c r="T53" s="110"/>
      <c r="U53" s="110"/>
      <c r="V53" s="110"/>
      <c r="W53" s="110"/>
      <c r="X53" s="110"/>
      <c r="Y53" s="110"/>
      <c r="Z53" s="110"/>
    </row>
    <row r="54" spans="1:26" x14ac:dyDescent="0.2">
      <c r="A54" s="110"/>
      <c r="B54" s="110"/>
      <c r="C54" s="110"/>
      <c r="D54" s="110"/>
      <c r="E54" s="110"/>
      <c r="F54" s="110"/>
      <c r="G54" s="110"/>
      <c r="H54" s="110"/>
      <c r="I54" s="110"/>
      <c r="J54" s="110"/>
      <c r="K54" s="110"/>
      <c r="L54" s="110"/>
      <c r="M54" s="110"/>
      <c r="N54" s="110"/>
      <c r="O54" s="194"/>
      <c r="P54" s="110"/>
      <c r="Q54" s="110"/>
      <c r="R54" s="110"/>
      <c r="S54" s="110"/>
      <c r="T54" s="110"/>
      <c r="U54" s="110"/>
      <c r="V54" s="110"/>
      <c r="W54" s="110"/>
      <c r="X54" s="110"/>
      <c r="Y54" s="110"/>
      <c r="Z54" s="110"/>
    </row>
    <row r="55" spans="1:26" x14ac:dyDescent="0.2">
      <c r="A55" s="110"/>
      <c r="B55" s="110"/>
      <c r="C55" s="110"/>
      <c r="D55" s="110"/>
      <c r="E55" s="110"/>
      <c r="F55" s="110"/>
      <c r="G55" s="110"/>
      <c r="H55" s="110"/>
      <c r="I55" s="110"/>
      <c r="J55" s="110"/>
      <c r="K55" s="110"/>
      <c r="L55" s="110"/>
      <c r="M55" s="110"/>
      <c r="N55" s="110"/>
      <c r="O55" s="194"/>
      <c r="P55" s="110"/>
      <c r="Q55" s="110"/>
      <c r="R55" s="110"/>
      <c r="S55" s="110"/>
      <c r="T55" s="110"/>
      <c r="U55" s="110"/>
      <c r="V55" s="110"/>
      <c r="W55" s="110"/>
      <c r="X55" s="110"/>
      <c r="Y55" s="110"/>
      <c r="Z55" s="110"/>
    </row>
    <row r="56" spans="1:26" x14ac:dyDescent="0.2">
      <c r="A56" s="110"/>
      <c r="B56" s="110"/>
      <c r="C56" s="110"/>
      <c r="D56" s="110"/>
      <c r="E56" s="110"/>
      <c r="F56" s="110"/>
      <c r="G56" s="110"/>
      <c r="H56" s="110"/>
      <c r="I56" s="110"/>
      <c r="J56" s="110"/>
      <c r="K56" s="110"/>
      <c r="L56" s="110"/>
      <c r="M56" s="110"/>
      <c r="N56" s="110"/>
      <c r="O56" s="194"/>
      <c r="P56" s="110"/>
      <c r="Q56" s="110"/>
      <c r="R56" s="110"/>
      <c r="S56" s="110"/>
      <c r="T56" s="110"/>
      <c r="U56" s="110"/>
      <c r="V56" s="110"/>
      <c r="W56" s="110"/>
      <c r="X56" s="110"/>
      <c r="Y56" s="110"/>
      <c r="Z56" s="110"/>
    </row>
    <row r="57" spans="1:26" x14ac:dyDescent="0.2">
      <c r="A57" s="110"/>
      <c r="B57" s="110"/>
      <c r="C57" s="110"/>
      <c r="D57" s="110"/>
      <c r="E57" s="110"/>
      <c r="F57" s="110"/>
      <c r="G57" s="110"/>
      <c r="H57" s="110"/>
      <c r="I57" s="110"/>
      <c r="J57" s="110"/>
      <c r="K57" s="110"/>
      <c r="L57" s="110"/>
      <c r="M57" s="110"/>
      <c r="N57" s="110"/>
      <c r="O57" s="194"/>
      <c r="P57" s="110"/>
      <c r="Q57" s="110"/>
      <c r="R57" s="110"/>
      <c r="S57" s="110"/>
      <c r="T57" s="110"/>
      <c r="U57" s="110"/>
      <c r="V57" s="110"/>
      <c r="W57" s="110"/>
      <c r="X57" s="110"/>
      <c r="Y57" s="110"/>
      <c r="Z57" s="110"/>
    </row>
  </sheetData>
  <sheetProtection password="9C8D" sheet="1" objects="1" scenarios="1"/>
  <mergeCells count="14">
    <mergeCell ref="L5:M5"/>
    <mergeCell ref="N5:N6"/>
    <mergeCell ref="A12:M12"/>
    <mergeCell ref="A13:M13"/>
    <mergeCell ref="A1:M1"/>
    <mergeCell ref="A2:M2"/>
    <mergeCell ref="A3:M3"/>
    <mergeCell ref="A4:M4"/>
    <mergeCell ref="A5:A6"/>
    <mergeCell ref="B5:C5"/>
    <mergeCell ref="D5:E5"/>
    <mergeCell ref="F5:G5"/>
    <mergeCell ref="H5:I5"/>
    <mergeCell ref="J5:K5"/>
  </mergeCells>
  <pageMargins left="0.78740157480314965" right="0.78740157480314965" top="0.98425196850393704" bottom="0.98425196850393704" header="0.51181102362204722" footer="0.51181102362204722"/>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windowProtection="1" showGridLines="0" workbookViewId="0">
      <selection activeCell="E6" sqref="E6"/>
    </sheetView>
  </sheetViews>
  <sheetFormatPr defaultRowHeight="12.75" x14ac:dyDescent="0.2"/>
  <cols>
    <col min="1" max="1" width="40.140625" customWidth="1"/>
    <col min="2" max="2" width="14" bestFit="1" customWidth="1"/>
    <col min="3" max="3" width="14.140625" customWidth="1"/>
    <col min="4" max="4" width="17.85546875" customWidth="1"/>
    <col min="5" max="5" width="13.7109375" style="53" bestFit="1" customWidth="1"/>
    <col min="6" max="6" width="9.85546875" style="54" bestFit="1" customWidth="1"/>
    <col min="7" max="7" width="15" style="54" bestFit="1" customWidth="1"/>
  </cols>
  <sheetData>
    <row r="1" spans="1:7" ht="19.5" customHeight="1" x14ac:dyDescent="0.2">
      <c r="A1" s="1209" t="s">
        <v>32</v>
      </c>
      <c r="B1" s="1209"/>
      <c r="C1" s="1209"/>
      <c r="D1" s="1209"/>
    </row>
    <row r="2" spans="1:7" ht="18" x14ac:dyDescent="0.2">
      <c r="A2" s="1214" t="s">
        <v>33</v>
      </c>
      <c r="B2" s="1214"/>
      <c r="C2" s="1214"/>
      <c r="D2" s="1214"/>
      <c r="E2" s="55"/>
    </row>
    <row r="3" spans="1:7" ht="15" x14ac:dyDescent="0.2">
      <c r="A3" s="1214" t="str">
        <f>[4]Dados!A18</f>
        <v>Exercício de 2015</v>
      </c>
      <c r="B3" s="1214"/>
      <c r="C3" s="1214"/>
      <c r="D3" s="1214"/>
      <c r="E3" s="55"/>
    </row>
    <row r="4" spans="1:7" ht="15" x14ac:dyDescent="0.2">
      <c r="A4" s="56"/>
      <c r="B4" s="57"/>
      <c r="C4" s="57"/>
      <c r="D4" s="57"/>
      <c r="E4" s="55"/>
    </row>
    <row r="5" spans="1:7" ht="15" x14ac:dyDescent="0.2">
      <c r="A5" s="1215" t="s">
        <v>1</v>
      </c>
      <c r="B5" s="1215"/>
      <c r="C5" s="1215"/>
      <c r="D5" s="1215"/>
      <c r="E5" s="55"/>
    </row>
    <row r="6" spans="1:7" ht="27" customHeight="1" x14ac:dyDescent="0.2">
      <c r="A6" s="6" t="s">
        <v>34</v>
      </c>
      <c r="B6" s="6" t="s">
        <v>7</v>
      </c>
      <c r="C6" s="6" t="s">
        <v>35</v>
      </c>
      <c r="D6" s="6" t="s">
        <v>36</v>
      </c>
      <c r="E6" s="58"/>
    </row>
    <row r="7" spans="1:7" ht="20.25" customHeight="1" x14ac:dyDescent="0.2">
      <c r="A7" s="59" t="s">
        <v>37</v>
      </c>
      <c r="B7" s="60">
        <f>SUM(B8:B15)</f>
        <v>2810559</v>
      </c>
      <c r="C7" s="61">
        <f>SUM(C8:C15)</f>
        <v>50.900000000000006</v>
      </c>
      <c r="D7" s="61">
        <f>SUM(D8:D15)</f>
        <v>24.400000000000002</v>
      </c>
      <c r="E7" s="62"/>
      <c r="F7" s="63"/>
      <c r="G7" s="63"/>
    </row>
    <row r="8" spans="1:7" ht="18" customHeight="1" x14ac:dyDescent="0.2">
      <c r="A8" s="64" t="s">
        <v>38</v>
      </c>
      <c r="B8" s="65">
        <f>1786123+155934</f>
        <v>1942057</v>
      </c>
      <c r="C8" s="66">
        <f>IF($B$48=0,0,ROUND(B8/$B$48*100,1))</f>
        <v>35.200000000000003</v>
      </c>
      <c r="D8" s="66">
        <f>IF('[4]2'!$D$37=0,0,ROUND(B8/'[4]2'!$D$37*100,1))</f>
        <v>16.899999999999999</v>
      </c>
      <c r="E8" s="67"/>
      <c r="F8" s="63"/>
      <c r="G8" s="63"/>
    </row>
    <row r="9" spans="1:7" ht="18" customHeight="1" x14ac:dyDescent="0.2">
      <c r="A9" s="64" t="s">
        <v>39</v>
      </c>
      <c r="B9" s="65">
        <v>170372</v>
      </c>
      <c r="C9" s="66">
        <f t="shared" ref="C9:C15" si="0">IF($B$48=0,0,ROUND(B9/$B$48*100,1))</f>
        <v>3.1</v>
      </c>
      <c r="D9" s="66">
        <f>IF('[4]2'!$D$37=0,0,ROUND(B9/'[4]2'!$D$37*100,1))</f>
        <v>1.5</v>
      </c>
      <c r="E9" s="68"/>
      <c r="F9" s="63"/>
      <c r="G9" s="63"/>
    </row>
    <row r="10" spans="1:7" ht="18" customHeight="1" x14ac:dyDescent="0.2">
      <c r="A10" s="64" t="s">
        <v>40</v>
      </c>
      <c r="B10" s="65">
        <f>150386+232394</f>
        <v>382780</v>
      </c>
      <c r="C10" s="66">
        <f t="shared" si="0"/>
        <v>6.9</v>
      </c>
      <c r="D10" s="66">
        <f>IF('[4]2'!$D$37=0,0,ROUND(B10/'[4]2'!$D$37*100,1))</f>
        <v>3.3</v>
      </c>
      <c r="E10" s="62"/>
      <c r="F10" s="63"/>
      <c r="G10" s="63"/>
    </row>
    <row r="11" spans="1:7" ht="18" customHeight="1" x14ac:dyDescent="0.2">
      <c r="A11" s="64" t="s">
        <v>41</v>
      </c>
      <c r="B11" s="65">
        <v>187679</v>
      </c>
      <c r="C11" s="66">
        <f t="shared" si="0"/>
        <v>3.4</v>
      </c>
      <c r="D11" s="66">
        <f>IF('[4]2'!$D$37=0,0,ROUND(B11/'[4]2'!$D$37*100,1))</f>
        <v>1.6</v>
      </c>
      <c r="E11" s="68"/>
      <c r="F11" s="63"/>
      <c r="G11" s="63"/>
    </row>
    <row r="12" spans="1:7" ht="18" customHeight="1" x14ac:dyDescent="0.2">
      <c r="A12" s="69" t="s">
        <v>42</v>
      </c>
      <c r="B12" s="65">
        <v>11687</v>
      </c>
      <c r="C12" s="66">
        <f t="shared" si="0"/>
        <v>0.2</v>
      </c>
      <c r="D12" s="66">
        <f>IF('[4]2'!$D$37=0,0,ROUND(B12/'[4]2'!$D$37*100,1))</f>
        <v>0.1</v>
      </c>
      <c r="E12" s="68"/>
      <c r="F12" s="63"/>
      <c r="G12" s="63"/>
    </row>
    <row r="13" spans="1:7" ht="18" customHeight="1" x14ac:dyDescent="0.2">
      <c r="A13" s="64" t="s">
        <v>43</v>
      </c>
      <c r="B13" s="65">
        <v>262</v>
      </c>
      <c r="C13" s="66">
        <f t="shared" si="0"/>
        <v>0</v>
      </c>
      <c r="D13" s="66">
        <f>IF('[4]2'!$D$37=0,0,ROUND(B13/'[4]2'!$D$37*100,1))</f>
        <v>0</v>
      </c>
      <c r="E13" s="68"/>
      <c r="F13" s="63"/>
      <c r="G13" s="63"/>
    </row>
    <row r="14" spans="1:7" ht="18" customHeight="1" x14ac:dyDescent="0.2">
      <c r="A14" s="64" t="s">
        <v>44</v>
      </c>
      <c r="B14" s="65">
        <v>13290</v>
      </c>
      <c r="C14" s="66">
        <f t="shared" si="0"/>
        <v>0.2</v>
      </c>
      <c r="D14" s="66">
        <f>IF('[4]2'!$D$37=0,0,ROUND(B14/'[4]2'!$D$37*100,1))</f>
        <v>0.1</v>
      </c>
      <c r="E14" s="68"/>
      <c r="F14" s="63"/>
      <c r="G14" s="63"/>
    </row>
    <row r="15" spans="1:7" ht="18" customHeight="1" x14ac:dyDescent="0.2">
      <c r="A15" s="64" t="s">
        <v>1009</v>
      </c>
      <c r="B15" s="65">
        <f>101611+821</f>
        <v>102432</v>
      </c>
      <c r="C15" s="66">
        <f t="shared" si="0"/>
        <v>1.9</v>
      </c>
      <c r="D15" s="66">
        <f>IF('[4]2'!$D$37=0,0,ROUND(B15/'[4]2'!$D$37*100,1))</f>
        <v>0.9</v>
      </c>
      <c r="E15" s="70"/>
      <c r="F15" s="63"/>
      <c r="G15" s="63"/>
    </row>
    <row r="16" spans="1:7" ht="18" customHeight="1" x14ac:dyDescent="0.2">
      <c r="A16" s="59" t="s">
        <v>45</v>
      </c>
      <c r="B16" s="71">
        <f>SUM(B17:B19)</f>
        <v>31205</v>
      </c>
      <c r="C16" s="72">
        <f>SUM(C17:C18)</f>
        <v>0.5</v>
      </c>
      <c r="D16" s="73">
        <f>SUM(D17:D18)</f>
        <v>0.30000000000000004</v>
      </c>
      <c r="E16" s="74"/>
      <c r="F16" s="63"/>
      <c r="G16" s="63"/>
    </row>
    <row r="17" spans="1:7" ht="18" customHeight="1" x14ac:dyDescent="0.2">
      <c r="A17" s="64" t="s">
        <v>46</v>
      </c>
      <c r="B17" s="75">
        <v>24629</v>
      </c>
      <c r="C17" s="66">
        <f>IF($B$48=0,0,ROUND(B17/$B$48*100,1))</f>
        <v>0.4</v>
      </c>
      <c r="D17" s="66">
        <f>IF('[4]2'!$D$37=0,0,ROUND(B17/'[4]2'!$D$37*100,1))</f>
        <v>0.2</v>
      </c>
      <c r="E17" s="68"/>
      <c r="F17" s="63"/>
      <c r="G17" s="63"/>
    </row>
    <row r="18" spans="1:7" ht="18" customHeight="1" x14ac:dyDescent="0.2">
      <c r="A18" s="64" t="s">
        <v>47</v>
      </c>
      <c r="B18" s="75">
        <v>5754</v>
      </c>
      <c r="C18" s="66">
        <f>IF($B$48=0,0,ROUND(B18/$B$48*100,1))</f>
        <v>0.1</v>
      </c>
      <c r="D18" s="66">
        <f>IF('[4]2'!$D$37=0,0,ROUND(B18/'[4]2'!$D$37*100,1))</f>
        <v>0.1</v>
      </c>
      <c r="E18" s="68"/>
      <c r="F18" s="63"/>
      <c r="G18" s="63"/>
    </row>
    <row r="19" spans="1:7" ht="18" customHeight="1" x14ac:dyDescent="0.2">
      <c r="A19" s="64" t="s">
        <v>48</v>
      </c>
      <c r="B19" s="75">
        <v>822</v>
      </c>
      <c r="C19" s="66"/>
      <c r="D19" s="66"/>
      <c r="E19" s="68"/>
      <c r="F19" s="63"/>
      <c r="G19" s="63"/>
    </row>
    <row r="20" spans="1:7" ht="18" customHeight="1" x14ac:dyDescent="0.2">
      <c r="A20" s="59" t="s">
        <v>49</v>
      </c>
      <c r="B20" s="71">
        <f>SUM(B21:B29)</f>
        <v>2086714</v>
      </c>
      <c r="C20" s="73">
        <f>SUM(C21:C29)</f>
        <v>37.9</v>
      </c>
      <c r="D20" s="73">
        <f>SUM(D21:D29)</f>
        <v>18</v>
      </c>
      <c r="E20" s="62"/>
      <c r="F20" s="63"/>
      <c r="G20" s="63"/>
    </row>
    <row r="21" spans="1:7" ht="18" customHeight="1" x14ac:dyDescent="0.2">
      <c r="A21" s="64" t="s">
        <v>50</v>
      </c>
      <c r="B21" s="76">
        <v>1322844</v>
      </c>
      <c r="C21" s="66">
        <f>IF($B$48=0,0,ROUND(B21/$B$48*100,1))+0.1</f>
        <v>24.1</v>
      </c>
      <c r="D21" s="66">
        <f>IF('[4]2'!$D$37=0,0,ROUND(B21/'[4]2'!$D$37*100,1))</f>
        <v>11.5</v>
      </c>
      <c r="E21" s="62"/>
      <c r="F21" s="63"/>
      <c r="G21" s="63"/>
    </row>
    <row r="22" spans="1:7" ht="18" customHeight="1" x14ac:dyDescent="0.2">
      <c r="A22" s="64" t="s">
        <v>51</v>
      </c>
      <c r="B22" s="76">
        <v>452532</v>
      </c>
      <c r="C22" s="66">
        <f t="shared" ref="C22:C29" si="1">IF($B$48=0,0,ROUND(B22/$B$48*100,1))</f>
        <v>8.1999999999999993</v>
      </c>
      <c r="D22" s="66">
        <f>IF('[4]2'!$D$37=0,0,ROUND(B22/'[4]2'!$D$37*100,1))</f>
        <v>3.9</v>
      </c>
      <c r="E22" s="74"/>
      <c r="F22" s="63"/>
      <c r="G22" s="63"/>
    </row>
    <row r="23" spans="1:7" ht="18" customHeight="1" x14ac:dyDescent="0.2">
      <c r="A23" s="64" t="s">
        <v>52</v>
      </c>
      <c r="B23" s="76">
        <v>112134</v>
      </c>
      <c r="C23" s="66">
        <f t="shared" si="1"/>
        <v>2</v>
      </c>
      <c r="D23" s="66">
        <f>IF('[4]2'!$D$37=0,0,ROUND(B23/'[4]2'!$D$37*100,1))</f>
        <v>1</v>
      </c>
      <c r="E23" s="74"/>
      <c r="F23" s="63"/>
      <c r="G23" s="63"/>
    </row>
    <row r="24" spans="1:7" ht="18" customHeight="1" x14ac:dyDescent="0.2">
      <c r="A24" s="64" t="s">
        <v>53</v>
      </c>
      <c r="B24" s="76">
        <v>71493</v>
      </c>
      <c r="C24" s="66">
        <f t="shared" si="1"/>
        <v>1.3</v>
      </c>
      <c r="D24" s="66">
        <f>IF('[4]2'!$D$37=0,0,ROUND(B24/'[4]2'!$D$37*100,1))</f>
        <v>0.6</v>
      </c>
      <c r="E24" s="68"/>
      <c r="F24" s="63"/>
      <c r="G24" s="63"/>
    </row>
    <row r="25" spans="1:7" ht="18" customHeight="1" x14ac:dyDescent="0.2">
      <c r="A25" s="64" t="s">
        <v>54</v>
      </c>
      <c r="B25" s="76">
        <v>24914</v>
      </c>
      <c r="C25" s="66">
        <f t="shared" si="1"/>
        <v>0.5</v>
      </c>
      <c r="D25" s="66">
        <f>IF('[4]2'!$D$37=0,0,ROUND(B25/'[4]2'!$D$37*100,1))</f>
        <v>0.2</v>
      </c>
      <c r="E25" s="77"/>
      <c r="F25" s="63"/>
      <c r="G25" s="78"/>
    </row>
    <row r="26" spans="1:7" ht="18" customHeight="1" x14ac:dyDescent="0.2">
      <c r="A26" s="64" t="s">
        <v>55</v>
      </c>
      <c r="B26" s="76">
        <v>93956</v>
      </c>
      <c r="C26" s="66">
        <f t="shared" si="1"/>
        <v>1.7</v>
      </c>
      <c r="D26" s="66">
        <f>IF('[4]2'!$D$37=0,0,ROUND(B26/'[4]2'!$D$37*100,1))</f>
        <v>0.8</v>
      </c>
      <c r="E26" s="77"/>
      <c r="F26" s="63"/>
      <c r="G26" s="78"/>
    </row>
    <row r="27" spans="1:7" ht="18" customHeight="1" x14ac:dyDescent="0.2">
      <c r="A27" s="64" t="s">
        <v>56</v>
      </c>
      <c r="B27" s="76">
        <v>2184</v>
      </c>
      <c r="C27" s="66">
        <f t="shared" si="1"/>
        <v>0</v>
      </c>
      <c r="D27" s="66">
        <f>IF('[4]2'!$D$37=0,0,ROUND(B27/'[4]2'!$D$37*100,1))</f>
        <v>0</v>
      </c>
      <c r="E27" s="77"/>
      <c r="F27" s="63"/>
      <c r="G27" s="78"/>
    </row>
    <row r="28" spans="1:7" ht="18" customHeight="1" x14ac:dyDescent="0.2">
      <c r="A28" s="64" t="s">
        <v>57</v>
      </c>
      <c r="B28" s="75">
        <v>1200</v>
      </c>
      <c r="C28" s="66">
        <f t="shared" si="1"/>
        <v>0</v>
      </c>
      <c r="D28" s="66">
        <f>IF('[4]2'!$D$37=0,0,ROUND(B28/'[4]2'!$D$37*100,1))</f>
        <v>0</v>
      </c>
      <c r="E28" s="68"/>
      <c r="F28" s="63"/>
      <c r="G28" s="79"/>
    </row>
    <row r="29" spans="1:7" ht="18" customHeight="1" x14ac:dyDescent="0.2">
      <c r="A29" s="64" t="s">
        <v>1009</v>
      </c>
      <c r="B29" s="76">
        <f>5427+30</f>
        <v>5457</v>
      </c>
      <c r="C29" s="66">
        <f t="shared" si="1"/>
        <v>0.1</v>
      </c>
      <c r="D29" s="66">
        <f>IF('[4]2'!$D$37=0,0,ROUND(B29/'[4]2'!$D$37*100,1))</f>
        <v>0</v>
      </c>
      <c r="E29" s="70"/>
      <c r="F29" s="63"/>
      <c r="G29" s="63"/>
    </row>
    <row r="30" spans="1:7" ht="18" customHeight="1" x14ac:dyDescent="0.2">
      <c r="A30" s="59" t="s">
        <v>58</v>
      </c>
      <c r="B30" s="71">
        <f>SUM(B31:B42)</f>
        <v>371680</v>
      </c>
      <c r="C30" s="73">
        <f>SUM(C31:C42)</f>
        <v>6.6999999999999993</v>
      </c>
      <c r="D30" s="73">
        <f>SUM(D31:D42)</f>
        <v>3.4000000000000004</v>
      </c>
      <c r="E30" s="68"/>
      <c r="F30" s="79"/>
      <c r="G30" s="79"/>
    </row>
    <row r="31" spans="1:7" ht="18" customHeight="1" x14ac:dyDescent="0.2">
      <c r="A31" s="64" t="s">
        <v>52</v>
      </c>
      <c r="B31" s="80">
        <v>122774</v>
      </c>
      <c r="C31" s="66">
        <f t="shared" ref="C31:C42" si="2">IF($B$48=0,0,ROUND(B31/$B$48*100,1))</f>
        <v>2.2000000000000002</v>
      </c>
      <c r="D31" s="66">
        <f>IF('[4]2'!$D$37=0,0,ROUND(B31/'[4]2'!$D$37*100,1))</f>
        <v>1.1000000000000001</v>
      </c>
      <c r="E31" s="68"/>
      <c r="F31" s="63"/>
      <c r="G31" s="63"/>
    </row>
    <row r="32" spans="1:7" ht="18" customHeight="1" x14ac:dyDescent="0.2">
      <c r="A32" s="64" t="s">
        <v>59</v>
      </c>
      <c r="B32" s="76">
        <v>87534</v>
      </c>
      <c r="C32" s="66">
        <f t="shared" si="2"/>
        <v>1.6</v>
      </c>
      <c r="D32" s="66">
        <f>IF('[4]2'!$D$37=0,0,ROUND(B32/'[4]2'!$D$37*100,1))</f>
        <v>0.8</v>
      </c>
      <c r="E32" s="68"/>
      <c r="F32" s="63"/>
      <c r="G32" s="63"/>
    </row>
    <row r="33" spans="1:7" ht="18" customHeight="1" x14ac:dyDescent="0.2">
      <c r="A33" s="64" t="s">
        <v>53</v>
      </c>
      <c r="B33" s="80">
        <v>28763</v>
      </c>
      <c r="C33" s="66">
        <f t="shared" si="2"/>
        <v>0.5</v>
      </c>
      <c r="D33" s="66">
        <f>IF('[4]2'!$D$37=0,0,ROUND(B33/'[4]2'!$D$37*100,1))</f>
        <v>0.3</v>
      </c>
      <c r="E33" s="68"/>
      <c r="F33" s="63"/>
      <c r="G33" s="63"/>
    </row>
    <row r="34" spans="1:7" ht="18" customHeight="1" x14ac:dyDescent="0.2">
      <c r="A34" s="64" t="s">
        <v>50</v>
      </c>
      <c r="B34" s="80">
        <v>69522</v>
      </c>
      <c r="C34" s="66">
        <f t="shared" si="2"/>
        <v>1.3</v>
      </c>
      <c r="D34" s="66">
        <f>IF('[4]2'!$D$37=0,0,ROUND(B34/'[4]2'!$D$37*100,1))</f>
        <v>0.6</v>
      </c>
      <c r="E34" s="68"/>
      <c r="F34" s="63"/>
      <c r="G34" s="63"/>
    </row>
    <row r="35" spans="1:7" ht="18" customHeight="1" x14ac:dyDescent="0.2">
      <c r="A35" s="64" t="s">
        <v>51</v>
      </c>
      <c r="B35" s="80">
        <v>31252</v>
      </c>
      <c r="C35" s="66">
        <f t="shared" si="2"/>
        <v>0.6</v>
      </c>
      <c r="D35" s="66">
        <f>IF('[4]2'!$D$37=0,0,ROUND(B35/'[4]2'!$D$37*100,1))</f>
        <v>0.3</v>
      </c>
      <c r="E35" s="68"/>
      <c r="F35" s="63"/>
      <c r="G35" s="63"/>
    </row>
    <row r="36" spans="1:7" ht="18" customHeight="1" x14ac:dyDescent="0.2">
      <c r="A36" s="64" t="s">
        <v>56</v>
      </c>
      <c r="B36" s="80">
        <v>13286</v>
      </c>
      <c r="C36" s="66">
        <f t="shared" si="2"/>
        <v>0.2</v>
      </c>
      <c r="D36" s="66">
        <f>IF('[4]2'!$D$37=0,0,ROUND(B36/'[4]2'!$D$37*100,1))</f>
        <v>0.1</v>
      </c>
      <c r="E36" s="68"/>
      <c r="F36" s="63"/>
      <c r="G36" s="63"/>
    </row>
    <row r="37" spans="1:7" ht="18" customHeight="1" x14ac:dyDescent="0.2">
      <c r="A37" s="64" t="s">
        <v>54</v>
      </c>
      <c r="B37" s="80">
        <v>8095</v>
      </c>
      <c r="C37" s="66">
        <f t="shared" si="2"/>
        <v>0.1</v>
      </c>
      <c r="D37" s="66">
        <f>IF('[4]2'!$D$37=0,0,ROUND(B37/'[4]2'!$D$37*100,1))</f>
        <v>0.1</v>
      </c>
      <c r="E37" s="68"/>
      <c r="F37" s="63"/>
      <c r="G37" s="63"/>
    </row>
    <row r="38" spans="1:7" ht="18" customHeight="1" x14ac:dyDescent="0.2">
      <c r="A38" s="64" t="s">
        <v>60</v>
      </c>
      <c r="B38" s="80">
        <v>528</v>
      </c>
      <c r="C38" s="66">
        <f t="shared" si="2"/>
        <v>0</v>
      </c>
      <c r="D38" s="66">
        <f>IF('[4]2'!$D$37=0,0,ROUND(B38/'[4]2'!$D$37*100,1))</f>
        <v>0</v>
      </c>
      <c r="E38" s="68"/>
      <c r="F38" s="63"/>
      <c r="G38" s="63"/>
    </row>
    <row r="39" spans="1:7" ht="18" customHeight="1" x14ac:dyDescent="0.2">
      <c r="A39" s="64" t="s">
        <v>57</v>
      </c>
      <c r="B39" s="80">
        <v>563</v>
      </c>
      <c r="C39" s="66">
        <f t="shared" si="2"/>
        <v>0</v>
      </c>
      <c r="D39" s="66">
        <f>IF('[4]2'!$D$37=0,0,ROUND(B39/'[4]2'!$D$37*100,1))</f>
        <v>0</v>
      </c>
      <c r="E39" s="68"/>
      <c r="F39" s="63"/>
      <c r="G39" s="63"/>
    </row>
    <row r="40" spans="1:7" ht="18" customHeight="1" x14ac:dyDescent="0.2">
      <c r="A40" s="64" t="s">
        <v>61</v>
      </c>
      <c r="B40" s="80">
        <v>5947</v>
      </c>
      <c r="C40" s="66">
        <f t="shared" si="2"/>
        <v>0.1</v>
      </c>
      <c r="D40" s="66">
        <f>IF('[4]2'!$D$37=0,0,ROUND(B40/'[4]2'!$D$37*100,1))</f>
        <v>0.1</v>
      </c>
      <c r="E40" s="68"/>
      <c r="F40" s="63"/>
      <c r="G40" s="63"/>
    </row>
    <row r="41" spans="1:7" ht="18" customHeight="1" x14ac:dyDescent="0.2">
      <c r="A41" s="64" t="s">
        <v>62</v>
      </c>
      <c r="B41" s="80">
        <v>3294</v>
      </c>
      <c r="C41" s="66">
        <f t="shared" si="2"/>
        <v>0.1</v>
      </c>
      <c r="D41" s="66">
        <f>IF('[4]2'!$D$37=0,0,ROUND(B41/'[4]2'!$D$37*100,1))</f>
        <v>0</v>
      </c>
      <c r="E41" s="68"/>
      <c r="F41" s="63"/>
      <c r="G41" s="63"/>
    </row>
    <row r="42" spans="1:7" ht="18" customHeight="1" x14ac:dyDescent="0.2">
      <c r="A42" s="64" t="s">
        <v>1009</v>
      </c>
      <c r="B42" s="80">
        <v>122</v>
      </c>
      <c r="C42" s="66">
        <f t="shared" si="2"/>
        <v>0</v>
      </c>
      <c r="D42" s="66">
        <f>IF('[4]2'!$D$37=0,0,ROUND(B42/'[4]2'!$D$37*100,1))</f>
        <v>0</v>
      </c>
      <c r="E42" s="68"/>
      <c r="F42" s="81"/>
      <c r="G42" s="63"/>
    </row>
    <row r="43" spans="1:7" ht="18" customHeight="1" x14ac:dyDescent="0.2">
      <c r="A43" s="59" t="s">
        <v>63</v>
      </c>
      <c r="B43" s="71">
        <f>SUM(B44:B47)</f>
        <v>209921</v>
      </c>
      <c r="C43" s="73">
        <f>SUM(C44:C47)</f>
        <v>4</v>
      </c>
      <c r="D43" s="73">
        <f>SUM(D44:D47)</f>
        <v>1.7999999999999998</v>
      </c>
      <c r="E43" s="68"/>
      <c r="F43" s="81"/>
      <c r="G43" s="63"/>
    </row>
    <row r="44" spans="1:7" ht="18" customHeight="1" x14ac:dyDescent="0.2">
      <c r="A44" s="82" t="s">
        <v>64</v>
      </c>
      <c r="B44" s="80">
        <v>3316</v>
      </c>
      <c r="C44" s="66">
        <f>IF($B$48=0,0,ROUND(B44/$B$48*100,1))</f>
        <v>0.1</v>
      </c>
      <c r="D44" s="66">
        <f>IF('[4]2'!$D$37=0,0,ROUND(B44/'[4]2'!$D$37*100,1))</f>
        <v>0</v>
      </c>
      <c r="E44" s="68"/>
      <c r="F44" s="81"/>
      <c r="G44" s="63"/>
    </row>
    <row r="45" spans="1:7" ht="18" customHeight="1" x14ac:dyDescent="0.2">
      <c r="A45" s="64" t="s">
        <v>65</v>
      </c>
      <c r="B45" s="80">
        <v>27195</v>
      </c>
      <c r="C45" s="66">
        <f>IF($B$48=0,0,ROUND(B45/$B$48*100,1))</f>
        <v>0.5</v>
      </c>
      <c r="D45" s="66">
        <f>IF('[4]2'!$D$37=0,0,ROUND(B45/'[4]2'!$D$37*100,1))</f>
        <v>0.2</v>
      </c>
      <c r="E45" s="62"/>
      <c r="F45" s="81"/>
      <c r="G45" s="63"/>
    </row>
    <row r="46" spans="1:7" ht="18" customHeight="1" x14ac:dyDescent="0.2">
      <c r="A46" s="64" t="s">
        <v>66</v>
      </c>
      <c r="B46" s="80">
        <v>20219</v>
      </c>
      <c r="C46" s="66">
        <f>IF($B$48=0,0,ROUND(B46/$B$48*100,1))</f>
        <v>0.4</v>
      </c>
      <c r="D46" s="66">
        <f>IF('[4]2'!$D$37=0,0,ROUND(B46/'[4]2'!$D$37*100,1))</f>
        <v>0.2</v>
      </c>
      <c r="E46" s="68"/>
      <c r="F46" s="81"/>
      <c r="G46" s="63"/>
    </row>
    <row r="47" spans="1:7" ht="18" customHeight="1" x14ac:dyDescent="0.2">
      <c r="A47" s="64" t="s">
        <v>1010</v>
      </c>
      <c r="B47" s="80">
        <f xml:space="preserve"> 159192 -1</f>
        <v>159191</v>
      </c>
      <c r="C47" s="66">
        <f>IF($B$48=0,0,ROUND(B47/$B$48*100,1))+0.1</f>
        <v>3</v>
      </c>
      <c r="D47" s="66">
        <f>IF('[4]2'!$D$37=0,0,ROUND(B47/'[4]2'!$D$37*100,1))</f>
        <v>1.4</v>
      </c>
      <c r="E47" s="83"/>
      <c r="F47" s="84"/>
    </row>
    <row r="48" spans="1:7" ht="24.75" customHeight="1" x14ac:dyDescent="0.2">
      <c r="A48" s="85" t="s">
        <v>29</v>
      </c>
      <c r="B48" s="86">
        <f>B7+B16+B20+B30+B43</f>
        <v>5510079</v>
      </c>
      <c r="C48" s="87">
        <f>+C7+C16+C20+C30+C43</f>
        <v>100.00000000000001</v>
      </c>
      <c r="D48" s="88">
        <f>+D7+D20+D30+D43+D16</f>
        <v>47.9</v>
      </c>
      <c r="E48" s="89"/>
    </row>
    <row r="49" spans="1:5" x14ac:dyDescent="0.2">
      <c r="A49" s="1216" t="s">
        <v>67</v>
      </c>
      <c r="B49" s="1216"/>
      <c r="C49" s="1216"/>
      <c r="D49" s="1216"/>
    </row>
    <row r="50" spans="1:5" x14ac:dyDescent="0.2">
      <c r="A50" s="1212" t="s">
        <v>1011</v>
      </c>
      <c r="B50" s="1213"/>
      <c r="C50" s="1213"/>
      <c r="D50" s="1213"/>
      <c r="E50" s="54"/>
    </row>
    <row r="51" spans="1:5" x14ac:dyDescent="0.2">
      <c r="A51" s="90"/>
      <c r="B51" s="91"/>
    </row>
    <row r="52" spans="1:5" x14ac:dyDescent="0.2">
      <c r="B52" s="92"/>
      <c r="C52" s="4"/>
      <c r="D52" s="93"/>
    </row>
    <row r="53" spans="1:5" x14ac:dyDescent="0.2">
      <c r="B53" s="91"/>
    </row>
    <row r="54" spans="1:5" x14ac:dyDescent="0.2">
      <c r="B54" s="91"/>
    </row>
    <row r="55" spans="1:5" x14ac:dyDescent="0.2">
      <c r="B55" s="91"/>
      <c r="D55" s="94"/>
    </row>
    <row r="56" spans="1:5" x14ac:dyDescent="0.2">
      <c r="B56" s="91"/>
    </row>
    <row r="57" spans="1:5" x14ac:dyDescent="0.2">
      <c r="B57" s="91"/>
      <c r="C57" s="4"/>
    </row>
    <row r="58" spans="1:5" x14ac:dyDescent="0.2">
      <c r="B58" s="91"/>
      <c r="C58" s="4"/>
    </row>
    <row r="59" spans="1:5" x14ac:dyDescent="0.2">
      <c r="B59" s="91"/>
      <c r="C59" s="4"/>
    </row>
    <row r="60" spans="1:5" x14ac:dyDescent="0.2">
      <c r="B60" s="91"/>
      <c r="C60" s="4"/>
    </row>
    <row r="61" spans="1:5" x14ac:dyDescent="0.2">
      <c r="B61" s="91"/>
    </row>
    <row r="62" spans="1:5" x14ac:dyDescent="0.2">
      <c r="B62" s="91"/>
    </row>
    <row r="63" spans="1:5" x14ac:dyDescent="0.2">
      <c r="B63" s="91"/>
    </row>
    <row r="64" spans="1:5" x14ac:dyDescent="0.2">
      <c r="B64" s="91"/>
    </row>
    <row r="65" spans="2:4" x14ac:dyDescent="0.2">
      <c r="B65" s="91"/>
    </row>
    <row r="66" spans="2:4" x14ac:dyDescent="0.2">
      <c r="B66" s="91"/>
    </row>
    <row r="67" spans="2:4" x14ac:dyDescent="0.2">
      <c r="B67" s="91"/>
    </row>
    <row r="68" spans="2:4" x14ac:dyDescent="0.2">
      <c r="B68" s="91"/>
    </row>
    <row r="69" spans="2:4" x14ac:dyDescent="0.2">
      <c r="B69" s="91"/>
    </row>
    <row r="70" spans="2:4" x14ac:dyDescent="0.2">
      <c r="B70" s="91"/>
    </row>
    <row r="71" spans="2:4" x14ac:dyDescent="0.2">
      <c r="B71" s="91"/>
    </row>
    <row r="72" spans="2:4" x14ac:dyDescent="0.2">
      <c r="B72" s="91"/>
    </row>
    <row r="73" spans="2:4" x14ac:dyDescent="0.2">
      <c r="B73" s="91"/>
    </row>
    <row r="74" spans="2:4" x14ac:dyDescent="0.2">
      <c r="B74" s="91"/>
      <c r="D74" s="95"/>
    </row>
    <row r="75" spans="2:4" x14ac:dyDescent="0.2">
      <c r="B75" s="91"/>
    </row>
    <row r="76" spans="2:4" x14ac:dyDescent="0.2">
      <c r="B76" s="91"/>
    </row>
    <row r="77" spans="2:4" x14ac:dyDescent="0.2">
      <c r="B77" s="91"/>
    </row>
    <row r="78" spans="2:4" x14ac:dyDescent="0.2">
      <c r="B78" s="91"/>
    </row>
    <row r="79" spans="2:4" x14ac:dyDescent="0.2">
      <c r="B79" s="91"/>
    </row>
    <row r="80" spans="2:4" x14ac:dyDescent="0.2">
      <c r="B80" s="91"/>
    </row>
    <row r="81" spans="2:2" x14ac:dyDescent="0.2">
      <c r="B81" s="91"/>
    </row>
    <row r="82" spans="2:2" x14ac:dyDescent="0.2">
      <c r="B82" s="91"/>
    </row>
    <row r="83" spans="2:2" x14ac:dyDescent="0.2">
      <c r="B83" s="91"/>
    </row>
    <row r="84" spans="2:2" x14ac:dyDescent="0.2">
      <c r="B84" s="91"/>
    </row>
    <row r="85" spans="2:2" x14ac:dyDescent="0.2">
      <c r="B85" s="91"/>
    </row>
    <row r="86" spans="2:2" x14ac:dyDescent="0.2">
      <c r="B86" s="91"/>
    </row>
    <row r="87" spans="2:2" x14ac:dyDescent="0.2">
      <c r="B87" s="91"/>
    </row>
    <row r="88" spans="2:2" x14ac:dyDescent="0.2">
      <c r="B88" s="91"/>
    </row>
    <row r="89" spans="2:2" x14ac:dyDescent="0.2">
      <c r="B89" s="91"/>
    </row>
    <row r="90" spans="2:2" x14ac:dyDescent="0.2">
      <c r="B90" s="91"/>
    </row>
    <row r="91" spans="2:2" x14ac:dyDescent="0.2">
      <c r="B91" s="91"/>
    </row>
    <row r="92" spans="2:2" x14ac:dyDescent="0.2">
      <c r="B92" s="91"/>
    </row>
    <row r="93" spans="2:2" x14ac:dyDescent="0.2">
      <c r="B93" s="91"/>
    </row>
    <row r="94" spans="2:2" x14ac:dyDescent="0.2">
      <c r="B94" s="91"/>
    </row>
    <row r="95" spans="2:2" x14ac:dyDescent="0.2">
      <c r="B95" s="91"/>
    </row>
    <row r="96" spans="2:2" x14ac:dyDescent="0.2">
      <c r="B96" s="91"/>
    </row>
    <row r="97" spans="2:2" x14ac:dyDescent="0.2">
      <c r="B97" s="91"/>
    </row>
    <row r="98" spans="2:2" x14ac:dyDescent="0.2">
      <c r="B98" s="91"/>
    </row>
    <row r="99" spans="2:2" x14ac:dyDescent="0.2">
      <c r="B99" s="91"/>
    </row>
    <row r="100" spans="2:2" x14ac:dyDescent="0.2">
      <c r="B100" s="91"/>
    </row>
    <row r="101" spans="2:2" x14ac:dyDescent="0.2">
      <c r="B101" s="91"/>
    </row>
    <row r="102" spans="2:2" x14ac:dyDescent="0.2">
      <c r="B102" s="91"/>
    </row>
    <row r="103" spans="2:2" x14ac:dyDescent="0.2">
      <c r="B103" s="91"/>
    </row>
    <row r="104" spans="2:2" x14ac:dyDescent="0.2">
      <c r="B104" s="91"/>
    </row>
    <row r="105" spans="2:2" x14ac:dyDescent="0.2">
      <c r="B105" s="91"/>
    </row>
    <row r="106" spans="2:2" x14ac:dyDescent="0.2">
      <c r="B106" s="91"/>
    </row>
    <row r="107" spans="2:2" x14ac:dyDescent="0.2">
      <c r="B107" s="91"/>
    </row>
    <row r="108" spans="2:2" x14ac:dyDescent="0.2">
      <c r="B108" s="91"/>
    </row>
    <row r="109" spans="2:2" x14ac:dyDescent="0.2">
      <c r="B109" s="91"/>
    </row>
    <row r="110" spans="2:2" x14ac:dyDescent="0.2">
      <c r="B110" s="91"/>
    </row>
    <row r="111" spans="2:2" x14ac:dyDescent="0.2">
      <c r="B111" s="91"/>
    </row>
    <row r="112" spans="2:2" x14ac:dyDescent="0.2">
      <c r="B112" s="91"/>
    </row>
    <row r="113" spans="2:2" x14ac:dyDescent="0.2">
      <c r="B113" s="91"/>
    </row>
    <row r="114" spans="2:2" x14ac:dyDescent="0.2">
      <c r="B114" s="91"/>
    </row>
    <row r="115" spans="2:2" x14ac:dyDescent="0.2">
      <c r="B115" s="91"/>
    </row>
    <row r="116" spans="2:2" x14ac:dyDescent="0.2">
      <c r="B116" s="91"/>
    </row>
    <row r="117" spans="2:2" x14ac:dyDescent="0.2">
      <c r="B117" s="91"/>
    </row>
    <row r="118" spans="2:2" x14ac:dyDescent="0.2">
      <c r="B118" s="91"/>
    </row>
    <row r="119" spans="2:2" x14ac:dyDescent="0.2">
      <c r="B119" s="91"/>
    </row>
    <row r="120" spans="2:2" x14ac:dyDescent="0.2">
      <c r="B120" s="91"/>
    </row>
    <row r="121" spans="2:2" x14ac:dyDescent="0.2">
      <c r="B121" s="91"/>
    </row>
    <row r="122" spans="2:2" x14ac:dyDescent="0.2">
      <c r="B122" s="91"/>
    </row>
    <row r="123" spans="2:2" x14ac:dyDescent="0.2">
      <c r="B123" s="91"/>
    </row>
    <row r="124" spans="2:2" x14ac:dyDescent="0.2">
      <c r="B124" s="91"/>
    </row>
    <row r="125" spans="2:2" x14ac:dyDescent="0.2">
      <c r="B125" s="91"/>
    </row>
    <row r="126" spans="2:2" x14ac:dyDescent="0.2">
      <c r="B126" s="91"/>
    </row>
    <row r="127" spans="2:2" x14ac:dyDescent="0.2">
      <c r="B127" s="91"/>
    </row>
    <row r="128" spans="2:2" x14ac:dyDescent="0.2">
      <c r="B128" s="91"/>
    </row>
    <row r="129" spans="2:2" x14ac:dyDescent="0.2">
      <c r="B129" s="91"/>
    </row>
    <row r="130" spans="2:2" x14ac:dyDescent="0.2">
      <c r="B130" s="91"/>
    </row>
    <row r="131" spans="2:2" x14ac:dyDescent="0.2">
      <c r="B131" s="91"/>
    </row>
    <row r="132" spans="2:2" x14ac:dyDescent="0.2">
      <c r="B132" s="91"/>
    </row>
    <row r="133" spans="2:2" x14ac:dyDescent="0.2">
      <c r="B133" s="91"/>
    </row>
    <row r="134" spans="2:2" x14ac:dyDescent="0.2">
      <c r="B134" s="91"/>
    </row>
    <row r="135" spans="2:2" x14ac:dyDescent="0.2">
      <c r="B135" s="91"/>
    </row>
    <row r="136" spans="2:2" x14ac:dyDescent="0.2">
      <c r="B136" s="91"/>
    </row>
    <row r="137" spans="2:2" x14ac:dyDescent="0.2">
      <c r="B137" s="91"/>
    </row>
    <row r="138" spans="2:2" x14ac:dyDescent="0.2">
      <c r="B138" s="91"/>
    </row>
    <row r="139" spans="2:2" x14ac:dyDescent="0.2">
      <c r="B139" s="91"/>
    </row>
    <row r="140" spans="2:2" x14ac:dyDescent="0.2">
      <c r="B140" s="91"/>
    </row>
    <row r="141" spans="2:2" x14ac:dyDescent="0.2">
      <c r="B141" s="91"/>
    </row>
    <row r="142" spans="2:2" x14ac:dyDescent="0.2">
      <c r="B142" s="91"/>
    </row>
    <row r="143" spans="2:2" x14ac:dyDescent="0.2">
      <c r="B143" s="91"/>
    </row>
    <row r="144" spans="2:2" x14ac:dyDescent="0.2">
      <c r="B144" s="91"/>
    </row>
    <row r="145" spans="2:2" x14ac:dyDescent="0.2">
      <c r="B145" s="91"/>
    </row>
    <row r="146" spans="2:2" x14ac:dyDescent="0.2">
      <c r="B146" s="91"/>
    </row>
    <row r="147" spans="2:2" x14ac:dyDescent="0.2">
      <c r="B147" s="91"/>
    </row>
    <row r="148" spans="2:2" x14ac:dyDescent="0.2">
      <c r="B148" s="91"/>
    </row>
    <row r="149" spans="2:2" x14ac:dyDescent="0.2">
      <c r="B149" s="91"/>
    </row>
    <row r="150" spans="2:2" x14ac:dyDescent="0.2">
      <c r="B150" s="91"/>
    </row>
    <row r="151" spans="2:2" x14ac:dyDescent="0.2">
      <c r="B151" s="91"/>
    </row>
    <row r="152" spans="2:2" x14ac:dyDescent="0.2">
      <c r="B152" s="91"/>
    </row>
    <row r="153" spans="2:2" x14ac:dyDescent="0.2">
      <c r="B153" s="91"/>
    </row>
    <row r="154" spans="2:2" x14ac:dyDescent="0.2">
      <c r="B154" s="91"/>
    </row>
    <row r="155" spans="2:2" x14ac:dyDescent="0.2">
      <c r="B155" s="91"/>
    </row>
    <row r="156" spans="2:2" x14ac:dyDescent="0.2">
      <c r="B156" s="91"/>
    </row>
    <row r="157" spans="2:2" x14ac:dyDescent="0.2">
      <c r="B157" s="91"/>
    </row>
    <row r="158" spans="2:2" x14ac:dyDescent="0.2">
      <c r="B158" s="91"/>
    </row>
    <row r="159" spans="2:2" x14ac:dyDescent="0.2">
      <c r="B159" s="91"/>
    </row>
    <row r="160" spans="2:2" x14ac:dyDescent="0.2">
      <c r="B160" s="91"/>
    </row>
    <row r="161" spans="2:2" x14ac:dyDescent="0.2">
      <c r="B161" s="91"/>
    </row>
    <row r="162" spans="2:2" x14ac:dyDescent="0.2">
      <c r="B162" s="91"/>
    </row>
    <row r="163" spans="2:2" x14ac:dyDescent="0.2">
      <c r="B163" s="91"/>
    </row>
    <row r="164" spans="2:2" x14ac:dyDescent="0.2">
      <c r="B164" s="91"/>
    </row>
    <row r="165" spans="2:2" x14ac:dyDescent="0.2">
      <c r="B165" s="91"/>
    </row>
    <row r="166" spans="2:2" x14ac:dyDescent="0.2">
      <c r="B166" s="91"/>
    </row>
    <row r="167" spans="2:2" x14ac:dyDescent="0.2">
      <c r="B167" s="91"/>
    </row>
    <row r="168" spans="2:2" x14ac:dyDescent="0.2">
      <c r="B168" s="91"/>
    </row>
    <row r="169" spans="2:2" x14ac:dyDescent="0.2">
      <c r="B169" s="91"/>
    </row>
    <row r="170" spans="2:2" x14ac:dyDescent="0.2">
      <c r="B170" s="91"/>
    </row>
    <row r="171" spans="2:2" x14ac:dyDescent="0.2">
      <c r="B171" s="91"/>
    </row>
    <row r="172" spans="2:2" x14ac:dyDescent="0.2">
      <c r="B172" s="91"/>
    </row>
    <row r="173" spans="2:2" x14ac:dyDescent="0.2">
      <c r="B173" s="91"/>
    </row>
    <row r="174" spans="2:2" x14ac:dyDescent="0.2">
      <c r="B174" s="91"/>
    </row>
    <row r="175" spans="2:2" x14ac:dyDescent="0.2">
      <c r="B175" s="91"/>
    </row>
    <row r="176" spans="2:2" x14ac:dyDescent="0.2">
      <c r="B176" s="91"/>
    </row>
    <row r="177" spans="2:2" x14ac:dyDescent="0.2">
      <c r="B177" s="91"/>
    </row>
    <row r="178" spans="2:2" x14ac:dyDescent="0.2">
      <c r="B178" s="91"/>
    </row>
    <row r="179" spans="2:2" x14ac:dyDescent="0.2">
      <c r="B179" s="91"/>
    </row>
    <row r="180" spans="2:2" x14ac:dyDescent="0.2">
      <c r="B180" s="91"/>
    </row>
    <row r="181" spans="2:2" x14ac:dyDescent="0.2">
      <c r="B181" s="91"/>
    </row>
    <row r="182" spans="2:2" x14ac:dyDescent="0.2">
      <c r="B182" s="91"/>
    </row>
    <row r="183" spans="2:2" x14ac:dyDescent="0.2">
      <c r="B183" s="91"/>
    </row>
    <row r="184" spans="2:2" x14ac:dyDescent="0.2">
      <c r="B184" s="91"/>
    </row>
    <row r="185" spans="2:2" x14ac:dyDescent="0.2">
      <c r="B185" s="91"/>
    </row>
    <row r="186" spans="2:2" x14ac:dyDescent="0.2">
      <c r="B186" s="91"/>
    </row>
    <row r="187" spans="2:2" x14ac:dyDescent="0.2">
      <c r="B187" s="91"/>
    </row>
    <row r="188" spans="2:2" x14ac:dyDescent="0.2">
      <c r="B188" s="91"/>
    </row>
    <row r="189" spans="2:2" x14ac:dyDescent="0.2">
      <c r="B189" s="91"/>
    </row>
    <row r="190" spans="2:2" x14ac:dyDescent="0.2">
      <c r="B190" s="91"/>
    </row>
    <row r="191" spans="2:2" x14ac:dyDescent="0.2">
      <c r="B191" s="91"/>
    </row>
    <row r="192" spans="2:2" x14ac:dyDescent="0.2">
      <c r="B192" s="91"/>
    </row>
    <row r="193" spans="2:2" x14ac:dyDescent="0.2">
      <c r="B193" s="91"/>
    </row>
    <row r="194" spans="2:2" x14ac:dyDescent="0.2">
      <c r="B194" s="91"/>
    </row>
    <row r="195" spans="2:2" x14ac:dyDescent="0.2">
      <c r="B195" s="91"/>
    </row>
    <row r="196" spans="2:2" x14ac:dyDescent="0.2">
      <c r="B196" s="91"/>
    </row>
    <row r="197" spans="2:2" x14ac:dyDescent="0.2">
      <c r="B197" s="91"/>
    </row>
    <row r="198" spans="2:2" x14ac:dyDescent="0.2">
      <c r="B198" s="91"/>
    </row>
    <row r="199" spans="2:2" x14ac:dyDescent="0.2">
      <c r="B199" s="91"/>
    </row>
    <row r="200" spans="2:2" x14ac:dyDescent="0.2">
      <c r="B200" s="91"/>
    </row>
    <row r="201" spans="2:2" x14ac:dyDescent="0.2">
      <c r="B201" s="91"/>
    </row>
    <row r="202" spans="2:2" x14ac:dyDescent="0.2">
      <c r="B202" s="91"/>
    </row>
    <row r="203" spans="2:2" x14ac:dyDescent="0.2">
      <c r="B203" s="91"/>
    </row>
    <row r="204" spans="2:2" x14ac:dyDescent="0.2">
      <c r="B204" s="91"/>
    </row>
    <row r="205" spans="2:2" x14ac:dyDescent="0.2">
      <c r="B205" s="91"/>
    </row>
    <row r="206" spans="2:2" x14ac:dyDescent="0.2">
      <c r="B206" s="91"/>
    </row>
    <row r="207" spans="2:2" x14ac:dyDescent="0.2">
      <c r="B207" s="91"/>
    </row>
    <row r="208" spans="2:2" x14ac:dyDescent="0.2">
      <c r="B208" s="91"/>
    </row>
    <row r="209" spans="2:2" x14ac:dyDescent="0.2">
      <c r="B209" s="91"/>
    </row>
    <row r="210" spans="2:2" x14ac:dyDescent="0.2">
      <c r="B210" s="91"/>
    </row>
    <row r="211" spans="2:2" x14ac:dyDescent="0.2">
      <c r="B211" s="91"/>
    </row>
    <row r="212" spans="2:2" x14ac:dyDescent="0.2">
      <c r="B212" s="91"/>
    </row>
  </sheetData>
  <sheetProtection password="9C8D" sheet="1" objects="1" scenarios="1"/>
  <mergeCells count="6">
    <mergeCell ref="A50:D50"/>
    <mergeCell ref="A1:D1"/>
    <mergeCell ref="A2:D2"/>
    <mergeCell ref="A3:D3"/>
    <mergeCell ref="A5:D5"/>
    <mergeCell ref="A49:D49"/>
  </mergeCells>
  <pageMargins left="0.78740157480314965" right="0.39370078740157483" top="0.19685039370078741" bottom="0" header="0.51181102362204722" footer="0.51181102362204722"/>
  <pageSetup paperSize="9" scale="85"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57"/>
  <sheetViews>
    <sheetView windowProtection="1" showGridLines="0" zoomScale="80" zoomScaleNormal="80" workbookViewId="0">
      <selection activeCell="J17" sqref="J17"/>
    </sheetView>
  </sheetViews>
  <sheetFormatPr defaultRowHeight="12.75" x14ac:dyDescent="0.2"/>
  <cols>
    <col min="1" max="1" width="27" customWidth="1"/>
    <col min="2" max="3" width="16.28515625" bestFit="1" customWidth="1"/>
    <col min="4" max="4" width="10.28515625" customWidth="1"/>
    <col min="5" max="7" width="12.85546875" customWidth="1"/>
    <col min="8" max="8" width="10.5703125" customWidth="1"/>
    <col min="9" max="9" width="13.42578125" customWidth="1"/>
    <col min="10" max="10" width="10.28515625" customWidth="1"/>
    <col min="11" max="14" width="12.42578125" customWidth="1"/>
    <col min="15" max="15" width="12.5703125" customWidth="1"/>
    <col min="16" max="16" width="13.7109375" customWidth="1"/>
    <col min="17" max="17" width="11.28515625" style="196" bestFit="1" customWidth="1"/>
  </cols>
  <sheetData>
    <row r="1" spans="1:85" ht="15.75" x14ac:dyDescent="0.25">
      <c r="A1" s="1297" t="s">
        <v>549</v>
      </c>
      <c r="B1" s="1297"/>
      <c r="C1" s="1297"/>
      <c r="D1" s="1297"/>
      <c r="E1" s="1297"/>
      <c r="F1" s="1297"/>
      <c r="G1" s="1297"/>
      <c r="H1" s="1297"/>
      <c r="I1" s="1297"/>
      <c r="J1" s="1297"/>
      <c r="K1" s="1297"/>
      <c r="L1" s="1297"/>
      <c r="M1" s="1297"/>
      <c r="N1" s="1297"/>
      <c r="O1" s="1297"/>
      <c r="P1" s="110"/>
      <c r="Q1" s="194"/>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row>
    <row r="2" spans="1:85" ht="15" x14ac:dyDescent="0.2">
      <c r="A2" s="1298" t="s">
        <v>414</v>
      </c>
      <c r="B2" s="1298"/>
      <c r="C2" s="1298"/>
      <c r="D2" s="1298"/>
      <c r="E2" s="1298"/>
      <c r="F2" s="1298"/>
      <c r="G2" s="1298"/>
      <c r="H2" s="1298"/>
      <c r="I2" s="1298"/>
      <c r="J2" s="1298"/>
      <c r="K2" s="1298"/>
      <c r="L2" s="1298"/>
      <c r="M2" s="1298"/>
      <c r="N2" s="1298"/>
      <c r="O2" s="1298"/>
      <c r="P2" s="110"/>
      <c r="Q2" s="194"/>
      <c r="R2" s="110"/>
      <c r="S2" s="110"/>
      <c r="T2" s="110"/>
      <c r="U2" s="110"/>
      <c r="V2" s="110"/>
      <c r="W2" s="110"/>
      <c r="X2" s="110"/>
      <c r="Y2" s="110"/>
      <c r="Z2" s="110"/>
      <c r="AA2" s="110"/>
      <c r="AB2" s="110"/>
      <c r="AC2" s="110"/>
      <c r="AD2" s="110"/>
      <c r="AE2" s="110"/>
      <c r="AF2" s="110"/>
      <c r="AG2" s="110"/>
      <c r="AH2" s="110"/>
      <c r="AI2" s="110"/>
      <c r="AJ2" s="110"/>
      <c r="AK2" s="110"/>
      <c r="AL2" s="110"/>
      <c r="AM2" s="110"/>
      <c r="AN2" s="110"/>
      <c r="AO2" s="110"/>
      <c r="AP2" s="110"/>
      <c r="AQ2" s="110"/>
      <c r="AR2" s="110"/>
    </row>
    <row r="3" spans="1:85" ht="15" x14ac:dyDescent="0.2">
      <c r="A3" s="1298" t="str">
        <f>[5]Dados!A18</f>
        <v>Exercício de 2015</v>
      </c>
      <c r="B3" s="1298"/>
      <c r="C3" s="1298"/>
      <c r="D3" s="1298"/>
      <c r="E3" s="1298"/>
      <c r="F3" s="1298"/>
      <c r="G3" s="1298"/>
      <c r="H3" s="1298"/>
      <c r="I3" s="1298"/>
      <c r="J3" s="1298"/>
      <c r="K3" s="1298"/>
      <c r="L3" s="1298"/>
      <c r="M3" s="1298"/>
      <c r="N3" s="1298"/>
      <c r="O3" s="1298"/>
      <c r="P3" s="110"/>
      <c r="Q3" s="194"/>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row>
    <row r="4" spans="1:85" x14ac:dyDescent="0.2">
      <c r="A4" s="1304" t="s">
        <v>147</v>
      </c>
      <c r="B4" s="1304"/>
      <c r="C4" s="1304"/>
      <c r="D4" s="1304"/>
      <c r="E4" s="1304"/>
      <c r="F4" s="1304"/>
      <c r="G4" s="1304"/>
      <c r="H4" s="1304"/>
      <c r="I4" s="1304"/>
      <c r="J4" s="1304"/>
      <c r="K4" s="1304"/>
      <c r="L4" s="1304"/>
      <c r="M4" s="1304"/>
      <c r="N4" s="1304"/>
      <c r="O4" s="1304"/>
      <c r="P4" s="110"/>
      <c r="Q4" s="194"/>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row>
    <row r="5" spans="1:85" ht="18.75" customHeight="1" x14ac:dyDescent="0.2">
      <c r="A5" s="1191" t="s">
        <v>148</v>
      </c>
      <c r="B5" s="1191" t="s">
        <v>138</v>
      </c>
      <c r="C5" s="1191"/>
      <c r="D5" s="1191" t="s">
        <v>262</v>
      </c>
      <c r="E5" s="1191"/>
      <c r="F5" s="1191" t="s">
        <v>140</v>
      </c>
      <c r="G5" s="1191"/>
      <c r="H5" s="1191" t="s">
        <v>143</v>
      </c>
      <c r="I5" s="1191"/>
      <c r="J5" s="1191" t="s">
        <v>141</v>
      </c>
      <c r="K5" s="1191"/>
      <c r="L5" s="1191" t="s">
        <v>191</v>
      </c>
      <c r="M5" s="1191"/>
      <c r="N5" s="1191" t="s">
        <v>29</v>
      </c>
      <c r="O5" s="1191"/>
      <c r="P5" s="1276"/>
      <c r="Q5" s="151"/>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c r="BX5" s="110"/>
      <c r="BY5" s="110"/>
      <c r="BZ5" s="110"/>
      <c r="CA5" s="110"/>
      <c r="CB5" s="110"/>
      <c r="CC5" s="110"/>
      <c r="CD5" s="110"/>
      <c r="CE5" s="110"/>
      <c r="CF5" s="110"/>
      <c r="CG5" s="110"/>
    </row>
    <row r="6" spans="1:85" ht="24.75" customHeight="1" x14ac:dyDescent="0.2">
      <c r="A6" s="1191"/>
      <c r="B6" s="382" t="s">
        <v>154</v>
      </c>
      <c r="C6" s="382" t="s">
        <v>155</v>
      </c>
      <c r="D6" s="382" t="s">
        <v>154</v>
      </c>
      <c r="E6" s="382" t="s">
        <v>155</v>
      </c>
      <c r="F6" s="382" t="s">
        <v>154</v>
      </c>
      <c r="G6" s="382" t="s">
        <v>155</v>
      </c>
      <c r="H6" s="382" t="s">
        <v>154</v>
      </c>
      <c r="I6" s="382" t="s">
        <v>155</v>
      </c>
      <c r="J6" s="382" t="s">
        <v>154</v>
      </c>
      <c r="K6" s="382" t="s">
        <v>155</v>
      </c>
      <c r="L6" s="382" t="s">
        <v>154</v>
      </c>
      <c r="M6" s="382" t="s">
        <v>155</v>
      </c>
      <c r="N6" s="382" t="s">
        <v>154</v>
      </c>
      <c r="O6" s="382" t="s">
        <v>155</v>
      </c>
      <c r="P6" s="1276"/>
      <c r="Q6" s="151"/>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row>
    <row r="7" spans="1:85" ht="21.95" customHeight="1" x14ac:dyDescent="0.2">
      <c r="A7" s="197" t="s">
        <v>156</v>
      </c>
      <c r="B7" s="198">
        <f>985+2513</f>
        <v>3498</v>
      </c>
      <c r="C7" s="198">
        <f>24790+27648</f>
        <v>52438</v>
      </c>
      <c r="D7" s="75">
        <v>69</v>
      </c>
      <c r="E7" s="201">
        <v>4210</v>
      </c>
      <c r="F7" s="75">
        <v>932</v>
      </c>
      <c r="G7" s="75">
        <v>538423</v>
      </c>
      <c r="H7" s="75">
        <v>250</v>
      </c>
      <c r="I7" s="75">
        <v>296383</v>
      </c>
      <c r="J7" s="75">
        <v>3</v>
      </c>
      <c r="K7" s="75">
        <v>378363</v>
      </c>
      <c r="L7" s="75">
        <v>4705</v>
      </c>
      <c r="M7" s="75">
        <v>1071583</v>
      </c>
      <c r="N7" s="75">
        <f t="shared" ref="N7:O10" si="0">B7+D7+H7+J7+L7+F7</f>
        <v>9457</v>
      </c>
      <c r="O7" s="198">
        <f t="shared" si="0"/>
        <v>2341400</v>
      </c>
      <c r="P7" s="233"/>
      <c r="Q7" s="233"/>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0"/>
      <c r="CF7" s="110"/>
      <c r="CG7" s="110"/>
    </row>
    <row r="8" spans="1:85" ht="21.95" customHeight="1" x14ac:dyDescent="0.2">
      <c r="A8" s="197" t="s">
        <v>157</v>
      </c>
      <c r="B8" s="198">
        <f>21143+121422</f>
        <v>142565</v>
      </c>
      <c r="C8" s="198">
        <f>260021+880771</f>
        <v>1140792</v>
      </c>
      <c r="D8" s="75">
        <v>1246</v>
      </c>
      <c r="E8" s="201">
        <v>36695</v>
      </c>
      <c r="F8" s="75">
        <v>332</v>
      </c>
      <c r="G8" s="75">
        <v>55247</v>
      </c>
      <c r="H8" s="75">
        <v>80</v>
      </c>
      <c r="I8" s="75">
        <v>9509</v>
      </c>
      <c r="J8" s="75">
        <v>0</v>
      </c>
      <c r="K8" s="75">
        <v>0</v>
      </c>
      <c r="L8" s="75">
        <v>4526</v>
      </c>
      <c r="M8" s="75">
        <v>427337</v>
      </c>
      <c r="N8" s="75">
        <f t="shared" si="0"/>
        <v>148749</v>
      </c>
      <c r="O8" s="198">
        <f t="shared" si="0"/>
        <v>1669580</v>
      </c>
      <c r="P8" s="233"/>
      <c r="Q8" s="233"/>
      <c r="R8" s="11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row>
    <row r="9" spans="1:85" ht="21.95" customHeight="1" x14ac:dyDescent="0.2">
      <c r="A9" s="197" t="s">
        <v>158</v>
      </c>
      <c r="B9" s="198">
        <f>20238+147992</f>
        <v>168230</v>
      </c>
      <c r="C9" s="198">
        <f>1983714+949965-1</f>
        <v>2933678</v>
      </c>
      <c r="D9" s="75">
        <v>1099</v>
      </c>
      <c r="E9" s="201">
        <v>17491</v>
      </c>
      <c r="F9" s="75">
        <v>549</v>
      </c>
      <c r="G9" s="75">
        <v>154048</v>
      </c>
      <c r="H9" s="75">
        <v>81</v>
      </c>
      <c r="I9" s="75">
        <v>14640</v>
      </c>
      <c r="J9" s="75">
        <v>0</v>
      </c>
      <c r="K9" s="75">
        <v>0</v>
      </c>
      <c r="L9" s="75">
        <v>5445</v>
      </c>
      <c r="M9" s="75">
        <v>428278</v>
      </c>
      <c r="N9" s="75">
        <f t="shared" si="0"/>
        <v>175404</v>
      </c>
      <c r="O9" s="198">
        <f t="shared" si="0"/>
        <v>3548135</v>
      </c>
      <c r="P9" s="233"/>
      <c r="Q9" s="233"/>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row>
    <row r="10" spans="1:85" ht="21.95" customHeight="1" x14ac:dyDescent="0.2">
      <c r="A10" s="197" t="s">
        <v>159</v>
      </c>
      <c r="B10" s="198">
        <f>30361+129726</f>
        <v>160087</v>
      </c>
      <c r="C10" s="198">
        <f>398837+984335-1</f>
        <v>1383171</v>
      </c>
      <c r="D10" s="75">
        <v>1127</v>
      </c>
      <c r="E10" s="201">
        <f>67003+1</f>
        <v>67004</v>
      </c>
      <c r="F10" s="75">
        <v>1400</v>
      </c>
      <c r="G10" s="75">
        <v>734351</v>
      </c>
      <c r="H10" s="75">
        <v>167</v>
      </c>
      <c r="I10" s="75">
        <v>205329</v>
      </c>
      <c r="J10" s="75">
        <v>3</v>
      </c>
      <c r="K10" s="75">
        <v>110274</v>
      </c>
      <c r="L10" s="75">
        <v>9723</v>
      </c>
      <c r="M10" s="75">
        <f>1+1435982</f>
        <v>1435983</v>
      </c>
      <c r="N10" s="75">
        <f t="shared" si="0"/>
        <v>172507</v>
      </c>
      <c r="O10" s="198">
        <f>C10+E10+I10+K10+M10+G10</f>
        <v>3936112</v>
      </c>
      <c r="P10" s="233"/>
      <c r="Q10" s="233"/>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row>
    <row r="11" spans="1:85" ht="31.5" customHeight="1" x14ac:dyDescent="0.2">
      <c r="A11" s="202" t="s">
        <v>29</v>
      </c>
      <c r="B11" s="203">
        <f t="shared" ref="B11:O11" si="1">SUM(B7:B10)</f>
        <v>474380</v>
      </c>
      <c r="C11" s="494">
        <f t="shared" si="1"/>
        <v>5510079</v>
      </c>
      <c r="D11" s="494">
        <f t="shared" si="1"/>
        <v>3541</v>
      </c>
      <c r="E11" s="494">
        <f t="shared" si="1"/>
        <v>125400</v>
      </c>
      <c r="F11" s="494">
        <f>SUM(F7:F10)</f>
        <v>3213</v>
      </c>
      <c r="G11" s="203">
        <f>SUM(G7:G10)</f>
        <v>1482069</v>
      </c>
      <c r="H11" s="203">
        <f t="shared" si="1"/>
        <v>578</v>
      </c>
      <c r="I11" s="203">
        <f t="shared" si="1"/>
        <v>525861</v>
      </c>
      <c r="J11" s="203">
        <f t="shared" si="1"/>
        <v>6</v>
      </c>
      <c r="K11" s="203">
        <f t="shared" si="1"/>
        <v>488637</v>
      </c>
      <c r="L11" s="203">
        <f>SUM(L7:L10)</f>
        <v>24399</v>
      </c>
      <c r="M11" s="203">
        <f>SUM(M7:M10)</f>
        <v>3363181</v>
      </c>
      <c r="N11" s="203">
        <f t="shared" si="1"/>
        <v>506117</v>
      </c>
      <c r="O11" s="203">
        <f t="shared" si="1"/>
        <v>11495227</v>
      </c>
      <c r="P11" s="233"/>
      <c r="Q11" s="30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row>
    <row r="12" spans="1:85" x14ac:dyDescent="0.2">
      <c r="A12" s="1305" t="s">
        <v>144</v>
      </c>
      <c r="B12" s="1305"/>
      <c r="C12" s="1305"/>
      <c r="D12" s="1305"/>
      <c r="E12" s="1305"/>
      <c r="F12" s="1305"/>
      <c r="G12" s="1305"/>
      <c r="H12" s="1305"/>
      <c r="I12" s="1305"/>
      <c r="J12" s="1305"/>
      <c r="K12" s="1305"/>
      <c r="L12" s="1305"/>
      <c r="M12" s="1305"/>
      <c r="N12" s="1305"/>
      <c r="O12" s="1305"/>
      <c r="P12" s="110"/>
      <c r="Q12" s="194"/>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row>
    <row r="13" spans="1:85" ht="21.75" customHeight="1" x14ac:dyDescent="0.2">
      <c r="A13" s="1303"/>
      <c r="B13" s="1241"/>
      <c r="C13" s="1241"/>
      <c r="D13" s="1241"/>
      <c r="E13" s="1241"/>
      <c r="F13" s="1241"/>
      <c r="G13" s="1241"/>
      <c r="H13" s="1241"/>
      <c r="I13" s="1241"/>
      <c r="J13" s="1241"/>
      <c r="K13" s="1241"/>
      <c r="L13" s="1241"/>
      <c r="M13" s="1241"/>
      <c r="N13" s="1241"/>
      <c r="O13" s="1241"/>
      <c r="P13" s="110"/>
      <c r="Q13" s="194"/>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row>
    <row r="14" spans="1:85" x14ac:dyDescent="0.2">
      <c r="A14" s="110"/>
      <c r="B14" s="201"/>
      <c r="C14" s="201"/>
      <c r="D14" s="201"/>
      <c r="E14" s="201"/>
      <c r="F14" s="201"/>
      <c r="G14" s="201"/>
      <c r="H14" s="201"/>
      <c r="I14" s="201"/>
      <c r="J14" s="201"/>
      <c r="K14" s="201"/>
      <c r="L14" s="201"/>
      <c r="M14" s="201"/>
      <c r="N14" s="201"/>
      <c r="O14" s="201"/>
      <c r="P14" s="110"/>
      <c r="Q14" s="194"/>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row>
    <row r="15" spans="1:85" x14ac:dyDescent="0.2">
      <c r="A15" s="110"/>
      <c r="B15" s="205"/>
      <c r="C15" s="205"/>
      <c r="D15" s="205"/>
      <c r="E15" s="201"/>
      <c r="F15" s="205"/>
      <c r="G15" s="201"/>
      <c r="H15" s="110"/>
      <c r="I15" s="110"/>
      <c r="J15" s="110"/>
      <c r="K15" s="110"/>
      <c r="L15" s="409"/>
      <c r="M15" s="409"/>
      <c r="N15" s="110"/>
      <c r="O15" s="110"/>
      <c r="P15" s="110"/>
      <c r="Q15" s="194"/>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row>
    <row r="16" spans="1:85" x14ac:dyDescent="0.2">
      <c r="A16" s="110"/>
      <c r="B16" s="201"/>
      <c r="C16" s="201"/>
      <c r="D16" s="201"/>
      <c r="E16" s="201"/>
      <c r="F16" s="201"/>
      <c r="G16" s="201"/>
      <c r="H16" s="201"/>
      <c r="I16" s="201"/>
      <c r="J16" s="201"/>
      <c r="K16" s="201"/>
      <c r="L16" s="201"/>
      <c r="M16" s="201"/>
      <c r="N16" s="201"/>
      <c r="O16" s="201"/>
      <c r="P16" s="110"/>
      <c r="Q16" s="194"/>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row>
    <row r="17" spans="1:85" x14ac:dyDescent="0.2">
      <c r="A17" s="110"/>
      <c r="B17" s="201"/>
      <c r="C17" s="201"/>
      <c r="D17" s="201"/>
      <c r="E17" s="201"/>
      <c r="F17" s="201"/>
      <c r="G17" s="201"/>
      <c r="H17" s="204"/>
      <c r="I17" s="204"/>
      <c r="J17" s="204"/>
      <c r="K17" s="204"/>
      <c r="L17" s="204"/>
      <c r="M17" s="204"/>
      <c r="N17" s="204"/>
      <c r="O17" s="204"/>
      <c r="P17" s="110"/>
      <c r="Q17" s="194"/>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row>
    <row r="18" spans="1:85" x14ac:dyDescent="0.2">
      <c r="A18" s="110"/>
      <c r="B18" s="205"/>
      <c r="C18" s="205"/>
      <c r="D18" s="205"/>
      <c r="E18" s="201"/>
      <c r="F18" s="205"/>
      <c r="G18" s="204"/>
      <c r="H18" s="110"/>
      <c r="I18" s="110"/>
      <c r="J18" s="110"/>
      <c r="K18" s="110"/>
      <c r="L18" s="110"/>
      <c r="M18" s="110"/>
      <c r="N18" s="110"/>
      <c r="O18" s="110"/>
      <c r="P18" s="110"/>
      <c r="Q18" s="194"/>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row>
    <row r="19" spans="1:85" x14ac:dyDescent="0.2">
      <c r="A19" s="110"/>
      <c r="B19" s="110"/>
      <c r="C19" s="110"/>
      <c r="D19" s="110"/>
      <c r="E19" s="110"/>
      <c r="F19" s="110"/>
      <c r="G19" s="110"/>
      <c r="H19" s="110"/>
      <c r="I19" s="110"/>
      <c r="J19" s="110"/>
      <c r="K19" s="110"/>
      <c r="L19" s="110"/>
      <c r="M19" s="110"/>
      <c r="N19" s="110"/>
      <c r="O19" s="110"/>
      <c r="P19" s="110"/>
      <c r="Q19" s="194"/>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c r="BP19" s="110"/>
      <c r="BQ19" s="110"/>
      <c r="BR19" s="110"/>
      <c r="BS19" s="110"/>
      <c r="BT19" s="110"/>
      <c r="BU19" s="110"/>
      <c r="BV19" s="110"/>
      <c r="BW19" s="110"/>
      <c r="BX19" s="110"/>
      <c r="BY19" s="110"/>
      <c r="BZ19" s="110"/>
      <c r="CA19" s="110"/>
      <c r="CB19" s="110"/>
      <c r="CC19" s="110"/>
      <c r="CD19" s="110"/>
      <c r="CE19" s="110"/>
      <c r="CF19" s="110"/>
      <c r="CG19" s="110"/>
    </row>
    <row r="20" spans="1:85" x14ac:dyDescent="0.2">
      <c r="A20" s="110"/>
      <c r="B20" s="110"/>
      <c r="C20" s="110"/>
      <c r="D20" s="110"/>
      <c r="E20" s="110"/>
      <c r="F20" s="110"/>
      <c r="G20" s="110"/>
      <c r="H20" s="110"/>
      <c r="I20" s="110"/>
      <c r="J20" s="110"/>
      <c r="K20" s="110"/>
      <c r="L20" s="110"/>
      <c r="M20" s="110"/>
      <c r="N20" s="110"/>
      <c r="O20" s="110"/>
      <c r="P20" s="110"/>
      <c r="Q20" s="194"/>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c r="AW20" s="110"/>
      <c r="AX20" s="110"/>
      <c r="AY20" s="110"/>
      <c r="AZ20" s="110"/>
      <c r="BA20" s="110"/>
      <c r="BB20" s="110"/>
      <c r="BC20" s="110"/>
      <c r="BD20" s="110"/>
      <c r="BE20" s="110"/>
      <c r="BF20" s="110"/>
      <c r="BG20" s="110"/>
      <c r="BH20" s="110"/>
      <c r="BI20" s="110"/>
      <c r="BJ20" s="110"/>
      <c r="BK20" s="110"/>
      <c r="BL20" s="110"/>
      <c r="BM20" s="110"/>
      <c r="BN20" s="110"/>
      <c r="BO20" s="110"/>
      <c r="BP20" s="110"/>
      <c r="BQ20" s="110"/>
      <c r="BR20" s="110"/>
      <c r="BS20" s="110"/>
      <c r="BT20" s="110"/>
      <c r="BU20" s="110"/>
      <c r="BV20" s="110"/>
      <c r="BW20" s="110"/>
      <c r="BX20" s="110"/>
      <c r="BY20" s="110"/>
      <c r="BZ20" s="110"/>
      <c r="CA20" s="110"/>
      <c r="CB20" s="110"/>
      <c r="CC20" s="110"/>
      <c r="CD20" s="110"/>
      <c r="CE20" s="110"/>
      <c r="CF20" s="110"/>
      <c r="CG20" s="110"/>
    </row>
    <row r="21" spans="1:85" x14ac:dyDescent="0.2">
      <c r="A21" s="110"/>
      <c r="B21" s="110"/>
      <c r="C21" s="110"/>
      <c r="D21" s="110"/>
      <c r="E21" s="110"/>
      <c r="F21" s="110"/>
      <c r="G21" s="110"/>
      <c r="H21" s="110"/>
      <c r="I21" s="110"/>
      <c r="J21" s="110"/>
      <c r="K21" s="110"/>
      <c r="L21" s="110"/>
      <c r="M21" s="110"/>
      <c r="N21" s="110"/>
      <c r="O21" s="110"/>
      <c r="P21" s="110"/>
      <c r="Q21" s="194"/>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c r="AX21" s="110"/>
      <c r="AY21" s="110"/>
      <c r="AZ21" s="110"/>
      <c r="BA21" s="110"/>
      <c r="BB21" s="110"/>
      <c r="BC21" s="110"/>
      <c r="BD21" s="110"/>
      <c r="BE21" s="110"/>
      <c r="BF21" s="110"/>
      <c r="BG21" s="110"/>
      <c r="BH21" s="110"/>
      <c r="BI21" s="110"/>
      <c r="BJ21" s="110"/>
      <c r="BK21" s="110"/>
      <c r="BL21" s="110"/>
      <c r="BM21" s="110"/>
      <c r="BN21" s="110"/>
      <c r="BO21" s="110"/>
      <c r="BP21" s="110"/>
      <c r="BQ21" s="110"/>
      <c r="BR21" s="110"/>
      <c r="BS21" s="110"/>
      <c r="BT21" s="110"/>
      <c r="BU21" s="110"/>
      <c r="BV21" s="110"/>
      <c r="BW21" s="110"/>
      <c r="BX21" s="110"/>
      <c r="BY21" s="110"/>
      <c r="BZ21" s="110"/>
      <c r="CA21" s="110"/>
      <c r="CB21" s="110"/>
      <c r="CC21" s="110"/>
      <c r="CD21" s="110"/>
      <c r="CE21" s="110"/>
      <c r="CF21" s="110"/>
      <c r="CG21" s="110"/>
    </row>
    <row r="22" spans="1:85" x14ac:dyDescent="0.2">
      <c r="A22" s="110"/>
      <c r="B22" s="110"/>
      <c r="C22" s="110"/>
      <c r="D22" s="110"/>
      <c r="E22" s="110"/>
      <c r="F22" s="110"/>
      <c r="G22" s="110"/>
      <c r="H22" s="110"/>
      <c r="I22" s="110"/>
      <c r="J22" s="110"/>
      <c r="K22" s="110"/>
      <c r="L22" s="110"/>
      <c r="M22" s="110"/>
      <c r="N22" s="110"/>
      <c r="O22" s="110"/>
      <c r="P22" s="110"/>
      <c r="Q22" s="194"/>
      <c r="R22" s="11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c r="BI22" s="110"/>
      <c r="BJ22" s="110"/>
      <c r="BK22" s="110"/>
      <c r="BL22" s="110"/>
      <c r="BM22" s="110"/>
      <c r="BN22" s="110"/>
      <c r="BO22" s="110"/>
      <c r="BP22" s="110"/>
      <c r="BQ22" s="110"/>
      <c r="BR22" s="110"/>
      <c r="BS22" s="110"/>
      <c r="BT22" s="110"/>
      <c r="BU22" s="110"/>
      <c r="BV22" s="110"/>
      <c r="BW22" s="110"/>
      <c r="BX22" s="110"/>
      <c r="BY22" s="110"/>
      <c r="BZ22" s="110"/>
      <c r="CA22" s="110"/>
      <c r="CB22" s="110"/>
      <c r="CC22" s="110"/>
      <c r="CD22" s="110"/>
      <c r="CE22" s="110"/>
      <c r="CF22" s="110"/>
      <c r="CG22" s="110"/>
    </row>
    <row r="23" spans="1:85" x14ac:dyDescent="0.2">
      <c r="A23" s="110"/>
      <c r="B23" s="110"/>
      <c r="C23" s="110"/>
      <c r="D23" s="110"/>
      <c r="E23" s="110"/>
      <c r="F23" s="110"/>
      <c r="G23" s="110"/>
      <c r="H23" s="110"/>
      <c r="I23" s="110"/>
      <c r="J23" s="110"/>
      <c r="K23" s="110"/>
      <c r="L23" s="110"/>
      <c r="M23" s="110"/>
      <c r="N23" s="110"/>
      <c r="O23" s="110"/>
      <c r="P23" s="110"/>
      <c r="Q23" s="194"/>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0"/>
      <c r="BP23" s="110"/>
      <c r="BQ23" s="110"/>
      <c r="BR23" s="110"/>
      <c r="BS23" s="110"/>
      <c r="BT23" s="110"/>
      <c r="BU23" s="110"/>
      <c r="BV23" s="110"/>
      <c r="BW23" s="110"/>
      <c r="BX23" s="110"/>
      <c r="BY23" s="110"/>
      <c r="BZ23" s="110"/>
      <c r="CA23" s="110"/>
      <c r="CB23" s="110"/>
      <c r="CC23" s="110"/>
      <c r="CD23" s="110"/>
      <c r="CE23" s="110"/>
      <c r="CF23" s="110"/>
      <c r="CG23" s="110"/>
    </row>
    <row r="24" spans="1:85" x14ac:dyDescent="0.2">
      <c r="A24" s="110"/>
      <c r="B24" s="110"/>
      <c r="C24" s="110"/>
      <c r="D24" s="110"/>
      <c r="E24" s="110"/>
      <c r="F24" s="110"/>
      <c r="G24" s="110"/>
      <c r="H24" s="110"/>
      <c r="I24" s="110"/>
      <c r="J24" s="110"/>
      <c r="K24" s="110"/>
      <c r="L24" s="110"/>
      <c r="M24" s="110"/>
      <c r="N24" s="110"/>
      <c r="O24" s="110"/>
      <c r="P24" s="110"/>
      <c r="Q24" s="194"/>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10"/>
      <c r="BV24" s="110"/>
      <c r="BW24" s="110"/>
      <c r="BX24" s="110"/>
      <c r="BY24" s="110"/>
      <c r="BZ24" s="110"/>
      <c r="CA24" s="110"/>
      <c r="CB24" s="110"/>
      <c r="CC24" s="110"/>
      <c r="CD24" s="110"/>
      <c r="CE24" s="110"/>
      <c r="CF24" s="110"/>
      <c r="CG24" s="110"/>
    </row>
    <row r="25" spans="1:85" x14ac:dyDescent="0.2">
      <c r="A25" s="110"/>
      <c r="B25" s="110"/>
      <c r="C25" s="110"/>
      <c r="D25" s="110"/>
      <c r="E25" s="110"/>
      <c r="F25" s="110"/>
      <c r="G25" s="110"/>
      <c r="H25" s="110"/>
      <c r="I25" s="110"/>
      <c r="J25" s="110"/>
      <c r="K25" s="110"/>
      <c r="L25" s="110"/>
      <c r="M25" s="110"/>
      <c r="N25" s="110"/>
      <c r="O25" s="110"/>
      <c r="P25" s="110"/>
      <c r="Q25" s="194"/>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10"/>
      <c r="BV25" s="110"/>
      <c r="BW25" s="110"/>
      <c r="BX25" s="110"/>
      <c r="BY25" s="110"/>
      <c r="BZ25" s="110"/>
      <c r="CA25" s="110"/>
      <c r="CB25" s="110"/>
      <c r="CC25" s="110"/>
      <c r="CD25" s="110"/>
      <c r="CE25" s="110"/>
      <c r="CF25" s="110"/>
      <c r="CG25" s="110"/>
    </row>
    <row r="26" spans="1:85" x14ac:dyDescent="0.2">
      <c r="A26" s="110"/>
      <c r="B26" s="110"/>
      <c r="C26" s="110"/>
      <c r="D26" s="110"/>
      <c r="E26" s="110"/>
      <c r="F26" s="110"/>
      <c r="G26" s="110"/>
      <c r="H26" s="110"/>
      <c r="I26" s="110"/>
      <c r="J26" s="110"/>
      <c r="K26" s="110"/>
      <c r="L26" s="110"/>
      <c r="M26" s="110"/>
      <c r="N26" s="110"/>
      <c r="O26" s="110"/>
      <c r="P26" s="110"/>
      <c r="Q26" s="194"/>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10"/>
      <c r="BV26" s="110"/>
      <c r="BW26" s="110"/>
      <c r="BX26" s="110"/>
      <c r="BY26" s="110"/>
      <c r="BZ26" s="110"/>
      <c r="CA26" s="110"/>
      <c r="CB26" s="110"/>
      <c r="CC26" s="110"/>
      <c r="CD26" s="110"/>
      <c r="CE26" s="110"/>
      <c r="CF26" s="110"/>
      <c r="CG26" s="110"/>
    </row>
    <row r="27" spans="1:85" x14ac:dyDescent="0.2">
      <c r="A27" s="110"/>
      <c r="B27" s="110"/>
      <c r="C27" s="110"/>
      <c r="D27" s="110"/>
      <c r="E27" s="110"/>
      <c r="F27" s="110"/>
      <c r="G27" s="110"/>
      <c r="H27" s="110"/>
      <c r="I27" s="110"/>
      <c r="J27" s="110"/>
      <c r="K27" s="110"/>
      <c r="L27" s="110"/>
      <c r="M27" s="110"/>
      <c r="N27" s="110"/>
      <c r="O27" s="110"/>
      <c r="P27" s="110"/>
      <c r="Q27" s="194"/>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0"/>
      <c r="BL27" s="110"/>
      <c r="BM27" s="110"/>
      <c r="BN27" s="110"/>
      <c r="BO27" s="110"/>
      <c r="BP27" s="110"/>
      <c r="BQ27" s="110"/>
      <c r="BR27" s="110"/>
      <c r="BS27" s="110"/>
      <c r="BT27" s="110"/>
      <c r="BU27" s="110"/>
      <c r="BV27" s="110"/>
      <c r="BW27" s="110"/>
      <c r="BX27" s="110"/>
      <c r="BY27" s="110"/>
      <c r="BZ27" s="110"/>
      <c r="CA27" s="110"/>
      <c r="CB27" s="110"/>
      <c r="CC27" s="110"/>
      <c r="CD27" s="110"/>
      <c r="CE27" s="110"/>
      <c r="CF27" s="110"/>
      <c r="CG27" s="110"/>
    </row>
    <row r="28" spans="1:85" x14ac:dyDescent="0.2">
      <c r="A28" s="110"/>
      <c r="B28" s="110"/>
      <c r="C28" s="110"/>
      <c r="D28" s="110"/>
      <c r="E28" s="110"/>
      <c r="F28" s="110"/>
      <c r="G28" s="110"/>
      <c r="H28" s="110"/>
      <c r="I28" s="110"/>
      <c r="J28" s="110"/>
      <c r="K28" s="110"/>
      <c r="L28" s="110"/>
      <c r="M28" s="110"/>
      <c r="N28" s="110"/>
      <c r="O28" s="110"/>
      <c r="P28" s="110"/>
      <c r="Q28" s="194"/>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c r="BO28" s="110"/>
      <c r="BP28" s="110"/>
      <c r="BQ28" s="110"/>
      <c r="BR28" s="110"/>
      <c r="BS28" s="110"/>
      <c r="BT28" s="110"/>
      <c r="BU28" s="110"/>
      <c r="BV28" s="110"/>
      <c r="BW28" s="110"/>
      <c r="BX28" s="110"/>
      <c r="BY28" s="110"/>
      <c r="BZ28" s="110"/>
      <c r="CA28" s="110"/>
      <c r="CB28" s="110"/>
      <c r="CC28" s="110"/>
      <c r="CD28" s="110"/>
      <c r="CE28" s="110"/>
      <c r="CF28" s="110"/>
      <c r="CG28" s="110"/>
    </row>
    <row r="29" spans="1:85" x14ac:dyDescent="0.2">
      <c r="A29" s="110"/>
      <c r="B29" s="110"/>
      <c r="C29" s="110"/>
      <c r="D29" s="110"/>
      <c r="E29" s="110"/>
      <c r="F29" s="110"/>
      <c r="G29" s="110"/>
      <c r="H29" s="110"/>
      <c r="I29" s="110"/>
      <c r="J29" s="110"/>
      <c r="K29" s="110"/>
      <c r="L29" s="110"/>
      <c r="M29" s="110"/>
      <c r="N29" s="110"/>
      <c r="O29" s="110"/>
      <c r="P29" s="110"/>
      <c r="Q29" s="194"/>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c r="BX29" s="110"/>
      <c r="BY29" s="110"/>
      <c r="BZ29" s="110"/>
      <c r="CA29" s="110"/>
      <c r="CB29" s="110"/>
      <c r="CC29" s="110"/>
      <c r="CD29" s="110"/>
      <c r="CE29" s="110"/>
      <c r="CF29" s="110"/>
      <c r="CG29" s="110"/>
    </row>
    <row r="30" spans="1:85" x14ac:dyDescent="0.2">
      <c r="A30" s="110"/>
      <c r="B30" s="110"/>
      <c r="C30" s="110"/>
      <c r="D30" s="110"/>
      <c r="E30" s="110"/>
      <c r="F30" s="110"/>
      <c r="G30" s="110"/>
      <c r="H30" s="110"/>
      <c r="I30" s="110"/>
      <c r="J30" s="110"/>
      <c r="K30" s="110"/>
      <c r="L30" s="110"/>
      <c r="M30" s="110"/>
      <c r="N30" s="110"/>
      <c r="O30" s="110"/>
      <c r="P30" s="110"/>
      <c r="Q30" s="194"/>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10"/>
      <c r="BS30" s="110"/>
      <c r="BT30" s="110"/>
      <c r="BU30" s="110"/>
      <c r="BV30" s="110"/>
      <c r="BW30" s="110"/>
      <c r="BX30" s="110"/>
      <c r="BY30" s="110"/>
      <c r="BZ30" s="110"/>
      <c r="CA30" s="110"/>
      <c r="CB30" s="110"/>
      <c r="CC30" s="110"/>
      <c r="CD30" s="110"/>
      <c r="CE30" s="110"/>
      <c r="CF30" s="110"/>
      <c r="CG30" s="110"/>
    </row>
    <row r="31" spans="1:85" x14ac:dyDescent="0.2">
      <c r="A31" s="110"/>
      <c r="B31" s="110"/>
      <c r="C31" s="110"/>
      <c r="D31" s="110"/>
      <c r="E31" s="110"/>
      <c r="F31" s="110"/>
      <c r="G31" s="110"/>
      <c r="H31" s="110"/>
      <c r="I31" s="110"/>
      <c r="J31" s="110"/>
      <c r="K31" s="110"/>
      <c r="L31" s="110"/>
      <c r="M31" s="110"/>
      <c r="N31" s="110"/>
      <c r="O31" s="110"/>
      <c r="P31" s="110"/>
      <c r="Q31" s="194"/>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c r="CF31" s="110"/>
      <c r="CG31" s="110"/>
    </row>
    <row r="32" spans="1:85" x14ac:dyDescent="0.2">
      <c r="A32" s="110"/>
      <c r="B32" s="110"/>
      <c r="C32" s="110"/>
      <c r="D32" s="110"/>
      <c r="E32" s="110"/>
      <c r="F32" s="110"/>
      <c r="G32" s="110"/>
      <c r="H32" s="110"/>
      <c r="I32" s="110"/>
      <c r="J32" s="110"/>
      <c r="K32" s="110"/>
      <c r="L32" s="110"/>
      <c r="M32" s="110"/>
      <c r="N32" s="110"/>
      <c r="O32" s="110"/>
      <c r="P32" s="110"/>
      <c r="Q32" s="194"/>
      <c r="R32" s="11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c r="AX32" s="110"/>
      <c r="AY32" s="110"/>
      <c r="AZ32" s="110"/>
      <c r="BA32" s="110"/>
      <c r="BB32" s="110"/>
      <c r="BC32" s="110"/>
      <c r="BD32" s="110"/>
      <c r="BE32" s="110"/>
      <c r="BF32" s="110"/>
      <c r="BG32" s="110"/>
      <c r="BH32" s="110"/>
      <c r="BI32" s="110"/>
      <c r="BJ32" s="110"/>
      <c r="BK32" s="110"/>
      <c r="BL32" s="110"/>
      <c r="BM32" s="110"/>
      <c r="BN32" s="110"/>
      <c r="BO32" s="110"/>
      <c r="BP32" s="110"/>
      <c r="BQ32" s="110"/>
      <c r="BR32" s="110"/>
      <c r="BS32" s="110"/>
      <c r="BT32" s="110"/>
      <c r="BU32" s="110"/>
      <c r="BV32" s="110"/>
      <c r="BW32" s="110"/>
      <c r="BX32" s="110"/>
      <c r="BY32" s="110"/>
      <c r="BZ32" s="110"/>
      <c r="CA32" s="110"/>
      <c r="CB32" s="110"/>
      <c r="CC32" s="110"/>
      <c r="CD32" s="110"/>
      <c r="CE32" s="110"/>
      <c r="CF32" s="110"/>
      <c r="CG32" s="110"/>
    </row>
    <row r="33" spans="1:85" x14ac:dyDescent="0.2">
      <c r="A33" s="110"/>
      <c r="B33" s="110"/>
      <c r="C33" s="110"/>
      <c r="D33" s="110"/>
      <c r="E33" s="110"/>
      <c r="F33" s="110"/>
      <c r="G33" s="110"/>
      <c r="H33" s="110"/>
      <c r="I33" s="110"/>
      <c r="J33" s="110"/>
      <c r="K33" s="110"/>
      <c r="L33" s="110"/>
      <c r="M33" s="110"/>
      <c r="N33" s="110"/>
      <c r="O33" s="110"/>
      <c r="P33" s="110"/>
      <c r="Q33" s="194"/>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0"/>
      <c r="BC33" s="110"/>
      <c r="BD33" s="110"/>
      <c r="BE33" s="110"/>
      <c r="BF33" s="110"/>
      <c r="BG33" s="110"/>
      <c r="BH33" s="110"/>
      <c r="BI33" s="110"/>
      <c r="BJ33" s="110"/>
      <c r="BK33" s="110"/>
      <c r="BL33" s="110"/>
      <c r="BM33" s="110"/>
      <c r="BN33" s="110"/>
      <c r="BO33" s="110"/>
      <c r="BP33" s="110"/>
      <c r="BQ33" s="110"/>
      <c r="BR33" s="110"/>
      <c r="BS33" s="110"/>
      <c r="BT33" s="110"/>
      <c r="BU33" s="110"/>
      <c r="BV33" s="110"/>
      <c r="BW33" s="110"/>
      <c r="BX33" s="110"/>
      <c r="BY33" s="110"/>
      <c r="BZ33" s="110"/>
      <c r="CA33" s="110"/>
      <c r="CB33" s="110"/>
      <c r="CC33" s="110"/>
      <c r="CD33" s="110"/>
      <c r="CE33" s="110"/>
      <c r="CF33" s="110"/>
      <c r="CG33" s="110"/>
    </row>
    <row r="34" spans="1:85" x14ac:dyDescent="0.2">
      <c r="A34" s="110"/>
      <c r="B34" s="110"/>
      <c r="C34" s="110"/>
      <c r="D34" s="110"/>
      <c r="E34" s="110"/>
      <c r="F34" s="110"/>
      <c r="G34" s="110"/>
      <c r="H34" s="110"/>
      <c r="I34" s="110"/>
      <c r="J34" s="110"/>
      <c r="K34" s="110"/>
      <c r="L34" s="110"/>
      <c r="M34" s="110"/>
      <c r="N34" s="110"/>
      <c r="O34" s="110"/>
      <c r="P34" s="110"/>
      <c r="Q34" s="194"/>
      <c r="R34" s="110"/>
      <c r="S34" s="110"/>
      <c r="T34" s="110"/>
      <c r="U34" s="110"/>
      <c r="V34" s="110"/>
      <c r="W34" s="110"/>
      <c r="X34" s="110"/>
      <c r="Y34" s="110"/>
      <c r="Z34" s="110"/>
      <c r="AA34" s="110"/>
      <c r="AB34" s="110"/>
    </row>
    <row r="35" spans="1:85" x14ac:dyDescent="0.2">
      <c r="A35" s="110"/>
      <c r="B35" s="110"/>
      <c r="C35" s="110"/>
      <c r="D35" s="110"/>
      <c r="E35" s="110"/>
      <c r="F35" s="110"/>
      <c r="G35" s="110"/>
      <c r="H35" s="110"/>
      <c r="I35" s="110"/>
      <c r="J35" s="110"/>
      <c r="K35" s="110"/>
      <c r="L35" s="110"/>
      <c r="M35" s="110"/>
      <c r="N35" s="110"/>
      <c r="O35" s="110"/>
      <c r="P35" s="110"/>
      <c r="Q35" s="194"/>
      <c r="R35" s="110"/>
      <c r="S35" s="110"/>
      <c r="T35" s="110"/>
      <c r="U35" s="110"/>
      <c r="V35" s="110"/>
      <c r="W35" s="110"/>
      <c r="X35" s="110"/>
      <c r="Y35" s="110"/>
      <c r="Z35" s="110"/>
      <c r="AA35" s="110"/>
      <c r="AB35" s="110"/>
    </row>
    <row r="36" spans="1:85" x14ac:dyDescent="0.2">
      <c r="A36" s="110"/>
      <c r="B36" s="110"/>
      <c r="C36" s="110"/>
      <c r="D36" s="110"/>
      <c r="E36" s="110"/>
      <c r="F36" s="110"/>
      <c r="G36" s="110"/>
      <c r="H36" s="110"/>
      <c r="I36" s="110"/>
      <c r="J36" s="110"/>
      <c r="K36" s="110"/>
      <c r="L36" s="110"/>
      <c r="M36" s="110"/>
      <c r="N36" s="110"/>
      <c r="O36" s="110"/>
      <c r="P36" s="110"/>
      <c r="Q36" s="194"/>
      <c r="R36" s="110"/>
      <c r="S36" s="110"/>
      <c r="T36" s="110"/>
      <c r="U36" s="110"/>
      <c r="V36" s="110"/>
      <c r="W36" s="110"/>
      <c r="X36" s="110"/>
      <c r="Y36" s="110"/>
      <c r="Z36" s="110"/>
      <c r="AA36" s="110"/>
      <c r="AB36" s="110"/>
    </row>
    <row r="37" spans="1:85" x14ac:dyDescent="0.2">
      <c r="A37" s="110"/>
      <c r="B37" s="110"/>
      <c r="C37" s="110"/>
      <c r="D37" s="110"/>
      <c r="E37" s="110"/>
      <c r="F37" s="110"/>
      <c r="G37" s="110"/>
      <c r="H37" s="110"/>
      <c r="I37" s="110"/>
      <c r="J37" s="110"/>
      <c r="K37" s="110"/>
      <c r="L37" s="110"/>
      <c r="M37" s="110"/>
      <c r="N37" s="110"/>
      <c r="O37" s="110"/>
      <c r="P37" s="110"/>
      <c r="Q37" s="194"/>
      <c r="R37" s="110"/>
      <c r="S37" s="110"/>
      <c r="T37" s="110"/>
      <c r="U37" s="110"/>
      <c r="V37" s="110"/>
      <c r="W37" s="110"/>
      <c r="X37" s="110"/>
      <c r="Y37" s="110"/>
      <c r="Z37" s="110"/>
      <c r="AA37" s="110"/>
      <c r="AB37" s="110"/>
    </row>
    <row r="38" spans="1:85" x14ac:dyDescent="0.2">
      <c r="A38" s="110"/>
      <c r="B38" s="110"/>
      <c r="C38" s="110"/>
      <c r="D38" s="110"/>
      <c r="E38" s="110"/>
      <c r="F38" s="110"/>
      <c r="G38" s="110"/>
      <c r="H38" s="110"/>
      <c r="I38" s="110"/>
      <c r="J38" s="110"/>
      <c r="K38" s="110"/>
      <c r="L38" s="110"/>
      <c r="M38" s="110"/>
      <c r="N38" s="110"/>
      <c r="O38" s="110"/>
      <c r="P38" s="110"/>
      <c r="Q38" s="194"/>
      <c r="R38" s="110"/>
      <c r="S38" s="110"/>
      <c r="T38" s="110"/>
      <c r="U38" s="110"/>
      <c r="V38" s="110"/>
      <c r="W38" s="110"/>
      <c r="X38" s="110"/>
      <c r="Y38" s="110"/>
      <c r="Z38" s="110"/>
      <c r="AA38" s="110"/>
      <c r="AB38" s="110"/>
    </row>
    <row r="39" spans="1:85" x14ac:dyDescent="0.2">
      <c r="A39" s="110"/>
      <c r="B39" s="110"/>
      <c r="C39" s="110"/>
      <c r="D39" s="110"/>
      <c r="E39" s="110"/>
      <c r="F39" s="110"/>
      <c r="G39" s="110"/>
      <c r="H39" s="110"/>
      <c r="I39" s="110"/>
      <c r="J39" s="110"/>
      <c r="K39" s="110"/>
      <c r="L39" s="110"/>
      <c r="M39" s="110"/>
      <c r="N39" s="110"/>
      <c r="O39" s="110"/>
      <c r="P39" s="110"/>
      <c r="Q39" s="194"/>
      <c r="R39" s="110"/>
      <c r="S39" s="110"/>
      <c r="T39" s="110"/>
      <c r="U39" s="110"/>
      <c r="V39" s="110"/>
      <c r="W39" s="110"/>
      <c r="X39" s="110"/>
      <c r="Y39" s="110"/>
      <c r="Z39" s="110"/>
      <c r="AA39" s="110"/>
      <c r="AB39" s="110"/>
    </row>
    <row r="40" spans="1:85" x14ac:dyDescent="0.2">
      <c r="A40" s="110"/>
      <c r="B40" s="110"/>
      <c r="C40" s="110"/>
      <c r="D40" s="110"/>
      <c r="E40" s="110"/>
      <c r="F40" s="110"/>
      <c r="G40" s="110"/>
      <c r="H40" s="110"/>
      <c r="I40" s="110"/>
      <c r="J40" s="110"/>
      <c r="K40" s="110"/>
      <c r="L40" s="110"/>
      <c r="M40" s="110"/>
      <c r="N40" s="110"/>
      <c r="O40" s="110"/>
      <c r="P40" s="110"/>
      <c r="Q40" s="194"/>
      <c r="R40" s="110"/>
      <c r="S40" s="110"/>
      <c r="T40" s="110"/>
      <c r="U40" s="110"/>
      <c r="V40" s="110"/>
      <c r="W40" s="110"/>
      <c r="X40" s="110"/>
      <c r="Y40" s="110"/>
      <c r="Z40" s="110"/>
      <c r="AA40" s="110"/>
      <c r="AB40" s="110"/>
    </row>
    <row r="41" spans="1:85" x14ac:dyDescent="0.2">
      <c r="A41" s="110"/>
      <c r="B41" s="110"/>
      <c r="C41" s="110"/>
      <c r="D41" s="110"/>
      <c r="E41" s="110"/>
      <c r="F41" s="110"/>
      <c r="G41" s="110"/>
      <c r="H41" s="110"/>
      <c r="I41" s="110"/>
      <c r="J41" s="110"/>
      <c r="K41" s="110"/>
      <c r="L41" s="110"/>
      <c r="M41" s="110"/>
      <c r="N41" s="110"/>
      <c r="O41" s="110"/>
      <c r="P41" s="110"/>
      <c r="Q41" s="194"/>
      <c r="R41" s="110"/>
      <c r="S41" s="110"/>
      <c r="T41" s="110"/>
      <c r="U41" s="110"/>
      <c r="V41" s="110"/>
      <c r="W41" s="110"/>
      <c r="X41" s="110"/>
      <c r="Y41" s="110"/>
      <c r="Z41" s="110"/>
      <c r="AA41" s="110"/>
      <c r="AB41" s="110"/>
    </row>
    <row r="42" spans="1:85" x14ac:dyDescent="0.2">
      <c r="A42" s="110"/>
      <c r="B42" s="110"/>
      <c r="C42" s="110"/>
      <c r="D42" s="110"/>
      <c r="E42" s="110"/>
      <c r="F42" s="110"/>
      <c r="G42" s="110"/>
      <c r="H42" s="110"/>
      <c r="I42" s="110"/>
      <c r="J42" s="110"/>
      <c r="K42" s="110"/>
      <c r="L42" s="110"/>
      <c r="M42" s="110"/>
      <c r="N42" s="110"/>
      <c r="O42" s="110"/>
      <c r="P42" s="110"/>
      <c r="Q42" s="194"/>
      <c r="R42" s="110"/>
      <c r="S42" s="110"/>
      <c r="T42" s="110"/>
      <c r="U42" s="110"/>
      <c r="V42" s="110"/>
      <c r="W42" s="110"/>
      <c r="X42" s="110"/>
      <c r="Y42" s="110"/>
      <c r="Z42" s="110"/>
      <c r="AA42" s="110"/>
      <c r="AB42" s="110"/>
    </row>
    <row r="43" spans="1:85" x14ac:dyDescent="0.2">
      <c r="A43" s="110"/>
      <c r="B43" s="110"/>
      <c r="C43" s="110"/>
      <c r="D43" s="110"/>
      <c r="E43" s="110"/>
      <c r="F43" s="110"/>
      <c r="G43" s="110"/>
      <c r="H43" s="110"/>
      <c r="I43" s="110"/>
      <c r="J43" s="110"/>
      <c r="K43" s="110"/>
      <c r="L43" s="110"/>
      <c r="M43" s="110"/>
      <c r="N43" s="110"/>
      <c r="O43" s="110"/>
      <c r="P43" s="110"/>
      <c r="Q43" s="194"/>
      <c r="R43" s="110"/>
      <c r="S43" s="110"/>
      <c r="T43" s="110"/>
      <c r="U43" s="110"/>
      <c r="V43" s="110"/>
      <c r="W43" s="110"/>
      <c r="X43" s="110"/>
      <c r="Y43" s="110"/>
      <c r="Z43" s="110"/>
      <c r="AA43" s="110"/>
      <c r="AB43" s="110"/>
    </row>
    <row r="44" spans="1:85" x14ac:dyDescent="0.2">
      <c r="A44" s="110"/>
      <c r="B44" s="110"/>
      <c r="C44" s="110"/>
      <c r="D44" s="110"/>
      <c r="E44" s="110"/>
      <c r="F44" s="110"/>
      <c r="G44" s="110"/>
      <c r="H44" s="110"/>
      <c r="I44" s="110"/>
      <c r="J44" s="110"/>
      <c r="K44" s="110"/>
      <c r="L44" s="110"/>
      <c r="M44" s="110"/>
      <c r="N44" s="110"/>
      <c r="O44" s="110"/>
      <c r="P44" s="110"/>
      <c r="Q44" s="194"/>
      <c r="R44" s="110"/>
      <c r="S44" s="110"/>
      <c r="T44" s="110"/>
      <c r="U44" s="110"/>
      <c r="V44" s="110"/>
      <c r="W44" s="110"/>
      <c r="X44" s="110"/>
      <c r="Y44" s="110"/>
      <c r="Z44" s="110"/>
      <c r="AA44" s="110"/>
      <c r="AB44" s="110"/>
    </row>
    <row r="45" spans="1:85" x14ac:dyDescent="0.2">
      <c r="A45" s="110"/>
      <c r="B45" s="110"/>
      <c r="C45" s="110"/>
      <c r="D45" s="110"/>
      <c r="E45" s="110"/>
      <c r="F45" s="110"/>
      <c r="G45" s="110"/>
      <c r="H45" s="110"/>
      <c r="I45" s="110"/>
      <c r="J45" s="110"/>
      <c r="K45" s="110"/>
      <c r="L45" s="110"/>
      <c r="M45" s="110"/>
      <c r="N45" s="110"/>
      <c r="O45" s="110"/>
      <c r="P45" s="110"/>
      <c r="Q45" s="194"/>
      <c r="R45" s="110"/>
      <c r="S45" s="110"/>
      <c r="T45" s="110"/>
      <c r="U45" s="110"/>
      <c r="V45" s="110"/>
      <c r="W45" s="110"/>
      <c r="X45" s="110"/>
      <c r="Y45" s="110"/>
      <c r="Z45" s="110"/>
      <c r="AA45" s="110"/>
      <c r="AB45" s="110"/>
    </row>
    <row r="46" spans="1:85" x14ac:dyDescent="0.2">
      <c r="A46" s="110"/>
      <c r="B46" s="110"/>
      <c r="C46" s="110"/>
      <c r="D46" s="110"/>
      <c r="E46" s="110"/>
      <c r="F46" s="110"/>
      <c r="G46" s="110"/>
      <c r="H46" s="110"/>
      <c r="I46" s="110"/>
      <c r="J46" s="110"/>
      <c r="K46" s="110"/>
      <c r="L46" s="110"/>
      <c r="M46" s="110"/>
      <c r="N46" s="110"/>
      <c r="O46" s="110"/>
      <c r="P46" s="110"/>
      <c r="Q46" s="194"/>
      <c r="R46" s="110"/>
      <c r="S46" s="110"/>
      <c r="T46" s="110"/>
      <c r="U46" s="110"/>
      <c r="V46" s="110"/>
      <c r="W46" s="110"/>
      <c r="X46" s="110"/>
      <c r="Y46" s="110"/>
      <c r="Z46" s="110"/>
      <c r="AA46" s="110"/>
      <c r="AB46" s="110"/>
    </row>
    <row r="47" spans="1:85" x14ac:dyDescent="0.2">
      <c r="A47" s="110"/>
      <c r="B47" s="110"/>
      <c r="C47" s="110"/>
      <c r="D47" s="110"/>
      <c r="E47" s="110"/>
      <c r="F47" s="110"/>
      <c r="G47" s="110"/>
      <c r="H47" s="110"/>
      <c r="I47" s="110"/>
      <c r="J47" s="110"/>
      <c r="K47" s="110"/>
      <c r="L47" s="110"/>
      <c r="M47" s="110"/>
      <c r="N47" s="110"/>
      <c r="O47" s="110"/>
      <c r="P47" s="110"/>
      <c r="Q47" s="194"/>
      <c r="R47" s="110"/>
      <c r="S47" s="110"/>
      <c r="T47" s="110"/>
      <c r="U47" s="110"/>
      <c r="V47" s="110"/>
      <c r="W47" s="110"/>
      <c r="X47" s="110"/>
      <c r="Y47" s="110"/>
      <c r="Z47" s="110"/>
      <c r="AA47" s="110"/>
      <c r="AB47" s="110"/>
    </row>
    <row r="48" spans="1:85" x14ac:dyDescent="0.2">
      <c r="A48" s="110"/>
      <c r="B48" s="110"/>
      <c r="C48" s="110"/>
      <c r="D48" s="110"/>
      <c r="E48" s="110"/>
      <c r="F48" s="110"/>
      <c r="G48" s="110"/>
      <c r="H48" s="110"/>
      <c r="I48" s="110"/>
      <c r="J48" s="110"/>
      <c r="K48" s="110"/>
      <c r="L48" s="110"/>
      <c r="M48" s="110"/>
      <c r="N48" s="110"/>
      <c r="O48" s="110"/>
      <c r="P48" s="110"/>
      <c r="Q48" s="194"/>
      <c r="R48" s="110"/>
      <c r="S48" s="110"/>
      <c r="T48" s="110"/>
      <c r="U48" s="110"/>
      <c r="V48" s="110"/>
      <c r="W48" s="110"/>
      <c r="X48" s="110"/>
      <c r="Y48" s="110"/>
      <c r="Z48" s="110"/>
      <c r="AA48" s="110"/>
      <c r="AB48" s="110"/>
    </row>
    <row r="49" spans="1:28" x14ac:dyDescent="0.2">
      <c r="A49" s="110"/>
      <c r="B49" s="110"/>
      <c r="C49" s="110"/>
      <c r="D49" s="110"/>
      <c r="E49" s="110"/>
      <c r="F49" s="110"/>
      <c r="G49" s="110"/>
      <c r="H49" s="110"/>
      <c r="I49" s="110"/>
      <c r="J49" s="110"/>
      <c r="K49" s="110"/>
      <c r="L49" s="110"/>
      <c r="M49" s="110"/>
      <c r="N49" s="110"/>
      <c r="O49" s="110"/>
      <c r="P49" s="110"/>
      <c r="Q49" s="194"/>
      <c r="R49" s="110"/>
      <c r="S49" s="110"/>
      <c r="T49" s="110"/>
      <c r="U49" s="110"/>
      <c r="V49" s="110"/>
      <c r="W49" s="110"/>
      <c r="X49" s="110"/>
      <c r="Y49" s="110"/>
      <c r="Z49" s="110"/>
      <c r="AA49" s="110"/>
      <c r="AB49" s="110"/>
    </row>
    <row r="50" spans="1:28" x14ac:dyDescent="0.2">
      <c r="A50" s="110"/>
      <c r="B50" s="110"/>
      <c r="C50" s="110"/>
      <c r="D50" s="110"/>
      <c r="E50" s="110"/>
      <c r="F50" s="110"/>
      <c r="G50" s="110"/>
      <c r="H50" s="110"/>
      <c r="I50" s="110"/>
      <c r="J50" s="110"/>
      <c r="K50" s="110"/>
      <c r="L50" s="110"/>
      <c r="M50" s="110"/>
      <c r="N50" s="110"/>
      <c r="O50" s="110"/>
      <c r="P50" s="110"/>
      <c r="Q50" s="194"/>
      <c r="R50" s="110"/>
      <c r="S50" s="110"/>
      <c r="T50" s="110"/>
      <c r="U50" s="110"/>
      <c r="V50" s="110"/>
      <c r="W50" s="110"/>
      <c r="X50" s="110"/>
      <c r="Y50" s="110"/>
      <c r="Z50" s="110"/>
      <c r="AA50" s="110"/>
      <c r="AB50" s="110"/>
    </row>
    <row r="51" spans="1:28" x14ac:dyDescent="0.2">
      <c r="A51" s="110"/>
      <c r="B51" s="110"/>
      <c r="C51" s="110"/>
      <c r="D51" s="110"/>
      <c r="E51" s="110"/>
      <c r="F51" s="110"/>
      <c r="G51" s="110"/>
      <c r="H51" s="110"/>
      <c r="I51" s="110"/>
      <c r="J51" s="110"/>
      <c r="K51" s="110"/>
      <c r="L51" s="110"/>
      <c r="M51" s="110"/>
      <c r="N51" s="110"/>
      <c r="O51" s="110"/>
      <c r="P51" s="110"/>
      <c r="Q51" s="194"/>
      <c r="R51" s="110"/>
      <c r="S51" s="110"/>
      <c r="T51" s="110"/>
      <c r="U51" s="110"/>
      <c r="V51" s="110"/>
      <c r="W51" s="110"/>
      <c r="X51" s="110"/>
      <c r="Y51" s="110"/>
      <c r="Z51" s="110"/>
      <c r="AA51" s="110"/>
      <c r="AB51" s="110"/>
    </row>
    <row r="52" spans="1:28" x14ac:dyDescent="0.2">
      <c r="A52" s="110"/>
      <c r="B52" s="110"/>
      <c r="C52" s="110"/>
      <c r="D52" s="110"/>
      <c r="E52" s="110"/>
      <c r="F52" s="110"/>
      <c r="G52" s="110"/>
      <c r="H52" s="110"/>
      <c r="I52" s="110"/>
      <c r="J52" s="110"/>
      <c r="K52" s="110"/>
      <c r="L52" s="110"/>
      <c r="M52" s="110"/>
      <c r="N52" s="110"/>
      <c r="O52" s="110"/>
      <c r="P52" s="110"/>
      <c r="Q52" s="194"/>
      <c r="R52" s="110"/>
      <c r="S52" s="110"/>
      <c r="T52" s="110"/>
      <c r="U52" s="110"/>
      <c r="V52" s="110"/>
      <c r="W52" s="110"/>
      <c r="X52" s="110"/>
      <c r="Y52" s="110"/>
      <c r="Z52" s="110"/>
      <c r="AA52" s="110"/>
      <c r="AB52" s="110"/>
    </row>
    <row r="53" spans="1:28" x14ac:dyDescent="0.2">
      <c r="A53" s="110"/>
      <c r="B53" s="110"/>
      <c r="C53" s="110"/>
      <c r="D53" s="110"/>
      <c r="E53" s="110"/>
      <c r="F53" s="110"/>
      <c r="G53" s="110"/>
      <c r="H53" s="110"/>
      <c r="I53" s="110"/>
      <c r="J53" s="110"/>
      <c r="K53" s="110"/>
      <c r="L53" s="110"/>
      <c r="M53" s="110"/>
      <c r="N53" s="110"/>
      <c r="O53" s="110"/>
      <c r="P53" s="110"/>
      <c r="Q53" s="194"/>
      <c r="R53" s="110"/>
      <c r="S53" s="110"/>
      <c r="T53" s="110"/>
      <c r="U53" s="110"/>
      <c r="V53" s="110"/>
      <c r="W53" s="110"/>
      <c r="X53" s="110"/>
      <c r="Y53" s="110"/>
      <c r="Z53" s="110"/>
      <c r="AA53" s="110"/>
      <c r="AB53" s="110"/>
    </row>
    <row r="54" spans="1:28" x14ac:dyDescent="0.2">
      <c r="A54" s="110"/>
      <c r="B54" s="110"/>
      <c r="C54" s="110"/>
      <c r="D54" s="110"/>
      <c r="E54" s="110"/>
      <c r="F54" s="110"/>
      <c r="G54" s="110"/>
      <c r="H54" s="110"/>
      <c r="I54" s="110"/>
      <c r="J54" s="110"/>
      <c r="K54" s="110"/>
      <c r="L54" s="110"/>
      <c r="M54" s="110"/>
      <c r="N54" s="110"/>
      <c r="O54" s="110"/>
      <c r="P54" s="110"/>
      <c r="Q54" s="194"/>
      <c r="R54" s="110"/>
      <c r="S54" s="110"/>
      <c r="T54" s="110"/>
      <c r="U54" s="110"/>
      <c r="V54" s="110"/>
      <c r="W54" s="110"/>
      <c r="X54" s="110"/>
      <c r="Y54" s="110"/>
      <c r="Z54" s="110"/>
      <c r="AA54" s="110"/>
      <c r="AB54" s="110"/>
    </row>
    <row r="55" spans="1:28" x14ac:dyDescent="0.2">
      <c r="A55" s="110"/>
      <c r="B55" s="110"/>
      <c r="C55" s="110"/>
      <c r="D55" s="110"/>
      <c r="E55" s="110"/>
      <c r="F55" s="110"/>
      <c r="G55" s="110"/>
      <c r="H55" s="110"/>
      <c r="I55" s="110"/>
      <c r="J55" s="110"/>
      <c r="K55" s="110"/>
      <c r="L55" s="110"/>
      <c r="M55" s="110"/>
      <c r="N55" s="110"/>
      <c r="O55" s="110"/>
      <c r="P55" s="110"/>
      <c r="Q55" s="194"/>
      <c r="R55" s="110"/>
      <c r="S55" s="110"/>
      <c r="T55" s="110"/>
      <c r="U55" s="110"/>
      <c r="V55" s="110"/>
      <c r="W55" s="110"/>
      <c r="X55" s="110"/>
      <c r="Y55" s="110"/>
      <c r="Z55" s="110"/>
      <c r="AA55" s="110"/>
      <c r="AB55" s="110"/>
    </row>
    <row r="56" spans="1:28" x14ac:dyDescent="0.2">
      <c r="A56" s="110"/>
      <c r="B56" s="110"/>
      <c r="C56" s="110"/>
      <c r="D56" s="110"/>
      <c r="E56" s="110"/>
      <c r="F56" s="110"/>
      <c r="G56" s="110"/>
      <c r="H56" s="110"/>
      <c r="I56" s="110"/>
      <c r="J56" s="110"/>
      <c r="K56" s="110"/>
      <c r="L56" s="110"/>
      <c r="M56" s="110"/>
      <c r="N56" s="110"/>
      <c r="O56" s="110"/>
      <c r="P56" s="110"/>
      <c r="Q56" s="194"/>
      <c r="R56" s="110"/>
      <c r="S56" s="110"/>
      <c r="T56" s="110"/>
      <c r="U56" s="110"/>
      <c r="V56" s="110"/>
      <c r="W56" s="110"/>
      <c r="X56" s="110"/>
      <c r="Y56" s="110"/>
      <c r="Z56" s="110"/>
      <c r="AA56" s="110"/>
      <c r="AB56" s="110"/>
    </row>
    <row r="57" spans="1:28" x14ac:dyDescent="0.2">
      <c r="A57" s="110"/>
      <c r="B57" s="110"/>
      <c r="C57" s="110"/>
      <c r="D57" s="110"/>
      <c r="E57" s="110"/>
      <c r="F57" s="110"/>
      <c r="G57" s="110"/>
      <c r="H57" s="110"/>
      <c r="I57" s="110"/>
      <c r="J57" s="110"/>
      <c r="K57" s="110"/>
      <c r="L57" s="110"/>
      <c r="M57" s="110"/>
      <c r="N57" s="110"/>
      <c r="O57" s="110"/>
      <c r="P57" s="110"/>
      <c r="Q57" s="194"/>
      <c r="R57" s="110"/>
      <c r="S57" s="110"/>
      <c r="T57" s="110"/>
      <c r="U57" s="110"/>
      <c r="V57" s="110"/>
      <c r="W57" s="110"/>
      <c r="X57" s="110"/>
      <c r="Y57" s="110"/>
      <c r="Z57" s="110"/>
      <c r="AA57" s="110"/>
      <c r="AB57" s="110"/>
    </row>
  </sheetData>
  <sheetProtection password="9C8D" sheet="1" objects="1" scenarios="1"/>
  <mergeCells count="15">
    <mergeCell ref="P5:P6"/>
    <mergeCell ref="A12:O12"/>
    <mergeCell ref="A13:O13"/>
    <mergeCell ref="A1:O1"/>
    <mergeCell ref="A2:O2"/>
    <mergeCell ref="A3:O3"/>
    <mergeCell ref="A4:O4"/>
    <mergeCell ref="A5:A6"/>
    <mergeCell ref="B5:C5"/>
    <mergeCell ref="D5:E5"/>
    <mergeCell ref="F5:G5"/>
    <mergeCell ref="H5:I5"/>
    <mergeCell ref="J5:K5"/>
    <mergeCell ref="L5:M5"/>
    <mergeCell ref="N5:O5"/>
  </mergeCells>
  <pageMargins left="0" right="0" top="0.98425196850393704" bottom="0.98425196850393704" header="0.51181102362204722" footer="0.51181102362204722"/>
  <pageSetup paperSize="9" scale="65" orientation="landscape"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91"/>
  <sheetViews>
    <sheetView windowProtection="1" showGridLines="0" zoomScaleNormal="100" workbookViewId="0">
      <selection activeCell="M16" sqref="M16"/>
    </sheetView>
  </sheetViews>
  <sheetFormatPr defaultRowHeight="12.75" x14ac:dyDescent="0.2"/>
  <cols>
    <col min="1" max="1" width="19.28515625" customWidth="1"/>
    <col min="2" max="2" width="14.85546875" customWidth="1"/>
    <col min="3" max="3" width="20.140625" customWidth="1"/>
    <col min="4" max="4" width="20" customWidth="1"/>
    <col min="5" max="6" width="10.5703125" customWidth="1"/>
    <col min="7" max="8" width="13.42578125" customWidth="1"/>
    <col min="9" max="9" width="10.85546875" bestFit="1" customWidth="1"/>
    <col min="10" max="10" width="10.85546875" customWidth="1"/>
    <col min="11" max="15" width="12.42578125" customWidth="1"/>
    <col min="16" max="16" width="12.5703125" customWidth="1"/>
    <col min="17" max="17" width="12.85546875" bestFit="1" customWidth="1"/>
    <col min="18" max="18" width="9.140625" style="196"/>
  </cols>
  <sheetData>
    <row r="1" spans="1:86" ht="15.75" x14ac:dyDescent="0.25">
      <c r="A1" s="1225" t="s">
        <v>1105</v>
      </c>
      <c r="B1" s="1225"/>
      <c r="C1" s="1225"/>
      <c r="D1" s="1225"/>
    </row>
    <row r="2" spans="1:86" ht="15" x14ac:dyDescent="0.2">
      <c r="A2" s="1226" t="s">
        <v>166</v>
      </c>
      <c r="B2" s="1226"/>
      <c r="C2" s="1226"/>
      <c r="D2" s="1226"/>
    </row>
    <row r="3" spans="1:86" ht="15" x14ac:dyDescent="0.2">
      <c r="A3" s="1226" t="str">
        <f>[5]Dados!A18</f>
        <v>Exercício de 2015</v>
      </c>
      <c r="B3" s="1226"/>
      <c r="C3" s="1226"/>
      <c r="D3" s="1226"/>
    </row>
    <row r="4" spans="1:86" x14ac:dyDescent="0.2">
      <c r="A4" s="207"/>
      <c r="B4" s="207"/>
      <c r="C4" s="207"/>
      <c r="D4" s="207"/>
    </row>
    <row r="5" spans="1:86" x14ac:dyDescent="0.2">
      <c r="A5" s="207"/>
      <c r="B5" s="207"/>
      <c r="C5" s="207"/>
      <c r="D5" s="234" t="s">
        <v>1</v>
      </c>
    </row>
    <row r="6" spans="1:86" ht="17.25" customHeight="1" x14ac:dyDescent="0.2">
      <c r="A6" s="1191" t="s">
        <v>167</v>
      </c>
      <c r="B6" s="1191" t="s">
        <v>148</v>
      </c>
      <c r="C6" s="1191" t="s">
        <v>154</v>
      </c>
      <c r="D6" s="1191" t="s">
        <v>155</v>
      </c>
      <c r="E6" s="1276"/>
      <c r="F6" s="208"/>
      <c r="G6" s="209"/>
      <c r="H6" s="209"/>
      <c r="I6" s="209"/>
      <c r="J6" s="209"/>
      <c r="K6" s="209"/>
      <c r="L6" s="209"/>
      <c r="M6" s="209"/>
      <c r="N6" s="209"/>
      <c r="O6" s="209"/>
      <c r="P6" s="209"/>
      <c r="Q6" s="210"/>
      <c r="R6" s="151"/>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row>
    <row r="7" spans="1:86" ht="15" customHeight="1" x14ac:dyDescent="0.2">
      <c r="A7" s="1191"/>
      <c r="B7" s="1191"/>
      <c r="C7" s="1191"/>
      <c r="D7" s="1191"/>
      <c r="E7" s="1276"/>
      <c r="F7" s="208"/>
      <c r="G7" s="209"/>
      <c r="H7" s="209"/>
      <c r="I7" s="211"/>
      <c r="J7" s="211"/>
      <c r="K7" s="211"/>
      <c r="L7" s="211"/>
      <c r="M7" s="211"/>
      <c r="N7" s="211"/>
      <c r="O7" s="211"/>
      <c r="P7" s="209"/>
      <c r="Q7" s="210"/>
      <c r="R7" s="151"/>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0"/>
      <c r="CF7" s="110"/>
      <c r="CG7" s="110"/>
      <c r="CH7" s="110"/>
    </row>
    <row r="8" spans="1:86" ht="20.100000000000001" customHeight="1" x14ac:dyDescent="0.2">
      <c r="A8" s="100" t="s">
        <v>168</v>
      </c>
      <c r="B8" s="100" t="s">
        <v>169</v>
      </c>
      <c r="C8" s="235">
        <v>623</v>
      </c>
      <c r="D8" s="214">
        <v>180716</v>
      </c>
      <c r="E8" s="75"/>
      <c r="F8" s="1378"/>
      <c r="G8" s="1378"/>
      <c r="H8" s="1378"/>
      <c r="I8" s="1378"/>
      <c r="J8" s="1378"/>
      <c r="K8" s="1378"/>
      <c r="L8" s="1378"/>
      <c r="M8" s="1378"/>
      <c r="N8" s="75"/>
      <c r="O8" s="75"/>
      <c r="P8" s="198"/>
      <c r="Q8" s="79"/>
      <c r="R8" s="20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c r="CH8" s="110"/>
    </row>
    <row r="9" spans="1:86" ht="20.100000000000001" customHeight="1" x14ac:dyDescent="0.2">
      <c r="A9" s="236"/>
      <c r="B9" s="105" t="s">
        <v>170</v>
      </c>
      <c r="C9" s="237">
        <v>14594</v>
      </c>
      <c r="D9" s="214">
        <v>172082</v>
      </c>
      <c r="E9" s="75"/>
      <c r="F9" s="75"/>
      <c r="G9" s="75"/>
      <c r="H9" s="75"/>
      <c r="I9" s="75"/>
      <c r="J9" s="75"/>
      <c r="K9" s="75"/>
      <c r="L9" s="75"/>
      <c r="M9" s="75"/>
      <c r="N9" s="75"/>
      <c r="O9" s="75"/>
      <c r="P9" s="198"/>
      <c r="Q9" s="79"/>
      <c r="R9" s="20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c r="CH9" s="110"/>
    </row>
    <row r="10" spans="1:86" ht="20.100000000000001" customHeight="1" x14ac:dyDescent="0.2">
      <c r="A10" s="236"/>
      <c r="B10" s="105" t="s">
        <v>171</v>
      </c>
      <c r="C10" s="237">
        <v>11633</v>
      </c>
      <c r="D10" s="218">
        <v>77942</v>
      </c>
      <c r="E10" s="75"/>
      <c r="F10" s="75"/>
      <c r="G10" s="238"/>
      <c r="H10" s="238"/>
      <c r="I10" s="238"/>
      <c r="J10" s="238"/>
      <c r="K10" s="238"/>
      <c r="L10" s="238"/>
      <c r="M10" s="238"/>
      <c r="N10" s="75"/>
      <c r="O10" s="75"/>
      <c r="P10" s="198"/>
      <c r="Q10" s="79"/>
      <c r="R10" s="20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row>
    <row r="11" spans="1:86" ht="20.100000000000001" customHeight="1" x14ac:dyDescent="0.2">
      <c r="A11" s="100" t="s">
        <v>172</v>
      </c>
      <c r="B11" s="100" t="s">
        <v>169</v>
      </c>
      <c r="C11" s="235">
        <v>1060</v>
      </c>
      <c r="D11" s="222">
        <v>579097</v>
      </c>
      <c r="E11" s="75"/>
      <c r="F11" s="75"/>
      <c r="G11" s="75"/>
      <c r="H11" s="75"/>
      <c r="I11" s="75"/>
      <c r="J11" s="75"/>
      <c r="K11" s="75"/>
      <c r="L11" s="75"/>
      <c r="M11" s="75"/>
      <c r="N11" s="75"/>
      <c r="O11" s="75"/>
      <c r="P11" s="198"/>
      <c r="Q11" s="79"/>
      <c r="R11" s="20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c r="CH11" s="110"/>
    </row>
    <row r="12" spans="1:86" ht="20.100000000000001" customHeight="1" x14ac:dyDescent="0.2">
      <c r="A12" s="236"/>
      <c r="B12" s="105" t="s">
        <v>170</v>
      </c>
      <c r="C12" s="237">
        <v>15225</v>
      </c>
      <c r="D12" s="214">
        <v>152334</v>
      </c>
      <c r="E12" s="75"/>
      <c r="F12" s="75"/>
      <c r="G12" s="75"/>
      <c r="H12" s="75"/>
      <c r="I12" s="75"/>
      <c r="J12" s="75"/>
      <c r="K12" s="75"/>
      <c r="L12" s="75"/>
      <c r="M12" s="75"/>
      <c r="N12" s="75"/>
      <c r="O12" s="75"/>
      <c r="P12" s="239"/>
      <c r="Q12" s="79"/>
      <c r="R12" s="20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c r="CH12" s="110"/>
    </row>
    <row r="13" spans="1:86" ht="20.100000000000001" customHeight="1" x14ac:dyDescent="0.2">
      <c r="A13" s="236"/>
      <c r="B13" s="105" t="s">
        <v>171</v>
      </c>
      <c r="C13" s="237">
        <v>21667</v>
      </c>
      <c r="D13" s="214">
        <v>1263585</v>
      </c>
      <c r="E13" s="219"/>
      <c r="F13" s="219"/>
      <c r="G13" s="75"/>
      <c r="H13" s="75"/>
      <c r="I13" s="240"/>
      <c r="J13" s="240"/>
      <c r="K13" s="240"/>
      <c r="L13" s="240"/>
      <c r="M13" s="75"/>
      <c r="N13" s="75"/>
      <c r="O13" s="75"/>
      <c r="P13" s="239"/>
      <c r="Q13" s="79"/>
      <c r="R13" s="20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row>
    <row r="14" spans="1:86" ht="20.100000000000001" customHeight="1" x14ac:dyDescent="0.2">
      <c r="A14" s="236"/>
      <c r="B14" s="105" t="s">
        <v>173</v>
      </c>
      <c r="C14" s="237">
        <v>71809</v>
      </c>
      <c r="D14" s="218">
        <v>1216552</v>
      </c>
      <c r="E14" s="75"/>
      <c r="F14" s="75"/>
      <c r="G14" s="75"/>
      <c r="H14" s="75"/>
      <c r="I14" s="75"/>
      <c r="J14" s="75"/>
      <c r="L14" s="75"/>
      <c r="M14" s="75"/>
      <c r="N14" s="75"/>
      <c r="O14" s="75"/>
      <c r="P14" s="239"/>
      <c r="Q14" s="79"/>
      <c r="R14" s="20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row>
    <row r="15" spans="1:86" ht="20.100000000000001" customHeight="1" x14ac:dyDescent="0.2">
      <c r="A15" s="100" t="s">
        <v>174</v>
      </c>
      <c r="B15" s="100" t="s">
        <v>169</v>
      </c>
      <c r="C15" s="235">
        <v>3829</v>
      </c>
      <c r="D15" s="222">
        <v>936397</v>
      </c>
      <c r="E15" s="75"/>
      <c r="F15" s="75"/>
      <c r="G15" s="75"/>
      <c r="H15" s="75"/>
      <c r="I15" s="75"/>
      <c r="J15" s="75"/>
      <c r="L15" s="75"/>
      <c r="M15" s="75"/>
      <c r="N15" s="75"/>
      <c r="O15" s="75"/>
      <c r="P15" s="198"/>
      <c r="Q15" s="79"/>
      <c r="R15" s="20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row>
    <row r="16" spans="1:86" ht="20.100000000000001" customHeight="1" x14ac:dyDescent="0.2">
      <c r="A16" s="236"/>
      <c r="B16" s="105" t="s">
        <v>170</v>
      </c>
      <c r="C16" s="237">
        <v>38218</v>
      </c>
      <c r="D16" s="214">
        <v>371344</v>
      </c>
      <c r="E16" s="75"/>
      <c r="F16" s="75"/>
      <c r="G16" s="75"/>
      <c r="H16" s="75"/>
      <c r="I16" s="75"/>
      <c r="J16" s="75"/>
      <c r="L16" s="75"/>
      <c r="M16" s="75"/>
      <c r="N16" s="75"/>
      <c r="O16" s="75"/>
      <c r="P16" s="198"/>
      <c r="Q16" s="79"/>
      <c r="R16" s="20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row>
    <row r="17" spans="1:86" ht="20.100000000000001" customHeight="1" x14ac:dyDescent="0.2">
      <c r="A17" s="236"/>
      <c r="B17" s="105" t="s">
        <v>171</v>
      </c>
      <c r="C17" s="237">
        <v>13441</v>
      </c>
      <c r="D17" s="214">
        <v>181045</v>
      </c>
      <c r="E17" s="219"/>
      <c r="F17" s="219"/>
      <c r="G17" s="75"/>
      <c r="H17" s="75"/>
      <c r="I17" s="75"/>
      <c r="J17" s="75"/>
      <c r="L17" s="75"/>
      <c r="M17" s="75"/>
      <c r="N17" s="75"/>
      <c r="O17" s="75"/>
      <c r="P17" s="198"/>
      <c r="Q17" s="79"/>
      <c r="R17" s="20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row>
    <row r="18" spans="1:86" ht="20.100000000000001" customHeight="1" x14ac:dyDescent="0.2">
      <c r="A18" s="236"/>
      <c r="B18" s="105" t="s">
        <v>173</v>
      </c>
      <c r="C18" s="237">
        <v>14773</v>
      </c>
      <c r="D18" s="218">
        <v>306560</v>
      </c>
      <c r="E18" s="75"/>
      <c r="F18" s="75"/>
      <c r="G18" s="75"/>
      <c r="H18" s="75"/>
      <c r="I18" s="75"/>
      <c r="J18" s="75"/>
      <c r="L18" s="75"/>
      <c r="M18" s="75"/>
      <c r="N18" s="75"/>
      <c r="O18" s="75"/>
      <c r="P18" s="198"/>
      <c r="Q18" s="79"/>
      <c r="R18" s="20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row>
    <row r="19" spans="1:86" ht="20.100000000000001" customHeight="1" x14ac:dyDescent="0.2">
      <c r="A19" s="100" t="s">
        <v>175</v>
      </c>
      <c r="B19" s="100" t="s">
        <v>173</v>
      </c>
      <c r="C19" s="235">
        <v>971</v>
      </c>
      <c r="D19" s="241">
        <v>151772</v>
      </c>
      <c r="E19" s="75"/>
      <c r="F19" s="75"/>
      <c r="G19" s="75"/>
      <c r="H19" s="75"/>
      <c r="I19" s="75"/>
      <c r="J19" s="75"/>
      <c r="L19" s="75"/>
      <c r="M19" s="75"/>
      <c r="N19" s="75"/>
      <c r="O19" s="75"/>
      <c r="P19" s="198"/>
      <c r="Q19" s="79"/>
      <c r="R19" s="20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c r="BP19" s="110"/>
      <c r="BQ19" s="110"/>
      <c r="BR19" s="110"/>
      <c r="BS19" s="110"/>
      <c r="BT19" s="110"/>
      <c r="BU19" s="110"/>
      <c r="BV19" s="110"/>
      <c r="BW19" s="110"/>
      <c r="BX19" s="110"/>
      <c r="BY19" s="110"/>
      <c r="BZ19" s="110"/>
      <c r="CA19" s="110"/>
      <c r="CB19" s="110"/>
      <c r="CC19" s="110"/>
      <c r="CD19" s="110"/>
      <c r="CE19" s="110"/>
      <c r="CF19" s="110"/>
      <c r="CG19" s="110"/>
      <c r="CH19" s="110"/>
    </row>
    <row r="20" spans="1:86" ht="20.100000000000001" customHeight="1" x14ac:dyDescent="0.2">
      <c r="A20" s="100" t="s">
        <v>176</v>
      </c>
      <c r="B20" s="100" t="s">
        <v>170</v>
      </c>
      <c r="C20" s="235">
        <v>39978</v>
      </c>
      <c r="D20" s="75">
        <v>580026</v>
      </c>
      <c r="E20" s="242"/>
      <c r="F20" s="242"/>
      <c r="G20" s="75"/>
      <c r="H20" s="75"/>
      <c r="I20" s="75"/>
      <c r="J20" s="75"/>
      <c r="L20" s="75"/>
      <c r="M20" s="75"/>
      <c r="N20" s="75"/>
      <c r="O20" s="75"/>
      <c r="P20" s="198"/>
      <c r="Q20" s="79"/>
      <c r="R20" s="20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c r="AW20" s="110"/>
      <c r="AX20" s="110"/>
      <c r="AY20" s="110"/>
      <c r="AZ20" s="110"/>
      <c r="BA20" s="110"/>
      <c r="BB20" s="110"/>
      <c r="BC20" s="110"/>
      <c r="BD20" s="110"/>
      <c r="BE20" s="110"/>
      <c r="BF20" s="110"/>
      <c r="BG20" s="110"/>
      <c r="BH20" s="110"/>
      <c r="BI20" s="110"/>
      <c r="BJ20" s="110"/>
      <c r="BK20" s="110"/>
      <c r="BL20" s="110"/>
      <c r="BM20" s="110"/>
      <c r="BN20" s="110"/>
      <c r="BO20" s="110"/>
      <c r="BP20" s="110"/>
      <c r="BQ20" s="110"/>
      <c r="BR20" s="110"/>
      <c r="BS20" s="110"/>
      <c r="BT20" s="110"/>
      <c r="BU20" s="110"/>
      <c r="BV20" s="110"/>
      <c r="BW20" s="110"/>
      <c r="BX20" s="110"/>
      <c r="BY20" s="110"/>
      <c r="BZ20" s="110"/>
      <c r="CA20" s="110"/>
      <c r="CB20" s="110"/>
      <c r="CC20" s="110"/>
      <c r="CD20" s="110"/>
      <c r="CE20" s="110"/>
      <c r="CF20" s="110"/>
      <c r="CG20" s="110"/>
      <c r="CH20" s="110"/>
    </row>
    <row r="21" spans="1:86" ht="20.100000000000001" customHeight="1" x14ac:dyDescent="0.2">
      <c r="A21" s="236"/>
      <c r="B21" s="105" t="s">
        <v>171</v>
      </c>
      <c r="C21" s="237">
        <v>3089</v>
      </c>
      <c r="D21" s="75">
        <v>302981</v>
      </c>
      <c r="E21" s="219"/>
      <c r="F21" s="219"/>
      <c r="G21" s="75"/>
      <c r="H21" s="75"/>
      <c r="I21" s="75"/>
      <c r="J21" s="75"/>
      <c r="L21" s="75"/>
      <c r="M21" s="75"/>
      <c r="N21" s="75"/>
      <c r="O21" s="75"/>
      <c r="P21" s="198"/>
      <c r="Q21" s="79"/>
      <c r="R21" s="20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c r="AX21" s="110"/>
      <c r="AY21" s="110"/>
      <c r="AZ21" s="110"/>
      <c r="BA21" s="110"/>
      <c r="BB21" s="110"/>
      <c r="BC21" s="110"/>
      <c r="BD21" s="110"/>
      <c r="BE21" s="110"/>
      <c r="BF21" s="110"/>
      <c r="BG21" s="110"/>
      <c r="BH21" s="110"/>
      <c r="BI21" s="110"/>
      <c r="BJ21" s="110"/>
      <c r="BK21" s="110"/>
      <c r="BL21" s="110"/>
      <c r="BM21" s="110"/>
      <c r="BN21" s="110"/>
      <c r="BO21" s="110"/>
      <c r="BP21" s="110"/>
      <c r="BQ21" s="110"/>
      <c r="BR21" s="110"/>
      <c r="BS21" s="110"/>
      <c r="BT21" s="110"/>
      <c r="BU21" s="110"/>
      <c r="BV21" s="110"/>
      <c r="BW21" s="110"/>
      <c r="BX21" s="110"/>
      <c r="BY21" s="110"/>
      <c r="BZ21" s="110"/>
      <c r="CA21" s="110"/>
      <c r="CB21" s="110"/>
      <c r="CC21" s="110"/>
      <c r="CD21" s="110"/>
      <c r="CE21" s="110"/>
      <c r="CF21" s="110"/>
      <c r="CG21" s="110"/>
      <c r="CH21" s="110"/>
    </row>
    <row r="22" spans="1:86" ht="20.100000000000001" customHeight="1" x14ac:dyDescent="0.2">
      <c r="A22" s="236"/>
      <c r="B22" s="105" t="s">
        <v>173</v>
      </c>
      <c r="C22" s="237">
        <v>6500</v>
      </c>
      <c r="D22" s="218">
        <v>335323</v>
      </c>
      <c r="E22" s="75"/>
      <c r="F22" s="75"/>
      <c r="G22" s="75"/>
      <c r="H22" s="75"/>
      <c r="I22" s="75"/>
      <c r="J22" s="75"/>
      <c r="L22" s="75"/>
      <c r="M22" s="75"/>
      <c r="N22" s="75"/>
      <c r="O22" s="75"/>
      <c r="P22" s="198"/>
      <c r="Q22" s="79"/>
      <c r="R22" s="20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c r="BI22" s="110"/>
      <c r="BJ22" s="110"/>
      <c r="BK22" s="110"/>
      <c r="BL22" s="110"/>
      <c r="BM22" s="110"/>
      <c r="BN22" s="110"/>
      <c r="BO22" s="110"/>
      <c r="BP22" s="110"/>
      <c r="BQ22" s="110"/>
      <c r="BR22" s="110"/>
      <c r="BS22" s="110"/>
      <c r="BT22" s="110"/>
      <c r="BU22" s="110"/>
      <c r="BV22" s="110"/>
      <c r="BW22" s="110"/>
      <c r="BX22" s="110"/>
      <c r="BY22" s="110"/>
      <c r="BZ22" s="110"/>
      <c r="CA22" s="110"/>
      <c r="CB22" s="110"/>
      <c r="CC22" s="110"/>
      <c r="CD22" s="110"/>
      <c r="CE22" s="110"/>
      <c r="CF22" s="110"/>
      <c r="CG22" s="110"/>
      <c r="CH22" s="110"/>
    </row>
    <row r="23" spans="1:86" ht="20.100000000000001" customHeight="1" x14ac:dyDescent="0.2">
      <c r="A23" s="100" t="s">
        <v>177</v>
      </c>
      <c r="B23" s="100" t="s">
        <v>170</v>
      </c>
      <c r="C23" s="235">
        <v>881</v>
      </c>
      <c r="D23" s="75">
        <v>5358</v>
      </c>
      <c r="E23" s="75"/>
      <c r="F23" s="75"/>
      <c r="G23" s="75"/>
      <c r="H23" s="75"/>
      <c r="I23" s="75"/>
      <c r="J23" s="75"/>
      <c r="L23" s="75"/>
      <c r="M23" s="75"/>
      <c r="N23" s="75"/>
      <c r="O23" s="75"/>
      <c r="P23" s="198"/>
      <c r="Q23" s="79"/>
      <c r="R23" s="20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0"/>
      <c r="BP23" s="110"/>
      <c r="BQ23" s="110"/>
      <c r="BR23" s="110"/>
      <c r="BS23" s="110"/>
      <c r="BT23" s="110"/>
      <c r="BU23" s="110"/>
      <c r="BV23" s="110"/>
      <c r="BW23" s="110"/>
      <c r="BX23" s="110"/>
      <c r="BY23" s="110"/>
      <c r="BZ23" s="110"/>
      <c r="CA23" s="110"/>
      <c r="CB23" s="110"/>
      <c r="CC23" s="110"/>
      <c r="CD23" s="110"/>
      <c r="CE23" s="110"/>
      <c r="CF23" s="110"/>
      <c r="CG23" s="110"/>
      <c r="CH23" s="110"/>
    </row>
    <row r="24" spans="1:86" ht="20.100000000000001" customHeight="1" x14ac:dyDescent="0.2">
      <c r="A24" s="236"/>
      <c r="B24" s="105" t="s">
        <v>171</v>
      </c>
      <c r="C24" s="237">
        <v>30414</v>
      </c>
      <c r="D24" s="75">
        <v>325749</v>
      </c>
      <c r="E24" s="75"/>
      <c r="F24" s="75"/>
      <c r="G24" s="75"/>
      <c r="H24" s="75"/>
      <c r="I24" s="75"/>
      <c r="J24" s="75"/>
      <c r="L24" s="75"/>
      <c r="M24" s="75"/>
      <c r="N24" s="75"/>
      <c r="O24" s="75"/>
      <c r="P24" s="198"/>
      <c r="Q24" s="79"/>
      <c r="R24" s="20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10"/>
      <c r="BV24" s="110"/>
      <c r="BW24" s="110"/>
      <c r="BX24" s="110"/>
      <c r="BY24" s="110"/>
      <c r="BZ24" s="110"/>
      <c r="CA24" s="110"/>
      <c r="CB24" s="110"/>
      <c r="CC24" s="110"/>
      <c r="CD24" s="110"/>
      <c r="CE24" s="110"/>
      <c r="CF24" s="110"/>
      <c r="CG24" s="110"/>
      <c r="CH24" s="110"/>
    </row>
    <row r="25" spans="1:86" ht="20.100000000000001" customHeight="1" x14ac:dyDescent="0.2">
      <c r="A25" s="236"/>
      <c r="B25" s="105" t="s">
        <v>173</v>
      </c>
      <c r="C25" s="237">
        <v>17781</v>
      </c>
      <c r="D25" s="218">
        <v>465744</v>
      </c>
      <c r="E25" s="75"/>
      <c r="F25" s="75"/>
      <c r="G25" s="75"/>
      <c r="H25" s="75"/>
      <c r="I25" s="75"/>
      <c r="J25" s="75"/>
      <c r="K25" s="75"/>
      <c r="L25" s="75"/>
      <c r="M25" s="75"/>
      <c r="N25" s="75"/>
      <c r="O25" s="75"/>
      <c r="P25" s="198"/>
      <c r="Q25" s="79"/>
      <c r="R25" s="20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10"/>
      <c r="BV25" s="110"/>
      <c r="BW25" s="110"/>
      <c r="BX25" s="110"/>
      <c r="BY25" s="110"/>
      <c r="BZ25" s="110"/>
      <c r="CA25" s="110"/>
      <c r="CB25" s="110"/>
      <c r="CC25" s="110"/>
      <c r="CD25" s="110"/>
      <c r="CE25" s="110"/>
      <c r="CF25" s="110"/>
      <c r="CG25" s="110"/>
      <c r="CH25" s="110"/>
    </row>
    <row r="26" spans="1:86" ht="20.100000000000001" customHeight="1" x14ac:dyDescent="0.2">
      <c r="A26" s="100" t="s">
        <v>178</v>
      </c>
      <c r="B26" s="100" t="s">
        <v>169</v>
      </c>
      <c r="C26" s="235">
        <v>1141</v>
      </c>
      <c r="D26" s="75">
        <v>124681</v>
      </c>
      <c r="E26" s="75"/>
      <c r="F26" s="75"/>
      <c r="G26" s="75"/>
      <c r="H26" s="75"/>
      <c r="I26" s="75"/>
      <c r="J26" s="75"/>
      <c r="K26" s="75"/>
      <c r="L26" s="75"/>
      <c r="M26" s="75"/>
      <c r="N26" s="75"/>
      <c r="O26" s="75"/>
      <c r="P26" s="198"/>
      <c r="Q26" s="79"/>
      <c r="R26" s="20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10"/>
      <c r="BV26" s="110"/>
      <c r="BW26" s="110"/>
      <c r="BX26" s="110"/>
      <c r="BY26" s="110"/>
      <c r="BZ26" s="110"/>
      <c r="CA26" s="110"/>
      <c r="CB26" s="110"/>
      <c r="CC26" s="110"/>
      <c r="CD26" s="110"/>
      <c r="CE26" s="110"/>
      <c r="CF26" s="110"/>
      <c r="CG26" s="110"/>
      <c r="CH26" s="110"/>
    </row>
    <row r="27" spans="1:86" ht="20.100000000000001" customHeight="1" x14ac:dyDescent="0.2">
      <c r="A27" s="236"/>
      <c r="B27" s="105" t="s">
        <v>170</v>
      </c>
      <c r="C27" s="237">
        <v>17862</v>
      </c>
      <c r="D27" s="75">
        <v>175762</v>
      </c>
      <c r="E27" s="75"/>
      <c r="F27" s="75"/>
      <c r="G27" s="75"/>
      <c r="H27" s="75"/>
      <c r="I27" s="75"/>
      <c r="J27" s="75"/>
      <c r="K27" s="75"/>
      <c r="L27" s="75"/>
      <c r="M27" s="75"/>
      <c r="N27" s="75"/>
      <c r="O27" s="75"/>
      <c r="P27" s="198"/>
      <c r="Q27" s="79"/>
      <c r="R27" s="20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0"/>
      <c r="BL27" s="110"/>
      <c r="BM27" s="110"/>
      <c r="BN27" s="110"/>
      <c r="BO27" s="110"/>
      <c r="BP27" s="110"/>
      <c r="BQ27" s="110"/>
      <c r="BR27" s="110"/>
      <c r="BS27" s="110"/>
      <c r="BT27" s="110"/>
      <c r="BU27" s="110"/>
      <c r="BV27" s="110"/>
      <c r="BW27" s="110"/>
      <c r="BX27" s="110"/>
      <c r="BY27" s="110"/>
      <c r="BZ27" s="110"/>
      <c r="CA27" s="110"/>
      <c r="CB27" s="110"/>
      <c r="CC27" s="110"/>
      <c r="CD27" s="110"/>
      <c r="CE27" s="110"/>
      <c r="CF27" s="110"/>
      <c r="CG27" s="110"/>
      <c r="CH27" s="110"/>
    </row>
    <row r="28" spans="1:86" ht="20.100000000000001" customHeight="1" x14ac:dyDescent="0.2">
      <c r="A28" s="236"/>
      <c r="B28" s="105" t="s">
        <v>171</v>
      </c>
      <c r="C28" s="237">
        <v>11173</v>
      </c>
      <c r="D28" s="75">
        <v>128242</v>
      </c>
      <c r="E28" s="75"/>
      <c r="F28" s="75"/>
      <c r="G28" s="75"/>
      <c r="H28" s="75"/>
      <c r="I28" s="75"/>
      <c r="J28" s="75"/>
      <c r="K28" s="75"/>
      <c r="L28" s="75"/>
      <c r="M28" s="75"/>
      <c r="N28" s="75"/>
      <c r="O28" s="75"/>
      <c r="P28" s="198"/>
      <c r="Q28" s="79"/>
      <c r="R28" s="20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c r="BO28" s="110"/>
      <c r="BP28" s="110"/>
      <c r="BQ28" s="110"/>
      <c r="BR28" s="110"/>
      <c r="BS28" s="110"/>
      <c r="BT28" s="110"/>
      <c r="BU28" s="110"/>
      <c r="BV28" s="110"/>
      <c r="BW28" s="110"/>
      <c r="BX28" s="110"/>
      <c r="BY28" s="110"/>
      <c r="BZ28" s="110"/>
      <c r="CA28" s="110"/>
      <c r="CB28" s="110"/>
      <c r="CC28" s="110"/>
      <c r="CD28" s="110"/>
      <c r="CE28" s="110"/>
      <c r="CF28" s="110"/>
      <c r="CG28" s="110"/>
      <c r="CH28" s="110"/>
    </row>
    <row r="29" spans="1:86" ht="20.100000000000001" customHeight="1" x14ac:dyDescent="0.2">
      <c r="A29" s="236"/>
      <c r="B29" s="105" t="s">
        <v>173</v>
      </c>
      <c r="C29" s="237">
        <v>15295</v>
      </c>
      <c r="D29" s="218">
        <v>202769</v>
      </c>
      <c r="E29" s="75"/>
      <c r="F29" s="75"/>
      <c r="G29" s="75"/>
      <c r="H29" s="75"/>
      <c r="I29" s="75"/>
      <c r="J29" s="75"/>
      <c r="K29" s="75"/>
      <c r="L29" s="75"/>
      <c r="M29" s="75"/>
      <c r="N29" s="75"/>
      <c r="O29" s="75"/>
      <c r="P29" s="198"/>
      <c r="Q29" s="79"/>
      <c r="R29" s="20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c r="BX29" s="110"/>
      <c r="BY29" s="110"/>
      <c r="BZ29" s="110"/>
      <c r="CA29" s="110"/>
      <c r="CB29" s="110"/>
      <c r="CC29" s="110"/>
      <c r="CD29" s="110"/>
      <c r="CE29" s="110"/>
      <c r="CF29" s="110"/>
      <c r="CG29" s="110"/>
      <c r="CH29" s="110"/>
    </row>
    <row r="30" spans="1:86" ht="20.100000000000001" customHeight="1" x14ac:dyDescent="0.2">
      <c r="A30" s="100" t="s">
        <v>179</v>
      </c>
      <c r="B30" s="100" t="s">
        <v>169</v>
      </c>
      <c r="C30" s="235">
        <v>1008</v>
      </c>
      <c r="D30" s="75">
        <v>209701</v>
      </c>
      <c r="E30" s="75"/>
      <c r="F30" s="75"/>
      <c r="G30" s="75"/>
      <c r="H30" s="75"/>
      <c r="I30" s="75"/>
      <c r="J30" s="75"/>
      <c r="K30" s="75"/>
      <c r="L30" s="75"/>
      <c r="M30" s="75"/>
      <c r="N30" s="75"/>
      <c r="O30" s="75"/>
      <c r="P30" s="198"/>
      <c r="Q30" s="79"/>
      <c r="R30" s="20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10"/>
      <c r="BS30" s="110"/>
      <c r="BT30" s="110"/>
      <c r="BU30" s="110"/>
      <c r="BV30" s="110"/>
      <c r="BW30" s="110"/>
      <c r="BX30" s="110"/>
      <c r="BY30" s="110"/>
      <c r="BZ30" s="110"/>
      <c r="CA30" s="110"/>
      <c r="CB30" s="110"/>
      <c r="CC30" s="110"/>
      <c r="CD30" s="110"/>
      <c r="CE30" s="110"/>
      <c r="CF30" s="110"/>
      <c r="CG30" s="110"/>
      <c r="CH30" s="110"/>
    </row>
    <row r="31" spans="1:86" ht="20.100000000000001" customHeight="1" x14ac:dyDescent="0.2">
      <c r="A31" s="236"/>
      <c r="B31" s="105" t="s">
        <v>170</v>
      </c>
      <c r="C31" s="237">
        <v>10035</v>
      </c>
      <c r="D31" s="75">
        <v>91571</v>
      </c>
      <c r="E31" s="75"/>
      <c r="F31" s="75"/>
      <c r="G31" s="75"/>
      <c r="H31" s="75"/>
      <c r="I31" s="75"/>
      <c r="J31" s="75"/>
      <c r="K31" s="75"/>
      <c r="L31" s="75"/>
      <c r="M31" s="75"/>
      <c r="N31" s="75"/>
      <c r="O31" s="75"/>
      <c r="P31" s="198"/>
      <c r="Q31" s="79"/>
      <c r="R31" s="20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c r="CF31" s="110"/>
      <c r="CG31" s="110"/>
      <c r="CH31" s="110"/>
    </row>
    <row r="32" spans="1:86" ht="20.100000000000001" customHeight="1" x14ac:dyDescent="0.2">
      <c r="A32" s="236"/>
      <c r="B32" s="105" t="s">
        <v>171</v>
      </c>
      <c r="C32" s="237">
        <v>18478</v>
      </c>
      <c r="D32" s="214">
        <v>164729</v>
      </c>
      <c r="E32" s="75"/>
      <c r="F32" s="75"/>
      <c r="G32" s="75"/>
      <c r="H32" s="75"/>
      <c r="I32" s="75"/>
      <c r="J32" s="75"/>
      <c r="K32" s="75"/>
      <c r="L32" s="75"/>
      <c r="M32" s="75"/>
      <c r="N32" s="75"/>
      <c r="O32" s="75"/>
      <c r="P32" s="198"/>
      <c r="Q32" s="79"/>
      <c r="R32" s="20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c r="AX32" s="110"/>
      <c r="AY32" s="110"/>
      <c r="AZ32" s="110"/>
      <c r="BA32" s="110"/>
      <c r="BB32" s="110"/>
      <c r="BC32" s="110"/>
      <c r="BD32" s="110"/>
      <c r="BE32" s="110"/>
      <c r="BF32" s="110"/>
      <c r="BG32" s="110"/>
      <c r="BH32" s="110"/>
      <c r="BI32" s="110"/>
      <c r="BJ32" s="110"/>
      <c r="BK32" s="110"/>
      <c r="BL32" s="110"/>
      <c r="BM32" s="110"/>
      <c r="BN32" s="110"/>
      <c r="BO32" s="110"/>
      <c r="BP32" s="110"/>
      <c r="BQ32" s="110"/>
      <c r="BR32" s="110"/>
      <c r="BS32" s="110"/>
      <c r="BT32" s="110"/>
      <c r="BU32" s="110"/>
      <c r="BV32" s="110"/>
      <c r="BW32" s="110"/>
      <c r="BX32" s="110"/>
      <c r="BY32" s="110"/>
      <c r="BZ32" s="110"/>
      <c r="CA32" s="110"/>
      <c r="CB32" s="110"/>
      <c r="CC32" s="110"/>
      <c r="CD32" s="110"/>
      <c r="CE32" s="110"/>
      <c r="CF32" s="110"/>
      <c r="CG32" s="110"/>
      <c r="CH32" s="110"/>
    </row>
    <row r="33" spans="1:86" ht="20.100000000000001" customHeight="1" x14ac:dyDescent="0.2">
      <c r="A33" s="236"/>
      <c r="B33" s="105" t="s">
        <v>173</v>
      </c>
      <c r="C33" s="237">
        <v>25826</v>
      </c>
      <c r="D33" s="218">
        <v>763929</v>
      </c>
      <c r="E33" s="75"/>
      <c r="F33" s="75"/>
      <c r="G33" s="75"/>
      <c r="H33" s="75"/>
      <c r="I33" s="75"/>
      <c r="J33" s="75"/>
      <c r="K33" s="75"/>
      <c r="L33" s="75"/>
      <c r="M33" s="75"/>
      <c r="N33" s="75"/>
      <c r="O33" s="75"/>
      <c r="P33" s="198"/>
      <c r="Q33" s="79"/>
      <c r="R33" s="20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0"/>
      <c r="BC33" s="110"/>
      <c r="BD33" s="110"/>
      <c r="BE33" s="110"/>
      <c r="BF33" s="110"/>
      <c r="BG33" s="110"/>
      <c r="BH33" s="110"/>
      <c r="BI33" s="110"/>
      <c r="BJ33" s="110"/>
      <c r="BK33" s="110"/>
      <c r="BL33" s="110"/>
      <c r="BM33" s="110"/>
      <c r="BN33" s="110"/>
      <c r="BO33" s="110"/>
      <c r="BP33" s="110"/>
      <c r="BQ33" s="110"/>
      <c r="BR33" s="110"/>
      <c r="BS33" s="110"/>
      <c r="BT33" s="110"/>
      <c r="BU33" s="110"/>
      <c r="BV33" s="110"/>
      <c r="BW33" s="110"/>
      <c r="BX33" s="110"/>
      <c r="BY33" s="110"/>
      <c r="BZ33" s="110"/>
      <c r="CA33" s="110"/>
      <c r="CB33" s="110"/>
      <c r="CC33" s="110"/>
      <c r="CD33" s="110"/>
      <c r="CE33" s="110"/>
      <c r="CF33" s="110"/>
      <c r="CG33" s="110"/>
      <c r="CH33" s="110"/>
    </row>
    <row r="34" spans="1:86" ht="20.100000000000001" customHeight="1" x14ac:dyDescent="0.2">
      <c r="A34" s="100" t="s">
        <v>180</v>
      </c>
      <c r="B34" s="100" t="s">
        <v>170</v>
      </c>
      <c r="C34" s="235">
        <v>7181</v>
      </c>
      <c r="D34" s="214">
        <v>59329</v>
      </c>
      <c r="E34" s="75"/>
      <c r="F34" s="75"/>
      <c r="G34" s="75"/>
      <c r="H34" s="75"/>
      <c r="I34" s="75"/>
      <c r="J34" s="75"/>
      <c r="K34" s="75"/>
      <c r="L34" s="75"/>
      <c r="M34" s="75"/>
      <c r="N34" s="75"/>
      <c r="O34" s="75"/>
      <c r="P34" s="198"/>
      <c r="Q34" s="79"/>
      <c r="R34" s="200"/>
      <c r="S34" s="110"/>
      <c r="T34" s="110"/>
      <c r="U34" s="110"/>
      <c r="V34" s="110"/>
      <c r="W34" s="110"/>
      <c r="X34" s="110"/>
      <c r="Y34" s="110"/>
      <c r="Z34" s="110"/>
      <c r="AA34" s="110"/>
      <c r="AB34" s="110"/>
      <c r="AC34" s="110"/>
      <c r="AD34" s="110"/>
      <c r="AE34" s="110"/>
      <c r="AF34" s="110"/>
      <c r="AG34" s="110"/>
      <c r="AH34" s="110"/>
      <c r="AI34" s="110"/>
      <c r="AJ34" s="110"/>
      <c r="AK34" s="110"/>
      <c r="AL34" s="110"/>
      <c r="AM34" s="110"/>
      <c r="AN34" s="110"/>
      <c r="AO34" s="110"/>
      <c r="AP34" s="110"/>
      <c r="AQ34" s="110"/>
      <c r="AR34" s="110"/>
      <c r="AS34" s="110"/>
      <c r="AT34" s="110"/>
      <c r="AU34" s="110"/>
      <c r="AV34" s="110"/>
      <c r="AW34" s="110"/>
      <c r="AX34" s="110"/>
      <c r="AY34" s="110"/>
      <c r="AZ34" s="110"/>
      <c r="BA34" s="110"/>
      <c r="BB34" s="110"/>
      <c r="BC34" s="110"/>
      <c r="BD34" s="110"/>
      <c r="BE34" s="110"/>
      <c r="BF34" s="110"/>
      <c r="BG34" s="110"/>
      <c r="BH34" s="110"/>
      <c r="BI34" s="110"/>
      <c r="BJ34" s="110"/>
      <c r="BK34" s="110"/>
      <c r="BL34" s="110"/>
      <c r="BM34" s="110"/>
      <c r="BN34" s="110"/>
      <c r="BO34" s="110"/>
      <c r="BP34" s="110"/>
      <c r="BQ34" s="110"/>
      <c r="BR34" s="110"/>
      <c r="BS34" s="110"/>
      <c r="BT34" s="110"/>
      <c r="BU34" s="110"/>
      <c r="BV34" s="110"/>
      <c r="BW34" s="110"/>
      <c r="BX34" s="110"/>
      <c r="BY34" s="110"/>
      <c r="BZ34" s="110"/>
      <c r="CA34" s="110"/>
      <c r="CB34" s="110"/>
      <c r="CC34" s="110"/>
      <c r="CD34" s="110"/>
      <c r="CE34" s="110"/>
      <c r="CF34" s="110"/>
      <c r="CG34" s="110"/>
      <c r="CH34" s="110"/>
    </row>
    <row r="35" spans="1:86" ht="20.100000000000001" customHeight="1" x14ac:dyDescent="0.2">
      <c r="A35" s="236"/>
      <c r="B35" s="105" t="s">
        <v>171</v>
      </c>
      <c r="C35" s="237">
        <v>29802</v>
      </c>
      <c r="D35" s="75">
        <v>646124</v>
      </c>
      <c r="E35" s="75"/>
      <c r="F35" s="75"/>
      <c r="G35" s="75"/>
      <c r="H35" s="75"/>
      <c r="I35" s="75"/>
      <c r="J35" s="75"/>
      <c r="K35" s="75"/>
      <c r="L35" s="75"/>
      <c r="M35" s="75"/>
      <c r="N35" s="75"/>
      <c r="O35" s="75"/>
      <c r="P35" s="198"/>
      <c r="Q35" s="79"/>
      <c r="R35" s="20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c r="BL35" s="110"/>
      <c r="BM35" s="110"/>
      <c r="BN35" s="110"/>
      <c r="BO35" s="110"/>
      <c r="BP35" s="110"/>
      <c r="BQ35" s="110"/>
      <c r="BR35" s="110"/>
      <c r="BS35" s="110"/>
      <c r="BT35" s="110"/>
      <c r="BU35" s="110"/>
      <c r="BV35" s="110"/>
      <c r="BW35" s="110"/>
      <c r="BX35" s="110"/>
      <c r="BY35" s="110"/>
      <c r="BZ35" s="110"/>
      <c r="CA35" s="110"/>
      <c r="CB35" s="110"/>
      <c r="CC35" s="110"/>
      <c r="CD35" s="110"/>
      <c r="CE35" s="110"/>
      <c r="CF35" s="110"/>
      <c r="CG35" s="110"/>
      <c r="CH35" s="110"/>
    </row>
    <row r="36" spans="1:86" ht="20.100000000000001" customHeight="1" x14ac:dyDescent="0.2">
      <c r="A36" s="236"/>
      <c r="B36" s="105" t="s">
        <v>173</v>
      </c>
      <c r="C36" s="237">
        <v>13103</v>
      </c>
      <c r="D36" s="218">
        <v>355999</v>
      </c>
      <c r="E36" s="75"/>
      <c r="F36" s="75"/>
      <c r="G36" s="75"/>
      <c r="H36" s="75"/>
      <c r="I36" s="75"/>
      <c r="J36" s="75"/>
      <c r="K36" s="75"/>
      <c r="L36" s="75"/>
      <c r="M36" s="75"/>
      <c r="N36" s="75"/>
      <c r="O36" s="75"/>
      <c r="P36" s="198"/>
      <c r="Q36" s="79"/>
      <c r="R36" s="200"/>
      <c r="S36" s="110"/>
      <c r="T36" s="110"/>
      <c r="U36" s="110"/>
      <c r="V36" s="110"/>
      <c r="W36" s="110"/>
      <c r="X36" s="110"/>
      <c r="Y36" s="110"/>
      <c r="Z36" s="110"/>
      <c r="AA36" s="110"/>
      <c r="AB36" s="110"/>
      <c r="AC36" s="110"/>
      <c r="AD36" s="110"/>
      <c r="AE36" s="110"/>
      <c r="AF36" s="110"/>
      <c r="AG36" s="110"/>
      <c r="AH36" s="110"/>
      <c r="AI36" s="110"/>
      <c r="AJ36" s="110"/>
      <c r="AK36" s="110"/>
      <c r="AL36" s="110"/>
      <c r="AM36" s="110"/>
      <c r="AN36" s="110"/>
      <c r="AO36" s="110"/>
      <c r="AP36" s="110"/>
      <c r="AQ36" s="110"/>
      <c r="AR36" s="110"/>
      <c r="AS36" s="110"/>
      <c r="AT36" s="110"/>
      <c r="AU36" s="110"/>
      <c r="AV36" s="110"/>
      <c r="AW36" s="110"/>
      <c r="AX36" s="110"/>
      <c r="AY36" s="110"/>
      <c r="AZ36" s="110"/>
      <c r="BA36" s="110"/>
      <c r="BB36" s="110"/>
      <c r="BC36" s="110"/>
      <c r="BD36" s="110"/>
      <c r="BE36" s="110"/>
      <c r="BF36" s="110"/>
      <c r="BG36" s="110"/>
      <c r="BH36" s="110"/>
      <c r="BI36" s="110"/>
      <c r="BJ36" s="110"/>
      <c r="BK36" s="110"/>
      <c r="BL36" s="110"/>
      <c r="BM36" s="110"/>
      <c r="BN36" s="110"/>
      <c r="BO36" s="110"/>
      <c r="BP36" s="110"/>
      <c r="BQ36" s="110"/>
      <c r="BR36" s="110"/>
      <c r="BS36" s="110"/>
      <c r="BT36" s="110"/>
      <c r="BU36" s="110"/>
      <c r="BV36" s="110"/>
      <c r="BW36" s="110"/>
      <c r="BX36" s="110"/>
      <c r="BY36" s="110"/>
      <c r="BZ36" s="110"/>
      <c r="CA36" s="110"/>
      <c r="CB36" s="110"/>
      <c r="CC36" s="110"/>
      <c r="CD36" s="110"/>
      <c r="CE36" s="110"/>
      <c r="CF36" s="110"/>
      <c r="CG36" s="110"/>
      <c r="CH36" s="110"/>
    </row>
    <row r="37" spans="1:86" ht="20.100000000000001" customHeight="1" x14ac:dyDescent="0.2">
      <c r="A37" s="100" t="s">
        <v>181</v>
      </c>
      <c r="B37" s="100" t="s">
        <v>169</v>
      </c>
      <c r="C37" s="235">
        <v>938</v>
      </c>
      <c r="D37" s="214">
        <v>202894</v>
      </c>
      <c r="E37" s="75"/>
      <c r="F37" s="75"/>
      <c r="G37" s="75"/>
      <c r="H37" s="75"/>
      <c r="I37" s="75"/>
      <c r="J37" s="75"/>
      <c r="K37" s="75"/>
      <c r="L37" s="75"/>
      <c r="M37" s="75"/>
      <c r="N37" s="75"/>
      <c r="O37" s="75"/>
      <c r="P37" s="198"/>
      <c r="Q37" s="79"/>
      <c r="R37" s="200"/>
      <c r="S37" s="110"/>
      <c r="T37" s="110"/>
      <c r="U37" s="110"/>
      <c r="V37" s="110"/>
      <c r="W37" s="110"/>
      <c r="X37" s="110"/>
      <c r="Y37" s="110"/>
      <c r="Z37" s="110"/>
      <c r="AA37" s="110"/>
      <c r="AB37" s="110"/>
      <c r="AC37" s="110"/>
      <c r="AD37" s="110"/>
      <c r="AE37" s="110"/>
      <c r="AF37" s="110"/>
      <c r="AG37" s="110"/>
      <c r="AH37" s="110"/>
      <c r="AI37" s="110"/>
      <c r="AJ37" s="110"/>
      <c r="AK37" s="110"/>
      <c r="AL37" s="110"/>
      <c r="AM37" s="110"/>
      <c r="AN37" s="110"/>
      <c r="AO37" s="110"/>
      <c r="AP37" s="110"/>
      <c r="AQ37" s="110"/>
      <c r="AR37" s="110"/>
      <c r="AS37" s="110"/>
      <c r="AT37" s="110"/>
      <c r="AU37" s="110"/>
      <c r="AV37" s="110"/>
      <c r="AW37" s="110"/>
      <c r="AX37" s="110"/>
      <c r="AY37" s="110"/>
      <c r="AZ37" s="110"/>
      <c r="BA37" s="110"/>
      <c r="BB37" s="110"/>
      <c r="BC37" s="110"/>
      <c r="BD37" s="110"/>
      <c r="BE37" s="110"/>
      <c r="BF37" s="110"/>
      <c r="BG37" s="110"/>
      <c r="BH37" s="110"/>
      <c r="BI37" s="110"/>
      <c r="BJ37" s="110"/>
      <c r="BK37" s="110"/>
      <c r="BL37" s="110"/>
      <c r="BM37" s="110"/>
      <c r="BN37" s="110"/>
      <c r="BO37" s="110"/>
      <c r="BP37" s="110"/>
      <c r="BQ37" s="110"/>
      <c r="BR37" s="110"/>
      <c r="BS37" s="110"/>
      <c r="BT37" s="110"/>
      <c r="BU37" s="110"/>
      <c r="BV37" s="110"/>
      <c r="BW37" s="110"/>
      <c r="BX37" s="110"/>
      <c r="BY37" s="110"/>
      <c r="BZ37" s="110"/>
      <c r="CA37" s="110"/>
      <c r="CB37" s="110"/>
      <c r="CC37" s="110"/>
      <c r="CD37" s="110"/>
      <c r="CE37" s="110"/>
      <c r="CF37" s="110"/>
      <c r="CG37" s="110"/>
      <c r="CH37" s="110"/>
    </row>
    <row r="38" spans="1:86" ht="20.100000000000001" customHeight="1" x14ac:dyDescent="0.2">
      <c r="A38" s="236"/>
      <c r="B38" s="105" t="s">
        <v>170</v>
      </c>
      <c r="C38" s="237">
        <v>1860</v>
      </c>
      <c r="D38" s="75">
        <v>28877</v>
      </c>
      <c r="E38" s="75"/>
      <c r="F38" s="75"/>
      <c r="G38" s="75"/>
      <c r="H38" s="75"/>
      <c r="I38" s="75"/>
      <c r="J38" s="75"/>
      <c r="K38" s="75"/>
      <c r="L38" s="75"/>
      <c r="M38" s="75"/>
      <c r="N38" s="75"/>
      <c r="O38" s="75"/>
      <c r="P38" s="198"/>
      <c r="Q38" s="79"/>
      <c r="R38" s="200"/>
      <c r="S38" s="110"/>
      <c r="T38" s="110"/>
      <c r="U38" s="110"/>
      <c r="V38" s="110"/>
      <c r="W38" s="110"/>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0"/>
      <c r="BM38" s="110"/>
      <c r="BN38" s="110"/>
      <c r="BO38" s="110"/>
      <c r="BP38" s="110"/>
      <c r="BQ38" s="110"/>
      <c r="BR38" s="110"/>
      <c r="BS38" s="110"/>
      <c r="BT38" s="110"/>
      <c r="BU38" s="110"/>
      <c r="BV38" s="110"/>
      <c r="BW38" s="110"/>
      <c r="BX38" s="110"/>
      <c r="BY38" s="110"/>
      <c r="BZ38" s="110"/>
      <c r="CA38" s="110"/>
      <c r="CB38" s="110"/>
      <c r="CC38" s="110"/>
      <c r="CD38" s="110"/>
      <c r="CE38" s="110"/>
      <c r="CF38" s="110"/>
      <c r="CG38" s="110"/>
      <c r="CH38" s="110"/>
    </row>
    <row r="39" spans="1:86" ht="20.100000000000001" customHeight="1" x14ac:dyDescent="0.2">
      <c r="A39" s="236"/>
      <c r="B39" s="105" t="s">
        <v>171</v>
      </c>
      <c r="C39" s="237">
        <v>23428</v>
      </c>
      <c r="D39" s="75">
        <v>277048</v>
      </c>
      <c r="E39" s="75"/>
      <c r="F39" s="75"/>
      <c r="G39" s="75"/>
      <c r="H39" s="75"/>
      <c r="I39" s="75"/>
      <c r="J39" s="75"/>
      <c r="K39" s="75"/>
      <c r="L39" s="75"/>
      <c r="M39" s="75"/>
      <c r="N39" s="75"/>
      <c r="O39" s="75"/>
      <c r="P39" s="198"/>
      <c r="Q39" s="79"/>
      <c r="R39" s="200"/>
      <c r="S39" s="110"/>
      <c r="T39" s="110"/>
      <c r="U39" s="110"/>
      <c r="V39" s="110"/>
      <c r="W39" s="110"/>
      <c r="X39" s="110"/>
      <c r="Y39" s="110"/>
      <c r="Z39" s="110"/>
      <c r="AA39" s="110"/>
      <c r="AB39" s="110"/>
      <c r="AC39" s="110"/>
      <c r="AD39" s="110"/>
      <c r="AE39" s="110"/>
      <c r="AF39" s="110"/>
      <c r="AG39" s="110"/>
      <c r="AH39" s="110"/>
      <c r="AI39" s="110"/>
      <c r="AJ39" s="110"/>
      <c r="AK39" s="110"/>
      <c r="AL39" s="110"/>
      <c r="AM39" s="110"/>
      <c r="AN39" s="110"/>
      <c r="AO39" s="110"/>
      <c r="AP39" s="110"/>
      <c r="AQ39" s="110"/>
      <c r="AR39" s="110"/>
      <c r="AS39" s="110"/>
      <c r="AT39" s="110"/>
      <c r="AU39" s="110"/>
      <c r="AV39" s="110"/>
      <c r="AW39" s="110"/>
      <c r="AX39" s="110"/>
      <c r="AY39" s="110"/>
      <c r="AZ39" s="110"/>
      <c r="BA39" s="110"/>
      <c r="BB39" s="110"/>
      <c r="BC39" s="110"/>
      <c r="BD39" s="110"/>
      <c r="BE39" s="110"/>
      <c r="BF39" s="110"/>
      <c r="BG39" s="110"/>
      <c r="BH39" s="110"/>
      <c r="BI39" s="110"/>
      <c r="BJ39" s="110"/>
      <c r="BK39" s="110"/>
      <c r="BL39" s="110"/>
      <c r="BM39" s="110"/>
      <c r="BN39" s="110"/>
      <c r="BO39" s="110"/>
      <c r="BP39" s="110"/>
      <c r="BQ39" s="110"/>
      <c r="BR39" s="110"/>
      <c r="BS39" s="110"/>
      <c r="BT39" s="110"/>
      <c r="BU39" s="110"/>
      <c r="BV39" s="110"/>
      <c r="BW39" s="110"/>
      <c r="BX39" s="110"/>
      <c r="BY39" s="110"/>
      <c r="BZ39" s="110"/>
      <c r="CA39" s="110"/>
      <c r="CB39" s="110"/>
      <c r="CC39" s="110"/>
      <c r="CD39" s="110"/>
      <c r="CE39" s="110"/>
      <c r="CF39" s="110"/>
      <c r="CG39" s="110"/>
      <c r="CH39" s="110"/>
    </row>
    <row r="40" spans="1:86" ht="20.100000000000001" customHeight="1" x14ac:dyDescent="0.2">
      <c r="A40" s="236"/>
      <c r="B40" s="105" t="s">
        <v>173</v>
      </c>
      <c r="C40" s="237">
        <v>2917</v>
      </c>
      <c r="D40" s="218">
        <v>86839</v>
      </c>
      <c r="E40" s="75"/>
      <c r="F40" s="75"/>
      <c r="G40" s="75"/>
      <c r="H40" s="75"/>
      <c r="I40" s="75"/>
      <c r="J40" s="75"/>
      <c r="K40" s="75"/>
      <c r="L40" s="75"/>
      <c r="M40" s="75"/>
      <c r="N40" s="75"/>
      <c r="O40" s="75"/>
      <c r="P40" s="198"/>
      <c r="Q40" s="79"/>
      <c r="R40" s="200"/>
      <c r="S40" s="110"/>
      <c r="T40" s="110"/>
      <c r="U40" s="110"/>
      <c r="V40" s="110"/>
      <c r="W40" s="110"/>
      <c r="X40" s="110"/>
      <c r="Y40" s="110"/>
      <c r="Z40" s="110"/>
      <c r="AA40" s="110"/>
      <c r="AB40" s="110"/>
      <c r="AC40" s="110"/>
      <c r="AD40" s="110"/>
      <c r="AE40" s="110"/>
      <c r="AF40" s="110"/>
      <c r="AG40" s="110"/>
      <c r="AH40" s="110"/>
      <c r="AI40" s="110"/>
      <c r="AJ40" s="110"/>
      <c r="AK40" s="110"/>
      <c r="AL40" s="110"/>
      <c r="AM40" s="110"/>
      <c r="AN40" s="110"/>
      <c r="AO40" s="110"/>
      <c r="AP40" s="110"/>
      <c r="AQ40" s="110"/>
      <c r="AR40" s="110"/>
      <c r="AS40" s="110"/>
      <c r="AT40" s="110"/>
      <c r="AU40" s="110"/>
      <c r="AV40" s="110"/>
      <c r="AW40" s="110"/>
      <c r="AX40" s="110"/>
      <c r="AY40" s="110"/>
      <c r="AZ40" s="110"/>
      <c r="BA40" s="110"/>
      <c r="BB40" s="110"/>
      <c r="BC40" s="110"/>
      <c r="BD40" s="110"/>
      <c r="BE40" s="110"/>
      <c r="BF40" s="110"/>
      <c r="BG40" s="110"/>
      <c r="BH40" s="110"/>
      <c r="BI40" s="110"/>
      <c r="BJ40" s="110"/>
      <c r="BK40" s="110"/>
      <c r="BL40" s="110"/>
      <c r="BM40" s="110"/>
      <c r="BN40" s="110"/>
      <c r="BO40" s="110"/>
      <c r="BP40" s="110"/>
      <c r="BQ40" s="110"/>
      <c r="BR40" s="110"/>
      <c r="BS40" s="110"/>
      <c r="BT40" s="110"/>
      <c r="BU40" s="110"/>
      <c r="BV40" s="110"/>
      <c r="BW40" s="110"/>
      <c r="BX40" s="110"/>
      <c r="BY40" s="110"/>
      <c r="BZ40" s="110"/>
      <c r="CA40" s="110"/>
      <c r="CB40" s="110"/>
      <c r="CC40" s="110"/>
      <c r="CD40" s="110"/>
      <c r="CE40" s="110"/>
      <c r="CF40" s="110"/>
      <c r="CG40" s="110"/>
      <c r="CH40" s="110"/>
    </row>
    <row r="41" spans="1:86" ht="20.100000000000001" customHeight="1" x14ac:dyDescent="0.2">
      <c r="A41" s="100" t="s">
        <v>182</v>
      </c>
      <c r="B41" s="100" t="s">
        <v>169</v>
      </c>
      <c r="C41" s="235">
        <v>858</v>
      </c>
      <c r="D41" s="75">
        <v>107914</v>
      </c>
      <c r="E41" s="75"/>
      <c r="F41" s="75"/>
      <c r="G41" s="75"/>
      <c r="H41" s="75"/>
      <c r="I41" s="75"/>
      <c r="J41" s="75"/>
      <c r="K41" s="75"/>
      <c r="L41" s="75"/>
      <c r="M41" s="75"/>
      <c r="N41" s="75"/>
      <c r="O41" s="75"/>
      <c r="P41" s="198"/>
      <c r="Q41" s="79"/>
      <c r="R41" s="200"/>
      <c r="S41" s="110"/>
      <c r="T41" s="110"/>
      <c r="U41" s="110"/>
      <c r="V41" s="110"/>
      <c r="W41" s="110"/>
      <c r="X41" s="110"/>
      <c r="Y41" s="110"/>
      <c r="Z41" s="110"/>
      <c r="AA41" s="110"/>
      <c r="AB41" s="110"/>
      <c r="AC41" s="110"/>
      <c r="AD41" s="110"/>
      <c r="AE41" s="110"/>
      <c r="AF41" s="110"/>
      <c r="AG41" s="110"/>
      <c r="AH41" s="110"/>
      <c r="AI41" s="110"/>
      <c r="AJ41" s="110"/>
      <c r="AK41" s="110"/>
      <c r="AL41" s="110"/>
      <c r="AM41" s="110"/>
      <c r="AN41" s="110"/>
      <c r="AO41" s="110"/>
      <c r="AP41" s="110"/>
      <c r="AQ41" s="110"/>
      <c r="AR41" s="110"/>
      <c r="AS41" s="110"/>
      <c r="AT41" s="110"/>
      <c r="AU41" s="110"/>
      <c r="AV41" s="110"/>
      <c r="AW41" s="110"/>
      <c r="AX41" s="110"/>
      <c r="AY41" s="110"/>
      <c r="AZ41" s="110"/>
      <c r="BA41" s="110"/>
      <c r="BB41" s="110"/>
      <c r="BC41" s="110"/>
      <c r="BD41" s="110"/>
      <c r="BE41" s="110"/>
      <c r="BF41" s="110"/>
      <c r="BG41" s="110"/>
      <c r="BH41" s="110"/>
      <c r="BI41" s="110"/>
      <c r="BJ41" s="110"/>
      <c r="BK41" s="110"/>
      <c r="BL41" s="110"/>
      <c r="BM41" s="110"/>
      <c r="BN41" s="110"/>
      <c r="BO41" s="110"/>
      <c r="BP41" s="110"/>
      <c r="BQ41" s="110"/>
      <c r="BR41" s="110"/>
      <c r="BS41" s="110"/>
      <c r="BT41" s="110"/>
      <c r="BU41" s="110"/>
      <c r="BV41" s="110"/>
      <c r="BW41" s="110"/>
      <c r="BX41" s="110"/>
      <c r="BY41" s="110"/>
      <c r="BZ41" s="110"/>
      <c r="CA41" s="110"/>
      <c r="CB41" s="110"/>
      <c r="CC41" s="110"/>
      <c r="CD41" s="110"/>
      <c r="CE41" s="110"/>
      <c r="CF41" s="110"/>
      <c r="CG41" s="110"/>
      <c r="CH41" s="110"/>
    </row>
    <row r="42" spans="1:86" ht="20.100000000000001" customHeight="1" x14ac:dyDescent="0.2">
      <c r="A42" s="236"/>
      <c r="B42" s="105" t="s">
        <v>170</v>
      </c>
      <c r="C42" s="237">
        <v>2915</v>
      </c>
      <c r="D42" s="75">
        <v>32897</v>
      </c>
      <c r="E42" s="75"/>
      <c r="F42" s="75"/>
      <c r="G42" s="75"/>
      <c r="H42" s="75"/>
      <c r="I42" s="75"/>
      <c r="J42" s="75"/>
      <c r="K42" s="75"/>
      <c r="L42" s="75"/>
      <c r="M42" s="75"/>
      <c r="N42" s="75"/>
      <c r="O42" s="75"/>
      <c r="P42" s="198"/>
      <c r="Q42" s="79"/>
      <c r="R42" s="200"/>
      <c r="S42" s="110"/>
      <c r="T42" s="110"/>
      <c r="U42" s="110"/>
      <c r="V42" s="110"/>
      <c r="W42" s="110"/>
      <c r="X42" s="110"/>
      <c r="Y42" s="110"/>
      <c r="Z42" s="110"/>
      <c r="AA42" s="110"/>
      <c r="AB42" s="110"/>
      <c r="AC42" s="110"/>
      <c r="AD42" s="110"/>
      <c r="AE42" s="110"/>
      <c r="AF42" s="110"/>
      <c r="AG42" s="110"/>
      <c r="AH42" s="110"/>
      <c r="AI42" s="110"/>
      <c r="AJ42" s="110"/>
      <c r="AK42" s="110"/>
      <c r="AL42" s="110"/>
      <c r="AM42" s="110"/>
      <c r="AN42" s="110"/>
      <c r="AO42" s="110"/>
      <c r="AP42" s="110"/>
      <c r="AQ42" s="110"/>
      <c r="AR42" s="110"/>
      <c r="AS42" s="110"/>
      <c r="AT42" s="110"/>
      <c r="AU42" s="110"/>
      <c r="AV42" s="110"/>
      <c r="AW42" s="110"/>
      <c r="AX42" s="110"/>
      <c r="AY42" s="110"/>
      <c r="AZ42" s="110"/>
      <c r="BA42" s="110"/>
      <c r="BB42" s="110"/>
      <c r="BC42" s="110"/>
      <c r="BD42" s="110"/>
      <c r="BE42" s="110"/>
      <c r="BF42" s="110"/>
      <c r="BG42" s="110"/>
      <c r="BH42" s="110"/>
      <c r="BI42" s="110"/>
      <c r="BJ42" s="110"/>
      <c r="BK42" s="110"/>
      <c r="BL42" s="110"/>
      <c r="BM42" s="110"/>
      <c r="BN42" s="110"/>
      <c r="BO42" s="110"/>
      <c r="BP42" s="110"/>
      <c r="BQ42" s="110"/>
      <c r="BR42" s="110"/>
      <c r="BS42" s="110"/>
      <c r="BT42" s="110"/>
      <c r="BU42" s="110"/>
      <c r="BV42" s="110"/>
      <c r="BW42" s="110"/>
      <c r="BX42" s="110"/>
      <c r="BY42" s="110"/>
      <c r="BZ42" s="110"/>
      <c r="CA42" s="110"/>
      <c r="CB42" s="110"/>
      <c r="CC42" s="110"/>
      <c r="CD42" s="110"/>
      <c r="CE42" s="110"/>
      <c r="CF42" s="110"/>
      <c r="CG42" s="110"/>
      <c r="CH42" s="110"/>
    </row>
    <row r="43" spans="1:86" ht="20.100000000000001" customHeight="1" x14ac:dyDescent="0.2">
      <c r="A43" s="236"/>
      <c r="B43" s="105" t="s">
        <v>171</v>
      </c>
      <c r="C43" s="237">
        <v>12279</v>
      </c>
      <c r="D43" s="75">
        <v>180691</v>
      </c>
      <c r="E43" s="75"/>
      <c r="F43" s="75"/>
      <c r="G43" s="75"/>
      <c r="H43" s="75"/>
      <c r="I43" s="75"/>
      <c r="J43" s="75"/>
      <c r="K43" s="75"/>
      <c r="L43" s="75"/>
      <c r="M43" s="75"/>
      <c r="N43" s="75"/>
      <c r="O43" s="75"/>
      <c r="P43" s="198"/>
      <c r="Q43" s="79"/>
      <c r="R43" s="200"/>
      <c r="S43" s="110"/>
      <c r="T43" s="110"/>
      <c r="U43" s="110"/>
      <c r="V43" s="110"/>
      <c r="W43" s="110"/>
      <c r="X43" s="110"/>
      <c r="Y43" s="110"/>
      <c r="Z43" s="110"/>
      <c r="AA43" s="110"/>
      <c r="AB43" s="110"/>
      <c r="AC43" s="110"/>
      <c r="AD43" s="110"/>
      <c r="AE43" s="110"/>
      <c r="AF43" s="110"/>
      <c r="AG43" s="110"/>
      <c r="AH43" s="110"/>
      <c r="AI43" s="110"/>
      <c r="AJ43" s="110"/>
      <c r="AK43" s="110"/>
      <c r="AL43" s="110"/>
      <c r="AM43" s="110"/>
      <c r="AN43" s="110"/>
      <c r="AO43" s="110"/>
      <c r="AP43" s="110"/>
      <c r="AQ43" s="110"/>
      <c r="AR43" s="110"/>
      <c r="AS43" s="110"/>
      <c r="AT43" s="110"/>
      <c r="AU43" s="110"/>
      <c r="AV43" s="110"/>
      <c r="AW43" s="110"/>
      <c r="AX43" s="110"/>
      <c r="AY43" s="110"/>
      <c r="AZ43" s="110"/>
      <c r="BA43" s="110"/>
      <c r="BB43" s="110"/>
      <c r="BC43" s="110"/>
      <c r="BD43" s="110"/>
      <c r="BE43" s="110"/>
      <c r="BF43" s="110"/>
      <c r="BG43" s="110"/>
      <c r="BH43" s="110"/>
      <c r="BI43" s="110"/>
      <c r="BJ43" s="110"/>
      <c r="BK43" s="110"/>
      <c r="BL43" s="110"/>
      <c r="BM43" s="110"/>
      <c r="BN43" s="110"/>
      <c r="BO43" s="110"/>
      <c r="BP43" s="110"/>
      <c r="BQ43" s="110"/>
      <c r="BR43" s="110"/>
      <c r="BS43" s="110"/>
      <c r="BT43" s="110"/>
      <c r="BU43" s="110"/>
      <c r="BV43" s="110"/>
      <c r="BW43" s="110"/>
      <c r="BX43" s="110"/>
      <c r="BY43" s="110"/>
      <c r="BZ43" s="110"/>
      <c r="CA43" s="110"/>
      <c r="CB43" s="110"/>
      <c r="CC43" s="110"/>
      <c r="CD43" s="110"/>
      <c r="CE43" s="110"/>
      <c r="CF43" s="110"/>
      <c r="CG43" s="110"/>
      <c r="CH43" s="110"/>
    </row>
    <row r="44" spans="1:86" ht="20.100000000000001" customHeight="1" x14ac:dyDescent="0.2">
      <c r="A44" s="236"/>
      <c r="B44" s="105" t="s">
        <v>173</v>
      </c>
      <c r="C44" s="243">
        <v>3532</v>
      </c>
      <c r="D44" s="75">
        <v>50624</v>
      </c>
      <c r="E44" s="75"/>
      <c r="F44" s="75"/>
      <c r="G44" s="75"/>
      <c r="H44" s="75"/>
      <c r="I44" s="75"/>
      <c r="J44" s="75"/>
      <c r="K44" s="75"/>
      <c r="L44" s="75"/>
      <c r="M44" s="75"/>
      <c r="N44" s="75"/>
      <c r="O44" s="75"/>
      <c r="P44" s="198"/>
      <c r="Q44" s="79"/>
      <c r="R44" s="200"/>
      <c r="S44" s="110"/>
      <c r="T44" s="110"/>
      <c r="U44" s="110"/>
      <c r="V44" s="110"/>
      <c r="W44" s="110"/>
      <c r="X44" s="110"/>
      <c r="Y44" s="110"/>
      <c r="Z44" s="110"/>
      <c r="AA44" s="110"/>
      <c r="AB44" s="110"/>
      <c r="AC44" s="110"/>
      <c r="AD44" s="110"/>
      <c r="AE44" s="110"/>
      <c r="AF44" s="110"/>
      <c r="AG44" s="110"/>
      <c r="AH44" s="110"/>
      <c r="AI44" s="110"/>
      <c r="AJ44" s="110"/>
      <c r="AK44" s="110"/>
      <c r="AL44" s="110"/>
      <c r="AM44" s="110"/>
      <c r="AN44" s="110"/>
      <c r="AO44" s="110"/>
      <c r="AP44" s="110"/>
      <c r="AQ44" s="110"/>
      <c r="AR44" s="110"/>
      <c r="AS44" s="110"/>
      <c r="AT44" s="110"/>
      <c r="AU44" s="110"/>
      <c r="AV44" s="110"/>
      <c r="AW44" s="110"/>
      <c r="AX44" s="110"/>
      <c r="AY44" s="110"/>
      <c r="AZ44" s="110"/>
      <c r="BA44" s="110"/>
      <c r="BB44" s="110"/>
      <c r="BC44" s="110"/>
      <c r="BD44" s="110"/>
      <c r="BE44" s="110"/>
      <c r="BF44" s="110"/>
      <c r="BG44" s="110"/>
      <c r="BH44" s="110"/>
      <c r="BI44" s="110"/>
      <c r="BJ44" s="110"/>
      <c r="BK44" s="110"/>
      <c r="BL44" s="110"/>
      <c r="BM44" s="110"/>
      <c r="BN44" s="110"/>
      <c r="BO44" s="110"/>
      <c r="BP44" s="110"/>
      <c r="BQ44" s="110"/>
      <c r="BR44" s="110"/>
      <c r="BS44" s="110"/>
      <c r="BT44" s="110"/>
      <c r="BU44" s="110"/>
      <c r="BV44" s="110"/>
      <c r="BW44" s="110"/>
      <c r="BX44" s="110"/>
      <c r="BY44" s="110"/>
      <c r="BZ44" s="110"/>
      <c r="CA44" s="110"/>
      <c r="CB44" s="110"/>
      <c r="CC44" s="110"/>
      <c r="CD44" s="110"/>
      <c r="CE44" s="110"/>
      <c r="CF44" s="110"/>
      <c r="CG44" s="110"/>
      <c r="CH44" s="110"/>
    </row>
    <row r="45" spans="1:86" ht="21.75" customHeight="1" x14ac:dyDescent="0.2">
      <c r="A45" s="244" t="s">
        <v>29</v>
      </c>
      <c r="B45" s="245">
        <f>SUM(B8:B40)</f>
        <v>0</v>
      </c>
      <c r="C45" s="245">
        <f>SUM(C8:C44)</f>
        <v>506117</v>
      </c>
      <c r="D45" s="245">
        <f>SUM(D8:D44)</f>
        <v>11495227</v>
      </c>
      <c r="E45" s="227"/>
      <c r="F45" s="227"/>
      <c r="G45" s="227"/>
      <c r="H45" s="227"/>
      <c r="I45" s="227"/>
      <c r="J45" s="227"/>
      <c r="K45" s="227"/>
      <c r="L45" s="227"/>
      <c r="M45" s="227"/>
      <c r="N45" s="227"/>
      <c r="O45" s="227"/>
      <c r="P45" s="227"/>
      <c r="Q45" s="79"/>
      <c r="R45" s="20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10"/>
      <c r="AR45" s="110"/>
      <c r="AS45" s="110"/>
      <c r="AT45" s="110"/>
      <c r="AU45" s="110"/>
      <c r="AV45" s="110"/>
      <c r="AW45" s="110"/>
      <c r="AX45" s="110"/>
      <c r="AY45" s="110"/>
      <c r="AZ45" s="110"/>
      <c r="BA45" s="110"/>
      <c r="BB45" s="110"/>
      <c r="BC45" s="110"/>
      <c r="BD45" s="110"/>
      <c r="BE45" s="110"/>
      <c r="BF45" s="110"/>
      <c r="BG45" s="110"/>
      <c r="BH45" s="110"/>
      <c r="BI45" s="110"/>
      <c r="BJ45" s="110"/>
      <c r="BK45" s="110"/>
      <c r="BL45" s="110"/>
      <c r="BM45" s="110"/>
      <c r="BN45" s="110"/>
      <c r="BO45" s="110"/>
      <c r="BP45" s="110"/>
      <c r="BQ45" s="110"/>
      <c r="BR45" s="110"/>
      <c r="BS45" s="110"/>
      <c r="BT45" s="110"/>
      <c r="BU45" s="110"/>
      <c r="BV45" s="110"/>
      <c r="BW45" s="110"/>
      <c r="BX45" s="110"/>
      <c r="BY45" s="110"/>
      <c r="BZ45" s="110"/>
      <c r="CA45" s="110"/>
      <c r="CB45" s="110"/>
      <c r="CC45" s="110"/>
      <c r="CD45" s="110"/>
      <c r="CE45" s="110"/>
      <c r="CF45" s="110"/>
      <c r="CG45" s="110"/>
      <c r="CH45" s="110"/>
    </row>
    <row r="46" spans="1:86" x14ac:dyDescent="0.2">
      <c r="A46" s="1305" t="s">
        <v>144</v>
      </c>
      <c r="B46" s="1305"/>
      <c r="C46" s="1305"/>
      <c r="D46" s="1305"/>
      <c r="E46" s="1305"/>
      <c r="F46" s="1305"/>
      <c r="G46" s="1305"/>
      <c r="H46" s="1305"/>
      <c r="I46" s="1305"/>
      <c r="J46" s="1305"/>
      <c r="K46" s="1305"/>
      <c r="L46" s="1305"/>
      <c r="M46" s="1305"/>
      <c r="N46" s="1305"/>
      <c r="O46" s="1305"/>
      <c r="P46" s="1305"/>
      <c r="Q46" s="110"/>
      <c r="R46" s="194"/>
      <c r="S46" s="110"/>
      <c r="T46" s="110"/>
      <c r="U46" s="110"/>
      <c r="V46" s="110"/>
      <c r="W46" s="110"/>
      <c r="X46" s="110"/>
      <c r="Y46" s="110"/>
      <c r="Z46" s="110"/>
      <c r="AA46" s="110"/>
      <c r="AB46" s="110"/>
      <c r="AC46" s="110"/>
      <c r="AD46" s="110"/>
      <c r="AE46" s="110"/>
      <c r="AF46" s="110"/>
      <c r="AG46" s="110"/>
      <c r="AH46" s="110"/>
      <c r="AI46" s="110"/>
      <c r="AJ46" s="110"/>
      <c r="AK46" s="110"/>
      <c r="AL46" s="110"/>
      <c r="AM46" s="110"/>
      <c r="AN46" s="110"/>
      <c r="AO46" s="110"/>
      <c r="AP46" s="110"/>
      <c r="AQ46" s="110"/>
      <c r="AR46" s="110"/>
      <c r="AS46" s="110"/>
      <c r="AT46" s="110"/>
      <c r="AU46" s="110"/>
      <c r="AV46" s="110"/>
      <c r="AW46" s="110"/>
      <c r="AX46" s="110"/>
      <c r="AY46" s="110"/>
      <c r="AZ46" s="110"/>
      <c r="BA46" s="110"/>
      <c r="BB46" s="110"/>
      <c r="BC46" s="110"/>
      <c r="BD46" s="110"/>
      <c r="BE46" s="110"/>
      <c r="BF46" s="110"/>
      <c r="BG46" s="110"/>
      <c r="BH46" s="110"/>
      <c r="BI46" s="110"/>
      <c r="BJ46" s="110"/>
      <c r="BK46" s="110"/>
      <c r="BL46" s="110"/>
      <c r="BM46" s="110"/>
      <c r="BN46" s="110"/>
      <c r="BO46" s="110"/>
      <c r="BP46" s="110"/>
      <c r="BQ46" s="110"/>
      <c r="BR46" s="110"/>
      <c r="BS46" s="110"/>
      <c r="BT46" s="110"/>
      <c r="BU46" s="110"/>
      <c r="BV46" s="110"/>
      <c r="BW46" s="110"/>
      <c r="BX46" s="110"/>
      <c r="BY46" s="110"/>
      <c r="BZ46" s="110"/>
      <c r="CA46" s="110"/>
      <c r="CB46" s="110"/>
      <c r="CC46" s="110"/>
      <c r="CD46" s="110"/>
      <c r="CE46" s="110"/>
      <c r="CF46" s="110"/>
      <c r="CG46" s="110"/>
      <c r="CH46" s="110"/>
    </row>
    <row r="47" spans="1:86" ht="21.75" customHeight="1" x14ac:dyDescent="0.2">
      <c r="A47" s="246"/>
      <c r="B47" s="247"/>
      <c r="C47" s="248">
        <f>+C45-'[5]2'!B37</f>
        <v>0</v>
      </c>
      <c r="D47" s="248"/>
      <c r="E47" s="247"/>
      <c r="F47" s="247"/>
      <c r="G47" s="247"/>
      <c r="H47" s="247"/>
      <c r="I47" s="247"/>
      <c r="J47" s="247"/>
      <c r="K47" s="247"/>
      <c r="L47" s="247"/>
      <c r="M47" s="247"/>
      <c r="N47" s="247"/>
      <c r="O47" s="247"/>
      <c r="P47" s="247"/>
      <c r="Q47" s="110"/>
      <c r="R47" s="194"/>
      <c r="S47" s="110"/>
      <c r="T47" s="110"/>
      <c r="U47" s="110"/>
      <c r="V47" s="110"/>
      <c r="W47" s="110"/>
      <c r="X47" s="110"/>
      <c r="Y47" s="110"/>
      <c r="Z47" s="110"/>
      <c r="AA47" s="110"/>
      <c r="AB47" s="110"/>
      <c r="AC47" s="110"/>
      <c r="AD47" s="110"/>
      <c r="AE47" s="110"/>
      <c r="AF47" s="110"/>
      <c r="AG47" s="110"/>
      <c r="AH47" s="110"/>
      <c r="AI47" s="110"/>
      <c r="AJ47" s="110"/>
      <c r="AK47" s="110"/>
      <c r="AL47" s="110"/>
      <c r="AM47" s="110"/>
      <c r="AN47" s="110"/>
      <c r="AO47" s="110"/>
      <c r="AP47" s="110"/>
      <c r="AQ47" s="110"/>
      <c r="AR47" s="110"/>
      <c r="AS47" s="110"/>
      <c r="AT47" s="110"/>
      <c r="AU47" s="110"/>
      <c r="AV47" s="110"/>
      <c r="AW47" s="110"/>
      <c r="AX47" s="110"/>
      <c r="AY47" s="110"/>
      <c r="AZ47" s="110"/>
      <c r="BA47" s="110"/>
      <c r="BB47" s="110"/>
      <c r="BC47" s="110"/>
      <c r="BD47" s="110"/>
      <c r="BE47" s="110"/>
      <c r="BF47" s="110"/>
      <c r="BG47" s="110"/>
      <c r="BH47" s="110"/>
      <c r="BI47" s="110"/>
      <c r="BJ47" s="110"/>
      <c r="BK47" s="110"/>
      <c r="BL47" s="110"/>
      <c r="BM47" s="110"/>
      <c r="BN47" s="110"/>
      <c r="BO47" s="110"/>
      <c r="BP47" s="110"/>
      <c r="BQ47" s="110"/>
      <c r="BR47" s="110"/>
      <c r="BS47" s="110"/>
      <c r="BT47" s="110"/>
      <c r="BU47" s="110"/>
      <c r="BV47" s="110"/>
      <c r="BW47" s="110"/>
      <c r="BX47" s="110"/>
      <c r="BY47" s="110"/>
      <c r="BZ47" s="110"/>
      <c r="CA47" s="110"/>
      <c r="CB47" s="110"/>
      <c r="CC47" s="110"/>
      <c r="CD47" s="110"/>
      <c r="CE47" s="110"/>
      <c r="CF47" s="110"/>
      <c r="CG47" s="110"/>
      <c r="CH47" s="110"/>
    </row>
    <row r="48" spans="1:86" x14ac:dyDescent="0.2">
      <c r="A48" s="110"/>
      <c r="B48" s="233"/>
      <c r="C48" s="233"/>
      <c r="D48" s="233"/>
      <c r="E48" s="233"/>
      <c r="F48" s="233"/>
      <c r="G48" s="233"/>
      <c r="H48" s="233"/>
      <c r="I48" s="233"/>
      <c r="J48" s="233"/>
      <c r="K48" s="233"/>
      <c r="L48" s="233"/>
      <c r="M48" s="233"/>
      <c r="N48" s="233"/>
      <c r="O48" s="233"/>
      <c r="P48" s="233"/>
      <c r="Q48" s="110"/>
      <c r="R48" s="194"/>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10"/>
      <c r="AR48" s="110"/>
      <c r="AS48" s="110"/>
      <c r="AT48" s="110"/>
      <c r="AU48" s="110"/>
      <c r="AV48" s="110"/>
      <c r="AW48" s="110"/>
      <c r="AX48" s="110"/>
      <c r="AY48" s="110"/>
      <c r="AZ48" s="110"/>
      <c r="BA48" s="110"/>
      <c r="BB48" s="110"/>
      <c r="BC48" s="110"/>
      <c r="BD48" s="110"/>
      <c r="BE48" s="110"/>
      <c r="BF48" s="110"/>
      <c r="BG48" s="110"/>
      <c r="BH48" s="110"/>
      <c r="BI48" s="110"/>
      <c r="BJ48" s="110"/>
      <c r="BK48" s="110"/>
      <c r="BL48" s="110"/>
      <c r="BM48" s="110"/>
      <c r="BN48" s="110"/>
      <c r="BO48" s="110"/>
      <c r="BP48" s="110"/>
      <c r="BQ48" s="110"/>
      <c r="BR48" s="110"/>
      <c r="BS48" s="110"/>
      <c r="BT48" s="110"/>
      <c r="BU48" s="110"/>
      <c r="BV48" s="110"/>
      <c r="BW48" s="110"/>
      <c r="BX48" s="110"/>
      <c r="BY48" s="110"/>
      <c r="BZ48" s="110"/>
      <c r="CA48" s="110"/>
      <c r="CB48" s="110"/>
      <c r="CC48" s="110"/>
      <c r="CD48" s="110"/>
      <c r="CE48" s="110"/>
      <c r="CF48" s="110"/>
      <c r="CG48" s="110"/>
      <c r="CH48" s="110"/>
    </row>
    <row r="49" spans="1:86" x14ac:dyDescent="0.2">
      <c r="A49" s="110"/>
      <c r="B49" s="110"/>
      <c r="C49" s="110"/>
      <c r="D49" s="110"/>
      <c r="E49" s="110"/>
      <c r="F49" s="110"/>
      <c r="G49" s="110"/>
      <c r="H49" s="110"/>
      <c r="I49" s="110"/>
      <c r="J49" s="110"/>
      <c r="K49" s="110"/>
      <c r="L49" s="110"/>
      <c r="M49" s="110"/>
      <c r="N49" s="110"/>
      <c r="O49" s="110"/>
      <c r="P49" s="110"/>
      <c r="Q49" s="110"/>
      <c r="R49" s="194"/>
      <c r="S49" s="110"/>
      <c r="T49" s="110"/>
      <c r="U49" s="110"/>
      <c r="V49" s="110"/>
      <c r="W49" s="110"/>
      <c r="X49" s="110"/>
      <c r="Y49" s="110"/>
      <c r="Z49" s="110"/>
      <c r="AA49" s="110"/>
      <c r="AB49" s="110"/>
      <c r="AC49" s="110"/>
      <c r="AD49" s="110"/>
      <c r="AE49" s="110"/>
      <c r="AF49" s="110"/>
      <c r="AG49" s="110"/>
      <c r="AH49" s="110"/>
      <c r="AI49" s="110"/>
      <c r="AJ49" s="110"/>
      <c r="AK49" s="110"/>
      <c r="AL49" s="110"/>
      <c r="AM49" s="110"/>
      <c r="AN49" s="110"/>
      <c r="AO49" s="110"/>
      <c r="AP49" s="110"/>
      <c r="AQ49" s="110"/>
      <c r="AR49" s="110"/>
      <c r="AS49" s="110"/>
      <c r="AT49" s="110"/>
      <c r="AU49" s="110"/>
      <c r="AV49" s="110"/>
      <c r="AW49" s="110"/>
      <c r="AX49" s="110"/>
      <c r="AY49" s="110"/>
      <c r="AZ49" s="110"/>
      <c r="BA49" s="110"/>
      <c r="BB49" s="110"/>
      <c r="BC49" s="110"/>
      <c r="BD49" s="110"/>
      <c r="BE49" s="110"/>
      <c r="BF49" s="110"/>
      <c r="BG49" s="110"/>
      <c r="BH49" s="110"/>
      <c r="BI49" s="110"/>
      <c r="BJ49" s="110"/>
      <c r="BK49" s="110"/>
      <c r="BL49" s="110"/>
      <c r="BM49" s="110"/>
      <c r="BN49" s="110"/>
      <c r="BO49" s="110"/>
      <c r="BP49" s="110"/>
      <c r="BQ49" s="110"/>
      <c r="BR49" s="110"/>
      <c r="BS49" s="110"/>
      <c r="BT49" s="110"/>
      <c r="BU49" s="110"/>
      <c r="BV49" s="110"/>
      <c r="BW49" s="110"/>
      <c r="BX49" s="110"/>
      <c r="BY49" s="110"/>
      <c r="BZ49" s="110"/>
      <c r="CA49" s="110"/>
      <c r="CB49" s="110"/>
      <c r="CC49" s="110"/>
      <c r="CD49" s="110"/>
      <c r="CE49" s="110"/>
      <c r="CF49" s="110"/>
      <c r="CG49" s="110"/>
      <c r="CH49" s="110"/>
    </row>
    <row r="50" spans="1:86" x14ac:dyDescent="0.2">
      <c r="A50" s="110"/>
      <c r="B50" s="204"/>
      <c r="C50" s="204"/>
      <c r="D50" s="204"/>
      <c r="E50" s="204"/>
      <c r="F50" s="204"/>
      <c r="G50" s="204"/>
      <c r="H50" s="204"/>
      <c r="I50" s="204"/>
      <c r="J50" s="204"/>
      <c r="K50" s="204"/>
      <c r="L50" s="204"/>
      <c r="M50" s="204"/>
      <c r="N50" s="204"/>
      <c r="O50" s="204"/>
      <c r="P50" s="204"/>
      <c r="Q50" s="110"/>
      <c r="R50" s="194"/>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0"/>
      <c r="AP50" s="110"/>
      <c r="AQ50" s="110"/>
      <c r="AR50" s="110"/>
      <c r="AS50" s="110"/>
      <c r="AT50" s="110"/>
      <c r="AU50" s="110"/>
      <c r="AV50" s="110"/>
      <c r="AW50" s="110"/>
      <c r="AX50" s="110"/>
      <c r="AY50" s="110"/>
      <c r="AZ50" s="110"/>
      <c r="BA50" s="110"/>
      <c r="BB50" s="110"/>
      <c r="BC50" s="110"/>
      <c r="BD50" s="110"/>
      <c r="BE50" s="110"/>
      <c r="BF50" s="110"/>
      <c r="BG50" s="110"/>
      <c r="BH50" s="110"/>
      <c r="BI50" s="110"/>
      <c r="BJ50" s="110"/>
      <c r="BK50" s="110"/>
      <c r="BL50" s="110"/>
      <c r="BM50" s="110"/>
      <c r="BN50" s="110"/>
      <c r="BO50" s="110"/>
      <c r="BP50" s="110"/>
      <c r="BQ50" s="110"/>
      <c r="BR50" s="110"/>
      <c r="BS50" s="110"/>
      <c r="BT50" s="110"/>
      <c r="BU50" s="110"/>
      <c r="BV50" s="110"/>
      <c r="BW50" s="110"/>
      <c r="BX50" s="110"/>
      <c r="BY50" s="110"/>
      <c r="BZ50" s="110"/>
      <c r="CA50" s="110"/>
      <c r="CB50" s="110"/>
      <c r="CC50" s="110"/>
      <c r="CD50" s="110"/>
      <c r="CE50" s="110"/>
      <c r="CF50" s="110"/>
      <c r="CG50" s="110"/>
      <c r="CH50" s="110"/>
    </row>
    <row r="51" spans="1:86" x14ac:dyDescent="0.2">
      <c r="A51" s="110"/>
      <c r="B51" s="110"/>
      <c r="C51" s="110"/>
      <c r="D51" s="110"/>
      <c r="E51" s="110"/>
      <c r="F51" s="110"/>
      <c r="G51" s="110"/>
      <c r="H51" s="110"/>
      <c r="I51" s="110"/>
      <c r="J51" s="110"/>
      <c r="K51" s="110"/>
      <c r="L51" s="110"/>
      <c r="M51" s="110"/>
      <c r="N51" s="110"/>
      <c r="O51" s="110"/>
      <c r="P51" s="110"/>
      <c r="Q51" s="110"/>
      <c r="R51" s="194"/>
      <c r="S51" s="110"/>
      <c r="T51" s="110"/>
      <c r="U51" s="110"/>
      <c r="V51" s="110"/>
      <c r="W51" s="110"/>
      <c r="X51" s="110"/>
      <c r="Y51" s="110"/>
      <c r="Z51" s="110"/>
      <c r="AA51" s="110"/>
      <c r="AB51" s="110"/>
      <c r="AC51" s="110"/>
      <c r="AD51" s="110"/>
      <c r="AE51" s="110"/>
      <c r="AF51" s="110"/>
      <c r="AG51" s="110"/>
      <c r="AH51" s="110"/>
      <c r="AI51" s="110"/>
      <c r="AJ51" s="110"/>
      <c r="AK51" s="110"/>
      <c r="AL51" s="110"/>
      <c r="AM51" s="110"/>
      <c r="AN51" s="110"/>
      <c r="AO51" s="110"/>
      <c r="AP51" s="110"/>
      <c r="AQ51" s="110"/>
      <c r="AR51" s="110"/>
      <c r="AS51" s="110"/>
      <c r="AT51" s="110"/>
      <c r="AU51" s="110"/>
      <c r="AV51" s="110"/>
      <c r="AW51" s="110"/>
      <c r="AX51" s="110"/>
      <c r="AY51" s="110"/>
      <c r="AZ51" s="110"/>
      <c r="BA51" s="110"/>
      <c r="BB51" s="110"/>
      <c r="BC51" s="110"/>
      <c r="BD51" s="110"/>
      <c r="BE51" s="110"/>
      <c r="BF51" s="110"/>
      <c r="BG51" s="110"/>
      <c r="BH51" s="110"/>
      <c r="BI51" s="110"/>
      <c r="BJ51" s="110"/>
      <c r="BK51" s="110"/>
      <c r="BL51" s="110"/>
      <c r="BM51" s="110"/>
      <c r="BN51" s="110"/>
      <c r="BO51" s="110"/>
      <c r="BP51" s="110"/>
      <c r="BQ51" s="110"/>
      <c r="BR51" s="110"/>
      <c r="BS51" s="110"/>
      <c r="BT51" s="110"/>
      <c r="BU51" s="110"/>
      <c r="BV51" s="110"/>
      <c r="BW51" s="110"/>
      <c r="BX51" s="110"/>
      <c r="BY51" s="110"/>
      <c r="BZ51" s="110"/>
      <c r="CA51" s="110"/>
      <c r="CB51" s="110"/>
      <c r="CC51" s="110"/>
      <c r="CD51" s="110"/>
      <c r="CE51" s="110"/>
      <c r="CF51" s="110"/>
      <c r="CG51" s="110"/>
      <c r="CH51" s="110"/>
    </row>
    <row r="52" spans="1:86" x14ac:dyDescent="0.2">
      <c r="A52" s="110"/>
      <c r="B52" s="110"/>
      <c r="C52" s="110"/>
      <c r="D52" s="110"/>
      <c r="E52" s="110"/>
      <c r="F52" s="110"/>
      <c r="G52" s="110"/>
      <c r="H52" s="110"/>
      <c r="I52" s="110"/>
      <c r="J52" s="110"/>
      <c r="K52" s="110"/>
      <c r="L52" s="110"/>
      <c r="M52" s="110"/>
      <c r="N52" s="110"/>
      <c r="O52" s="110"/>
      <c r="P52" s="110"/>
      <c r="Q52" s="110"/>
      <c r="R52" s="194"/>
      <c r="S52" s="110"/>
      <c r="T52" s="110"/>
      <c r="U52" s="110"/>
      <c r="V52" s="110"/>
      <c r="W52" s="110"/>
      <c r="X52" s="110"/>
      <c r="Y52" s="110"/>
      <c r="Z52" s="110"/>
      <c r="AA52" s="110"/>
      <c r="AB52" s="110"/>
      <c r="AC52" s="110"/>
      <c r="AD52" s="110"/>
      <c r="AE52" s="110"/>
      <c r="AF52" s="110"/>
      <c r="AG52" s="110"/>
      <c r="AH52" s="110"/>
      <c r="AI52" s="110"/>
      <c r="AJ52" s="110"/>
      <c r="AK52" s="110"/>
      <c r="AL52" s="110"/>
      <c r="AM52" s="110"/>
      <c r="AN52" s="110"/>
      <c r="AO52" s="110"/>
      <c r="AP52" s="110"/>
      <c r="AQ52" s="110"/>
      <c r="AR52" s="110"/>
      <c r="AS52" s="110"/>
      <c r="AT52" s="110"/>
      <c r="AU52" s="110"/>
      <c r="AV52" s="110"/>
      <c r="AW52" s="110"/>
      <c r="AX52" s="110"/>
      <c r="AY52" s="110"/>
      <c r="AZ52" s="110"/>
      <c r="BA52" s="110"/>
      <c r="BB52" s="110"/>
      <c r="BC52" s="110"/>
      <c r="BD52" s="110"/>
      <c r="BE52" s="110"/>
      <c r="BF52" s="110"/>
      <c r="BG52" s="110"/>
      <c r="BH52" s="110"/>
      <c r="BI52" s="110"/>
      <c r="BJ52" s="110"/>
      <c r="BK52" s="110"/>
      <c r="BL52" s="110"/>
      <c r="BM52" s="110"/>
      <c r="BN52" s="110"/>
      <c r="BO52" s="110"/>
      <c r="BP52" s="110"/>
      <c r="BQ52" s="110"/>
      <c r="BR52" s="110"/>
      <c r="BS52" s="110"/>
      <c r="BT52" s="110"/>
      <c r="BU52" s="110"/>
      <c r="BV52" s="110"/>
      <c r="BW52" s="110"/>
      <c r="BX52" s="110"/>
      <c r="BY52" s="110"/>
      <c r="BZ52" s="110"/>
      <c r="CA52" s="110"/>
      <c r="CB52" s="110"/>
      <c r="CC52" s="110"/>
      <c r="CD52" s="110"/>
      <c r="CE52" s="110"/>
      <c r="CF52" s="110"/>
      <c r="CG52" s="110"/>
      <c r="CH52" s="110"/>
    </row>
    <row r="53" spans="1:86" x14ac:dyDescent="0.2">
      <c r="A53" s="110"/>
      <c r="B53" s="110"/>
      <c r="C53" s="110"/>
      <c r="D53" s="110"/>
      <c r="E53" s="110"/>
      <c r="F53" s="110"/>
      <c r="G53" s="110"/>
      <c r="H53" s="110"/>
      <c r="I53" s="110"/>
      <c r="J53" s="110"/>
      <c r="K53" s="110"/>
      <c r="L53" s="110"/>
      <c r="M53" s="110"/>
      <c r="N53" s="110"/>
      <c r="O53" s="110"/>
      <c r="P53" s="110"/>
      <c r="Q53" s="110"/>
      <c r="R53" s="194"/>
      <c r="S53" s="110"/>
      <c r="T53" s="110"/>
      <c r="U53" s="110"/>
      <c r="V53" s="110"/>
      <c r="W53" s="110"/>
      <c r="X53" s="110"/>
      <c r="Y53" s="110"/>
      <c r="Z53" s="110"/>
      <c r="AA53" s="110"/>
      <c r="AB53" s="110"/>
      <c r="AC53" s="110"/>
      <c r="AD53" s="110"/>
      <c r="AE53" s="110"/>
      <c r="AF53" s="110"/>
      <c r="AG53" s="110"/>
      <c r="AH53" s="110"/>
      <c r="AI53" s="110"/>
      <c r="AJ53" s="110"/>
      <c r="AK53" s="110"/>
      <c r="AL53" s="110"/>
      <c r="AM53" s="110"/>
      <c r="AN53" s="110"/>
      <c r="AO53" s="110"/>
      <c r="AP53" s="110"/>
      <c r="AQ53" s="110"/>
      <c r="AR53" s="110"/>
      <c r="AS53" s="110"/>
      <c r="AT53" s="110"/>
      <c r="AU53" s="110"/>
      <c r="AV53" s="110"/>
      <c r="AW53" s="110"/>
      <c r="AX53" s="110"/>
      <c r="AY53" s="110"/>
      <c r="AZ53" s="110"/>
      <c r="BA53" s="110"/>
      <c r="BB53" s="110"/>
      <c r="BC53" s="110"/>
      <c r="BD53" s="110"/>
      <c r="BE53" s="110"/>
      <c r="BF53" s="110"/>
      <c r="BG53" s="110"/>
      <c r="BH53" s="110"/>
      <c r="BI53" s="110"/>
      <c r="BJ53" s="110"/>
      <c r="BK53" s="110"/>
      <c r="BL53" s="110"/>
      <c r="BM53" s="110"/>
      <c r="BN53" s="110"/>
      <c r="BO53" s="110"/>
      <c r="BP53" s="110"/>
      <c r="BQ53" s="110"/>
      <c r="BR53" s="110"/>
      <c r="BS53" s="110"/>
      <c r="BT53" s="110"/>
      <c r="BU53" s="110"/>
      <c r="BV53" s="110"/>
      <c r="BW53" s="110"/>
      <c r="BX53" s="110"/>
      <c r="BY53" s="110"/>
      <c r="BZ53" s="110"/>
      <c r="CA53" s="110"/>
      <c r="CB53" s="110"/>
      <c r="CC53" s="110"/>
      <c r="CD53" s="110"/>
      <c r="CE53" s="110"/>
      <c r="CF53" s="110"/>
      <c r="CG53" s="110"/>
      <c r="CH53" s="110"/>
    </row>
    <row r="54" spans="1:86" x14ac:dyDescent="0.2">
      <c r="A54" s="110"/>
      <c r="B54" s="110"/>
      <c r="C54" s="110"/>
      <c r="D54" s="110"/>
      <c r="E54" s="110"/>
      <c r="F54" s="110"/>
      <c r="G54" s="110"/>
      <c r="H54" s="110"/>
      <c r="I54" s="110"/>
      <c r="J54" s="110"/>
      <c r="K54" s="110"/>
      <c r="L54" s="110"/>
      <c r="M54" s="110"/>
      <c r="N54" s="110"/>
      <c r="O54" s="110"/>
      <c r="P54" s="110"/>
      <c r="Q54" s="110"/>
      <c r="R54" s="194"/>
      <c r="S54" s="110"/>
      <c r="T54" s="110"/>
      <c r="U54" s="110"/>
      <c r="V54" s="110"/>
      <c r="W54" s="110"/>
      <c r="X54" s="110"/>
      <c r="Y54" s="110"/>
      <c r="Z54" s="110"/>
      <c r="AA54" s="110"/>
      <c r="AB54" s="110"/>
      <c r="AC54" s="110"/>
      <c r="AD54" s="110"/>
      <c r="AE54" s="110"/>
      <c r="AF54" s="110"/>
      <c r="AG54" s="110"/>
      <c r="AH54" s="110"/>
      <c r="AI54" s="110"/>
      <c r="AJ54" s="110"/>
      <c r="AK54" s="110"/>
      <c r="AL54" s="110"/>
      <c r="AM54" s="110"/>
      <c r="AN54" s="110"/>
      <c r="AO54" s="110"/>
      <c r="AP54" s="110"/>
      <c r="AQ54" s="110"/>
      <c r="AR54" s="110"/>
      <c r="AS54" s="110"/>
      <c r="AT54" s="110"/>
      <c r="AU54" s="110"/>
      <c r="AV54" s="110"/>
      <c r="AW54" s="110"/>
      <c r="AX54" s="110"/>
      <c r="AY54" s="110"/>
      <c r="AZ54" s="110"/>
      <c r="BA54" s="110"/>
      <c r="BB54" s="110"/>
      <c r="BC54" s="110"/>
      <c r="BD54" s="110"/>
      <c r="BE54" s="110"/>
      <c r="BF54" s="110"/>
      <c r="BG54" s="110"/>
      <c r="BH54" s="110"/>
      <c r="BI54" s="110"/>
      <c r="BJ54" s="110"/>
      <c r="BK54" s="110"/>
      <c r="BL54" s="110"/>
      <c r="BM54" s="110"/>
      <c r="BN54" s="110"/>
      <c r="BO54" s="110"/>
      <c r="BP54" s="110"/>
      <c r="BQ54" s="110"/>
      <c r="BR54" s="110"/>
      <c r="BS54" s="110"/>
      <c r="BT54" s="110"/>
      <c r="BU54" s="110"/>
      <c r="BV54" s="110"/>
      <c r="BW54" s="110"/>
      <c r="BX54" s="110"/>
      <c r="BY54" s="110"/>
      <c r="BZ54" s="110"/>
      <c r="CA54" s="110"/>
      <c r="CB54" s="110"/>
      <c r="CC54" s="110"/>
      <c r="CD54" s="110"/>
      <c r="CE54" s="110"/>
      <c r="CF54" s="110"/>
      <c r="CG54" s="110"/>
      <c r="CH54" s="110"/>
    </row>
    <row r="55" spans="1:86" x14ac:dyDescent="0.2">
      <c r="A55" s="110"/>
      <c r="B55" s="110"/>
      <c r="C55" s="110"/>
      <c r="D55" s="110"/>
      <c r="E55" s="110"/>
      <c r="F55" s="110"/>
      <c r="G55" s="110"/>
      <c r="H55" s="110"/>
      <c r="I55" s="110"/>
      <c r="J55" s="110"/>
      <c r="K55" s="110"/>
      <c r="L55" s="110"/>
      <c r="M55" s="110"/>
      <c r="N55" s="110"/>
      <c r="O55" s="110"/>
      <c r="P55" s="110"/>
      <c r="Q55" s="110"/>
      <c r="R55" s="194"/>
      <c r="S55" s="110"/>
      <c r="T55" s="110"/>
      <c r="U55" s="110"/>
      <c r="V55" s="110"/>
      <c r="W55" s="110"/>
      <c r="X55" s="110"/>
      <c r="Y55" s="110"/>
      <c r="Z55" s="110"/>
      <c r="AA55" s="110"/>
      <c r="AB55" s="110"/>
      <c r="AC55" s="110"/>
      <c r="AD55" s="110"/>
      <c r="AE55" s="110"/>
      <c r="AF55" s="110"/>
      <c r="AG55" s="110"/>
      <c r="AH55" s="110"/>
      <c r="AI55" s="110"/>
      <c r="AJ55" s="110"/>
      <c r="AK55" s="110"/>
      <c r="AL55" s="110"/>
      <c r="AM55" s="110"/>
      <c r="AN55" s="110"/>
      <c r="AO55" s="110"/>
      <c r="AP55" s="110"/>
      <c r="AQ55" s="110"/>
      <c r="AR55" s="110"/>
      <c r="AS55" s="110"/>
      <c r="AT55" s="110"/>
      <c r="AU55" s="110"/>
      <c r="AV55" s="110"/>
      <c r="AW55" s="110"/>
      <c r="AX55" s="110"/>
      <c r="AY55" s="110"/>
      <c r="AZ55" s="110"/>
      <c r="BA55" s="110"/>
      <c r="BB55" s="110"/>
      <c r="BC55" s="110"/>
      <c r="BD55" s="110"/>
      <c r="BE55" s="110"/>
      <c r="BF55" s="110"/>
      <c r="BG55" s="110"/>
      <c r="BH55" s="110"/>
      <c r="BI55" s="110"/>
      <c r="BJ55" s="110"/>
      <c r="BK55" s="110"/>
      <c r="BL55" s="110"/>
      <c r="BM55" s="110"/>
      <c r="BN55" s="110"/>
      <c r="BO55" s="110"/>
      <c r="BP55" s="110"/>
      <c r="BQ55" s="110"/>
      <c r="BR55" s="110"/>
      <c r="BS55" s="110"/>
      <c r="BT55" s="110"/>
      <c r="BU55" s="110"/>
      <c r="BV55" s="110"/>
      <c r="BW55" s="110"/>
      <c r="BX55" s="110"/>
      <c r="BY55" s="110"/>
      <c r="BZ55" s="110"/>
      <c r="CA55" s="110"/>
      <c r="CB55" s="110"/>
      <c r="CC55" s="110"/>
      <c r="CD55" s="110"/>
      <c r="CE55" s="110"/>
      <c r="CF55" s="110"/>
      <c r="CG55" s="110"/>
      <c r="CH55" s="110"/>
    </row>
    <row r="56" spans="1:86" x14ac:dyDescent="0.2">
      <c r="A56" s="110"/>
      <c r="B56" s="110"/>
      <c r="C56" s="110"/>
      <c r="D56" s="110"/>
      <c r="E56" s="110"/>
      <c r="F56" s="110"/>
      <c r="G56" s="110"/>
      <c r="H56" s="110"/>
      <c r="I56" s="110"/>
      <c r="J56" s="110"/>
      <c r="K56" s="110"/>
      <c r="L56" s="110"/>
      <c r="M56" s="110"/>
      <c r="N56" s="110"/>
      <c r="O56" s="110"/>
      <c r="P56" s="110"/>
      <c r="Q56" s="110"/>
      <c r="R56" s="194"/>
      <c r="S56" s="110"/>
      <c r="T56" s="110"/>
      <c r="U56" s="110"/>
      <c r="V56" s="110"/>
      <c r="W56" s="110"/>
      <c r="X56" s="110"/>
      <c r="Y56" s="110"/>
      <c r="Z56" s="110"/>
      <c r="AA56" s="110"/>
      <c r="AB56" s="110"/>
      <c r="AC56" s="110"/>
      <c r="AD56" s="110"/>
      <c r="AE56" s="110"/>
      <c r="AF56" s="110"/>
      <c r="AG56" s="110"/>
      <c r="AH56" s="110"/>
      <c r="AI56" s="110"/>
      <c r="AJ56" s="110"/>
      <c r="AK56" s="110"/>
      <c r="AL56" s="110"/>
      <c r="AM56" s="110"/>
      <c r="AN56" s="110"/>
      <c r="AO56" s="110"/>
      <c r="AP56" s="110"/>
      <c r="AQ56" s="110"/>
      <c r="AR56" s="110"/>
      <c r="AS56" s="110"/>
      <c r="AT56" s="110"/>
      <c r="AU56" s="110"/>
      <c r="AV56" s="110"/>
      <c r="AW56" s="110"/>
      <c r="AX56" s="110"/>
      <c r="AY56" s="110"/>
      <c r="AZ56" s="110"/>
      <c r="BA56" s="110"/>
      <c r="BB56" s="110"/>
      <c r="BC56" s="110"/>
      <c r="BD56" s="110"/>
      <c r="BE56" s="110"/>
      <c r="BF56" s="110"/>
      <c r="BG56" s="110"/>
      <c r="BH56" s="110"/>
      <c r="BI56" s="110"/>
      <c r="BJ56" s="110"/>
      <c r="BK56" s="110"/>
      <c r="BL56" s="110"/>
      <c r="BM56" s="110"/>
      <c r="BN56" s="110"/>
      <c r="BO56" s="110"/>
      <c r="BP56" s="110"/>
      <c r="BQ56" s="110"/>
      <c r="BR56" s="110"/>
      <c r="BS56" s="110"/>
      <c r="BT56" s="110"/>
      <c r="BU56" s="110"/>
      <c r="BV56" s="110"/>
      <c r="BW56" s="110"/>
      <c r="BX56" s="110"/>
      <c r="BY56" s="110"/>
      <c r="BZ56" s="110"/>
      <c r="CA56" s="110"/>
      <c r="CB56" s="110"/>
      <c r="CC56" s="110"/>
      <c r="CD56" s="110"/>
      <c r="CE56" s="110"/>
      <c r="CF56" s="110"/>
      <c r="CG56" s="110"/>
      <c r="CH56" s="110"/>
    </row>
    <row r="57" spans="1:86" x14ac:dyDescent="0.2">
      <c r="A57" s="110"/>
      <c r="B57" s="110"/>
      <c r="C57" s="110"/>
      <c r="D57" s="110"/>
      <c r="E57" s="110"/>
      <c r="F57" s="110"/>
      <c r="G57" s="110"/>
      <c r="H57" s="110"/>
      <c r="I57" s="110"/>
      <c r="J57" s="110"/>
      <c r="K57" s="110"/>
      <c r="L57" s="110"/>
      <c r="M57" s="110"/>
      <c r="N57" s="110"/>
      <c r="O57" s="110"/>
      <c r="P57" s="110"/>
      <c r="Q57" s="110"/>
      <c r="R57" s="194"/>
      <c r="S57" s="110"/>
      <c r="T57" s="110"/>
      <c r="U57" s="110"/>
      <c r="V57" s="110"/>
      <c r="W57" s="110"/>
      <c r="X57" s="110"/>
      <c r="Y57" s="110"/>
      <c r="Z57" s="110"/>
      <c r="AA57" s="110"/>
      <c r="AB57" s="110"/>
      <c r="AC57" s="110"/>
      <c r="AD57" s="110"/>
      <c r="AE57" s="110"/>
      <c r="AF57" s="110"/>
      <c r="AG57" s="110"/>
      <c r="AH57" s="110"/>
      <c r="AI57" s="110"/>
      <c r="AJ57" s="110"/>
      <c r="AK57" s="110"/>
      <c r="AL57" s="110"/>
      <c r="AM57" s="110"/>
      <c r="AN57" s="110"/>
      <c r="AO57" s="110"/>
      <c r="AP57" s="110"/>
      <c r="AQ57" s="110"/>
      <c r="AR57" s="110"/>
      <c r="AS57" s="110"/>
      <c r="AT57" s="110"/>
      <c r="AU57" s="110"/>
      <c r="AV57" s="110"/>
      <c r="AW57" s="110"/>
      <c r="AX57" s="110"/>
      <c r="AY57" s="110"/>
      <c r="AZ57" s="110"/>
      <c r="BA57" s="110"/>
      <c r="BB57" s="110"/>
      <c r="BC57" s="110"/>
      <c r="BD57" s="110"/>
      <c r="BE57" s="110"/>
      <c r="BF57" s="110"/>
      <c r="BG57" s="110"/>
      <c r="BH57" s="110"/>
      <c r="BI57" s="110"/>
      <c r="BJ57" s="110"/>
      <c r="BK57" s="110"/>
      <c r="BL57" s="110"/>
      <c r="BM57" s="110"/>
      <c r="BN57" s="110"/>
      <c r="BO57" s="110"/>
      <c r="BP57" s="110"/>
      <c r="BQ57" s="110"/>
      <c r="BR57" s="110"/>
      <c r="BS57" s="110"/>
      <c r="BT57" s="110"/>
      <c r="BU57" s="110"/>
      <c r="BV57" s="110"/>
      <c r="BW57" s="110"/>
      <c r="BX57" s="110"/>
      <c r="BY57" s="110"/>
      <c r="BZ57" s="110"/>
      <c r="CA57" s="110"/>
      <c r="CB57" s="110"/>
      <c r="CC57" s="110"/>
      <c r="CD57" s="110"/>
      <c r="CE57" s="110"/>
      <c r="CF57" s="110"/>
      <c r="CG57" s="110"/>
      <c r="CH57" s="110"/>
    </row>
    <row r="58" spans="1:86" x14ac:dyDescent="0.2">
      <c r="A58" s="110"/>
      <c r="B58" s="110"/>
      <c r="C58" s="110"/>
      <c r="D58" s="110"/>
      <c r="E58" s="110"/>
      <c r="F58" s="110"/>
      <c r="G58" s="110"/>
      <c r="H58" s="110"/>
      <c r="I58" s="110"/>
      <c r="J58" s="110"/>
      <c r="K58" s="110"/>
      <c r="L58" s="110"/>
      <c r="M58" s="110"/>
      <c r="N58" s="110"/>
      <c r="O58" s="110"/>
      <c r="P58" s="110"/>
      <c r="Q58" s="110"/>
      <c r="R58" s="194"/>
      <c r="S58" s="110"/>
      <c r="T58" s="110"/>
      <c r="U58" s="110"/>
      <c r="V58" s="110"/>
      <c r="W58" s="110"/>
      <c r="X58" s="110"/>
      <c r="Y58" s="110"/>
      <c r="Z58" s="110"/>
      <c r="AA58" s="110"/>
      <c r="AB58" s="110"/>
      <c r="AC58" s="110"/>
      <c r="AD58" s="110"/>
      <c r="AE58" s="110"/>
      <c r="AF58" s="110"/>
      <c r="AG58" s="110"/>
      <c r="AH58" s="110"/>
      <c r="AI58" s="110"/>
      <c r="AJ58" s="110"/>
      <c r="AK58" s="110"/>
      <c r="AL58" s="110"/>
      <c r="AM58" s="110"/>
      <c r="AN58" s="110"/>
      <c r="AO58" s="110"/>
      <c r="AP58" s="110"/>
      <c r="AQ58" s="110"/>
      <c r="AR58" s="110"/>
      <c r="AS58" s="110"/>
      <c r="AT58" s="110"/>
      <c r="AU58" s="110"/>
      <c r="AV58" s="110"/>
      <c r="AW58" s="110"/>
      <c r="AX58" s="110"/>
      <c r="AY58" s="110"/>
      <c r="AZ58" s="110"/>
      <c r="BA58" s="110"/>
      <c r="BB58" s="110"/>
      <c r="BC58" s="110"/>
      <c r="BD58" s="110"/>
      <c r="BE58" s="110"/>
      <c r="BF58" s="110"/>
      <c r="BG58" s="110"/>
      <c r="BH58" s="110"/>
      <c r="BI58" s="110"/>
      <c r="BJ58" s="110"/>
      <c r="BK58" s="110"/>
      <c r="BL58" s="110"/>
      <c r="BM58" s="110"/>
      <c r="BN58" s="110"/>
      <c r="BO58" s="110"/>
      <c r="BP58" s="110"/>
      <c r="BQ58" s="110"/>
      <c r="BR58" s="110"/>
      <c r="BS58" s="110"/>
      <c r="BT58" s="110"/>
      <c r="BU58" s="110"/>
      <c r="BV58" s="110"/>
      <c r="BW58" s="110"/>
      <c r="BX58" s="110"/>
      <c r="BY58" s="110"/>
      <c r="BZ58" s="110"/>
      <c r="CA58" s="110"/>
      <c r="CB58" s="110"/>
      <c r="CC58" s="110"/>
      <c r="CD58" s="110"/>
      <c r="CE58" s="110"/>
      <c r="CF58" s="110"/>
      <c r="CG58" s="110"/>
      <c r="CH58" s="110"/>
    </row>
    <row r="59" spans="1:86" x14ac:dyDescent="0.2">
      <c r="A59" s="110"/>
      <c r="B59" s="110"/>
      <c r="C59" s="110"/>
      <c r="D59" s="110"/>
      <c r="E59" s="110"/>
      <c r="F59" s="110"/>
      <c r="G59" s="110"/>
      <c r="H59" s="110"/>
      <c r="I59" s="110"/>
      <c r="J59" s="110"/>
      <c r="K59" s="110"/>
      <c r="L59" s="110"/>
      <c r="M59" s="110"/>
      <c r="N59" s="110"/>
      <c r="O59" s="110"/>
      <c r="P59" s="110"/>
      <c r="Q59" s="110"/>
      <c r="R59" s="194"/>
      <c r="S59" s="110"/>
      <c r="T59" s="110"/>
      <c r="U59" s="110"/>
      <c r="V59" s="110"/>
      <c r="W59" s="110"/>
      <c r="X59" s="110"/>
      <c r="Y59" s="110"/>
      <c r="Z59" s="110"/>
      <c r="AA59" s="110"/>
      <c r="AB59" s="110"/>
      <c r="AC59" s="110"/>
      <c r="AD59" s="110"/>
      <c r="AE59" s="110"/>
      <c r="AF59" s="110"/>
      <c r="AG59" s="110"/>
      <c r="AH59" s="110"/>
      <c r="AI59" s="110"/>
      <c r="AJ59" s="110"/>
      <c r="AK59" s="110"/>
      <c r="AL59" s="110"/>
      <c r="AM59" s="110"/>
      <c r="AN59" s="110"/>
      <c r="AO59" s="110"/>
      <c r="AP59" s="110"/>
      <c r="AQ59" s="110"/>
      <c r="AR59" s="110"/>
      <c r="AS59" s="110"/>
      <c r="AT59" s="110"/>
      <c r="AU59" s="110"/>
      <c r="AV59" s="110"/>
      <c r="AW59" s="110"/>
      <c r="AX59" s="110"/>
      <c r="AY59" s="110"/>
      <c r="AZ59" s="110"/>
      <c r="BA59" s="110"/>
      <c r="BB59" s="110"/>
      <c r="BC59" s="110"/>
      <c r="BD59" s="110"/>
      <c r="BE59" s="110"/>
      <c r="BF59" s="110"/>
      <c r="BG59" s="110"/>
      <c r="BH59" s="110"/>
      <c r="BI59" s="110"/>
      <c r="BJ59" s="110"/>
      <c r="BK59" s="110"/>
      <c r="BL59" s="110"/>
      <c r="BM59" s="110"/>
      <c r="BN59" s="110"/>
      <c r="BO59" s="110"/>
      <c r="BP59" s="110"/>
      <c r="BQ59" s="110"/>
      <c r="BR59" s="110"/>
      <c r="BS59" s="110"/>
      <c r="BT59" s="110"/>
      <c r="BU59" s="110"/>
      <c r="BV59" s="110"/>
      <c r="BW59" s="110"/>
      <c r="BX59" s="110"/>
      <c r="BY59" s="110"/>
      <c r="BZ59" s="110"/>
      <c r="CA59" s="110"/>
      <c r="CB59" s="110"/>
      <c r="CC59" s="110"/>
      <c r="CD59" s="110"/>
      <c r="CE59" s="110"/>
      <c r="CF59" s="110"/>
      <c r="CG59" s="110"/>
      <c r="CH59" s="110"/>
    </row>
    <row r="60" spans="1:86" x14ac:dyDescent="0.2">
      <c r="A60" s="110"/>
      <c r="B60" s="110"/>
      <c r="C60" s="110"/>
      <c r="D60" s="110"/>
      <c r="E60" s="110"/>
      <c r="F60" s="110"/>
      <c r="G60" s="110"/>
      <c r="H60" s="110"/>
      <c r="I60" s="110"/>
      <c r="J60" s="110"/>
      <c r="K60" s="110"/>
      <c r="L60" s="110"/>
      <c r="M60" s="110"/>
      <c r="N60" s="110"/>
      <c r="O60" s="110"/>
      <c r="P60" s="110"/>
      <c r="Q60" s="110"/>
      <c r="R60" s="194"/>
      <c r="S60" s="110"/>
      <c r="T60" s="110"/>
      <c r="U60" s="110"/>
      <c r="V60" s="110"/>
      <c r="W60" s="110"/>
      <c r="X60" s="110"/>
      <c r="Y60" s="110"/>
      <c r="Z60" s="110"/>
      <c r="AA60" s="110"/>
      <c r="AB60" s="110"/>
      <c r="AC60" s="110"/>
      <c r="AD60" s="110"/>
      <c r="AE60" s="110"/>
      <c r="AF60" s="110"/>
      <c r="AG60" s="110"/>
      <c r="AH60" s="110"/>
      <c r="AI60" s="110"/>
      <c r="AJ60" s="110"/>
      <c r="AK60" s="110"/>
      <c r="AL60" s="110"/>
      <c r="AM60" s="110"/>
      <c r="AN60" s="110"/>
      <c r="AO60" s="110"/>
      <c r="AP60" s="110"/>
      <c r="AQ60" s="110"/>
      <c r="AR60" s="110"/>
      <c r="AS60" s="110"/>
      <c r="AT60" s="110"/>
      <c r="AU60" s="110"/>
      <c r="AV60" s="110"/>
      <c r="AW60" s="110"/>
      <c r="AX60" s="110"/>
      <c r="AY60" s="110"/>
      <c r="AZ60" s="110"/>
      <c r="BA60" s="110"/>
      <c r="BB60" s="110"/>
      <c r="BC60" s="110"/>
      <c r="BD60" s="110"/>
      <c r="BE60" s="110"/>
      <c r="BF60" s="110"/>
      <c r="BG60" s="110"/>
      <c r="BH60" s="110"/>
      <c r="BI60" s="110"/>
      <c r="BJ60" s="110"/>
      <c r="BK60" s="110"/>
      <c r="BL60" s="110"/>
      <c r="BM60" s="110"/>
      <c r="BN60" s="110"/>
      <c r="BO60" s="110"/>
      <c r="BP60" s="110"/>
      <c r="BQ60" s="110"/>
      <c r="BR60" s="110"/>
      <c r="BS60" s="110"/>
      <c r="BT60" s="110"/>
      <c r="BU60" s="110"/>
      <c r="BV60" s="110"/>
      <c r="BW60" s="110"/>
      <c r="BX60" s="110"/>
      <c r="BY60" s="110"/>
      <c r="BZ60" s="110"/>
      <c r="CA60" s="110"/>
      <c r="CB60" s="110"/>
      <c r="CC60" s="110"/>
      <c r="CD60" s="110"/>
      <c r="CE60" s="110"/>
      <c r="CF60" s="110"/>
      <c r="CG60" s="110"/>
      <c r="CH60" s="110"/>
    </row>
    <row r="61" spans="1:86" x14ac:dyDescent="0.2">
      <c r="A61" s="110"/>
      <c r="B61" s="110"/>
      <c r="C61" s="110"/>
      <c r="D61" s="110"/>
      <c r="E61" s="110"/>
      <c r="F61" s="110"/>
      <c r="G61" s="110"/>
      <c r="H61" s="110"/>
      <c r="I61" s="110"/>
      <c r="J61" s="110"/>
      <c r="K61" s="110"/>
      <c r="L61" s="110"/>
      <c r="M61" s="110"/>
      <c r="N61" s="110"/>
      <c r="O61" s="110"/>
      <c r="P61" s="110"/>
      <c r="Q61" s="110"/>
      <c r="R61" s="194"/>
      <c r="S61" s="110"/>
      <c r="T61" s="110"/>
      <c r="U61" s="110"/>
      <c r="V61" s="110"/>
      <c r="W61" s="110"/>
      <c r="X61" s="110"/>
      <c r="Y61" s="110"/>
      <c r="Z61" s="110"/>
      <c r="AA61" s="110"/>
      <c r="AB61" s="110"/>
      <c r="AC61" s="110"/>
      <c r="AD61" s="110"/>
      <c r="AE61" s="110"/>
      <c r="AF61" s="110"/>
      <c r="AG61" s="110"/>
      <c r="AH61" s="110"/>
      <c r="AI61" s="110"/>
      <c r="AJ61" s="110"/>
      <c r="AK61" s="110"/>
      <c r="AL61" s="110"/>
      <c r="AM61" s="110"/>
      <c r="AN61" s="110"/>
      <c r="AO61" s="110"/>
      <c r="AP61" s="110"/>
      <c r="AQ61" s="110"/>
      <c r="AR61" s="110"/>
      <c r="AS61" s="110"/>
      <c r="AT61" s="110"/>
      <c r="AU61" s="110"/>
      <c r="AV61" s="110"/>
      <c r="AW61" s="110"/>
      <c r="AX61" s="110"/>
      <c r="AY61" s="110"/>
      <c r="AZ61" s="110"/>
      <c r="BA61" s="110"/>
      <c r="BB61" s="110"/>
      <c r="BC61" s="110"/>
      <c r="BD61" s="110"/>
      <c r="BE61" s="110"/>
      <c r="BF61" s="110"/>
      <c r="BG61" s="110"/>
      <c r="BH61" s="110"/>
      <c r="BI61" s="110"/>
      <c r="BJ61" s="110"/>
      <c r="BK61" s="110"/>
      <c r="BL61" s="110"/>
      <c r="BM61" s="110"/>
      <c r="BN61" s="110"/>
      <c r="BO61" s="110"/>
      <c r="BP61" s="110"/>
      <c r="BQ61" s="110"/>
      <c r="BR61" s="110"/>
      <c r="BS61" s="110"/>
      <c r="BT61" s="110"/>
      <c r="BU61" s="110"/>
      <c r="BV61" s="110"/>
      <c r="BW61" s="110"/>
      <c r="BX61" s="110"/>
      <c r="BY61" s="110"/>
      <c r="BZ61" s="110"/>
      <c r="CA61" s="110"/>
      <c r="CB61" s="110"/>
      <c r="CC61" s="110"/>
      <c r="CD61" s="110"/>
      <c r="CE61" s="110"/>
      <c r="CF61" s="110"/>
      <c r="CG61" s="110"/>
      <c r="CH61" s="110"/>
    </row>
    <row r="62" spans="1:86" x14ac:dyDescent="0.2">
      <c r="A62" s="110"/>
      <c r="B62" s="110"/>
      <c r="C62" s="110"/>
      <c r="D62" s="110"/>
      <c r="E62" s="110"/>
      <c r="F62" s="110"/>
      <c r="G62" s="110"/>
      <c r="H62" s="110"/>
      <c r="I62" s="110"/>
      <c r="J62" s="110"/>
      <c r="K62" s="110"/>
      <c r="L62" s="110"/>
      <c r="M62" s="110"/>
      <c r="N62" s="110"/>
      <c r="O62" s="110"/>
      <c r="P62" s="110"/>
      <c r="Q62" s="110"/>
      <c r="R62" s="194"/>
      <c r="S62" s="110"/>
      <c r="T62" s="110"/>
      <c r="U62" s="110"/>
      <c r="V62" s="110"/>
      <c r="W62" s="110"/>
      <c r="X62" s="110"/>
      <c r="Y62" s="110"/>
      <c r="Z62" s="110"/>
      <c r="AA62" s="110"/>
      <c r="AB62" s="110"/>
      <c r="AC62" s="110"/>
      <c r="AD62" s="110"/>
      <c r="AE62" s="110"/>
      <c r="AF62" s="110"/>
      <c r="AG62" s="110"/>
      <c r="AH62" s="110"/>
      <c r="AI62" s="110"/>
      <c r="AJ62" s="110"/>
      <c r="AK62" s="110"/>
      <c r="AL62" s="110"/>
      <c r="AM62" s="110"/>
      <c r="AN62" s="110"/>
      <c r="AO62" s="110"/>
      <c r="AP62" s="110"/>
      <c r="AQ62" s="110"/>
      <c r="AR62" s="110"/>
      <c r="AS62" s="110"/>
      <c r="AT62" s="110"/>
      <c r="AU62" s="110"/>
      <c r="AV62" s="110"/>
      <c r="AW62" s="110"/>
      <c r="AX62" s="110"/>
      <c r="AY62" s="110"/>
      <c r="AZ62" s="110"/>
      <c r="BA62" s="110"/>
      <c r="BB62" s="110"/>
      <c r="BC62" s="110"/>
      <c r="BD62" s="110"/>
      <c r="BE62" s="110"/>
      <c r="BF62" s="110"/>
      <c r="BG62" s="110"/>
      <c r="BH62" s="110"/>
      <c r="BI62" s="110"/>
      <c r="BJ62" s="110"/>
      <c r="BK62" s="110"/>
      <c r="BL62" s="110"/>
      <c r="BM62" s="110"/>
      <c r="BN62" s="110"/>
      <c r="BO62" s="110"/>
      <c r="BP62" s="110"/>
      <c r="BQ62" s="110"/>
      <c r="BR62" s="110"/>
      <c r="BS62" s="110"/>
      <c r="BT62" s="110"/>
      <c r="BU62" s="110"/>
      <c r="BV62" s="110"/>
      <c r="BW62" s="110"/>
      <c r="BX62" s="110"/>
      <c r="BY62" s="110"/>
      <c r="BZ62" s="110"/>
      <c r="CA62" s="110"/>
      <c r="CB62" s="110"/>
      <c r="CC62" s="110"/>
      <c r="CD62" s="110"/>
      <c r="CE62" s="110"/>
      <c r="CF62" s="110"/>
      <c r="CG62" s="110"/>
      <c r="CH62" s="110"/>
    </row>
    <row r="63" spans="1:86" x14ac:dyDescent="0.2">
      <c r="A63" s="110"/>
      <c r="B63" s="110"/>
      <c r="C63" s="110"/>
      <c r="D63" s="110"/>
      <c r="E63" s="110"/>
      <c r="F63" s="110"/>
      <c r="G63" s="110"/>
      <c r="H63" s="110"/>
      <c r="I63" s="110"/>
      <c r="J63" s="110"/>
      <c r="K63" s="110"/>
      <c r="L63" s="110"/>
      <c r="M63" s="110"/>
      <c r="N63" s="110"/>
      <c r="O63" s="110"/>
      <c r="P63" s="110"/>
      <c r="Q63" s="110"/>
      <c r="R63" s="194"/>
      <c r="S63" s="110"/>
      <c r="T63" s="110"/>
      <c r="U63" s="110"/>
      <c r="V63" s="110"/>
      <c r="W63" s="110"/>
      <c r="X63" s="110"/>
      <c r="Y63" s="110"/>
      <c r="Z63" s="110"/>
      <c r="AA63" s="110"/>
      <c r="AB63" s="110"/>
      <c r="AC63" s="110"/>
      <c r="AD63" s="110"/>
      <c r="AE63" s="110"/>
      <c r="AF63" s="110"/>
      <c r="AG63" s="110"/>
      <c r="AH63" s="110"/>
      <c r="AI63" s="110"/>
      <c r="AJ63" s="110"/>
      <c r="AK63" s="110"/>
      <c r="AL63" s="110"/>
      <c r="AM63" s="110"/>
      <c r="AN63" s="110"/>
      <c r="AO63" s="110"/>
      <c r="AP63" s="110"/>
      <c r="AQ63" s="110"/>
      <c r="AR63" s="110"/>
      <c r="AS63" s="110"/>
      <c r="AT63" s="110"/>
      <c r="AU63" s="110"/>
      <c r="AV63" s="110"/>
      <c r="AW63" s="110"/>
      <c r="AX63" s="110"/>
      <c r="AY63" s="110"/>
      <c r="AZ63" s="110"/>
      <c r="BA63" s="110"/>
      <c r="BB63" s="110"/>
      <c r="BC63" s="110"/>
      <c r="BD63" s="110"/>
      <c r="BE63" s="110"/>
      <c r="BF63" s="110"/>
      <c r="BG63" s="110"/>
      <c r="BH63" s="110"/>
      <c r="BI63" s="110"/>
      <c r="BJ63" s="110"/>
      <c r="BK63" s="110"/>
      <c r="BL63" s="110"/>
      <c r="BM63" s="110"/>
      <c r="BN63" s="110"/>
      <c r="BO63" s="110"/>
      <c r="BP63" s="110"/>
      <c r="BQ63" s="110"/>
      <c r="BR63" s="110"/>
      <c r="BS63" s="110"/>
      <c r="BT63" s="110"/>
      <c r="BU63" s="110"/>
      <c r="BV63" s="110"/>
      <c r="BW63" s="110"/>
      <c r="BX63" s="110"/>
      <c r="BY63" s="110"/>
      <c r="BZ63" s="110"/>
      <c r="CA63" s="110"/>
      <c r="CB63" s="110"/>
      <c r="CC63" s="110"/>
      <c r="CD63" s="110"/>
      <c r="CE63" s="110"/>
      <c r="CF63" s="110"/>
      <c r="CG63" s="110"/>
      <c r="CH63" s="110"/>
    </row>
    <row r="64" spans="1:86" x14ac:dyDescent="0.2">
      <c r="A64" s="110"/>
      <c r="B64" s="110"/>
      <c r="C64" s="110"/>
      <c r="D64" s="110"/>
      <c r="E64" s="110"/>
      <c r="F64" s="110"/>
      <c r="G64" s="110"/>
      <c r="H64" s="110"/>
      <c r="I64" s="110"/>
      <c r="J64" s="110"/>
      <c r="K64" s="110"/>
      <c r="L64" s="110"/>
      <c r="M64" s="110"/>
      <c r="N64" s="110"/>
      <c r="O64" s="110"/>
      <c r="P64" s="110"/>
      <c r="Q64" s="110"/>
      <c r="R64" s="194"/>
      <c r="S64" s="110"/>
      <c r="T64" s="110"/>
      <c r="U64" s="110"/>
      <c r="V64" s="110"/>
      <c r="W64" s="110"/>
      <c r="X64" s="110"/>
      <c r="Y64" s="110"/>
      <c r="Z64" s="110"/>
      <c r="AA64" s="110"/>
      <c r="AB64" s="110"/>
      <c r="AC64" s="110"/>
      <c r="AD64" s="110"/>
      <c r="AE64" s="110"/>
      <c r="AF64" s="110"/>
      <c r="AG64" s="110"/>
      <c r="AH64" s="110"/>
      <c r="AI64" s="110"/>
      <c r="AJ64" s="110"/>
      <c r="AK64" s="110"/>
      <c r="AL64" s="110"/>
      <c r="AM64" s="110"/>
      <c r="AN64" s="110"/>
      <c r="AO64" s="110"/>
      <c r="AP64" s="110"/>
      <c r="AQ64" s="110"/>
      <c r="AR64" s="110"/>
      <c r="AS64" s="110"/>
      <c r="AT64" s="110"/>
      <c r="AU64" s="110"/>
      <c r="AV64" s="110"/>
      <c r="AW64" s="110"/>
      <c r="AX64" s="110"/>
      <c r="AY64" s="110"/>
      <c r="AZ64" s="110"/>
      <c r="BA64" s="110"/>
      <c r="BB64" s="110"/>
      <c r="BC64" s="110"/>
      <c r="BD64" s="110"/>
      <c r="BE64" s="110"/>
      <c r="BF64" s="110"/>
      <c r="BG64" s="110"/>
      <c r="BH64" s="110"/>
      <c r="BI64" s="110"/>
      <c r="BJ64" s="110"/>
      <c r="BK64" s="110"/>
      <c r="BL64" s="110"/>
      <c r="BM64" s="110"/>
      <c r="BN64" s="110"/>
      <c r="BO64" s="110"/>
      <c r="BP64" s="110"/>
      <c r="BQ64" s="110"/>
      <c r="BR64" s="110"/>
      <c r="BS64" s="110"/>
      <c r="BT64" s="110"/>
      <c r="BU64" s="110"/>
      <c r="BV64" s="110"/>
      <c r="BW64" s="110"/>
      <c r="BX64" s="110"/>
      <c r="BY64" s="110"/>
      <c r="BZ64" s="110"/>
      <c r="CA64" s="110"/>
      <c r="CB64" s="110"/>
      <c r="CC64" s="110"/>
      <c r="CD64" s="110"/>
      <c r="CE64" s="110"/>
      <c r="CF64" s="110"/>
      <c r="CG64" s="110"/>
      <c r="CH64" s="110"/>
    </row>
    <row r="65" spans="1:86" x14ac:dyDescent="0.2">
      <c r="A65" s="110"/>
      <c r="B65" s="110"/>
      <c r="C65" s="110"/>
      <c r="D65" s="110"/>
      <c r="E65" s="110"/>
      <c r="F65" s="110"/>
      <c r="G65" s="110"/>
      <c r="H65" s="110"/>
      <c r="I65" s="110"/>
      <c r="J65" s="110"/>
      <c r="K65" s="110"/>
      <c r="L65" s="110"/>
      <c r="M65" s="110"/>
      <c r="N65" s="110"/>
      <c r="O65" s="110"/>
      <c r="P65" s="110"/>
      <c r="Q65" s="110"/>
      <c r="R65" s="194"/>
      <c r="S65" s="110"/>
      <c r="T65" s="110"/>
      <c r="U65" s="110"/>
      <c r="V65" s="110"/>
      <c r="W65" s="110"/>
      <c r="X65" s="110"/>
      <c r="Y65" s="110"/>
      <c r="Z65" s="110"/>
      <c r="AA65" s="110"/>
      <c r="AB65" s="110"/>
      <c r="AC65" s="110"/>
      <c r="AD65" s="110"/>
      <c r="AE65" s="110"/>
      <c r="AF65" s="110"/>
      <c r="AG65" s="110"/>
      <c r="AH65" s="110"/>
      <c r="AI65" s="110"/>
      <c r="AJ65" s="110"/>
      <c r="AK65" s="110"/>
      <c r="AL65" s="110"/>
      <c r="AM65" s="110"/>
      <c r="AN65" s="110"/>
      <c r="AO65" s="110"/>
      <c r="AP65" s="110"/>
      <c r="AQ65" s="110"/>
      <c r="AR65" s="110"/>
      <c r="AS65" s="110"/>
      <c r="AT65" s="110"/>
      <c r="AU65" s="110"/>
      <c r="AV65" s="110"/>
      <c r="AW65" s="110"/>
      <c r="AX65" s="110"/>
      <c r="AY65" s="110"/>
      <c r="AZ65" s="110"/>
      <c r="BA65" s="110"/>
      <c r="BB65" s="110"/>
      <c r="BC65" s="110"/>
      <c r="BD65" s="110"/>
      <c r="BE65" s="110"/>
      <c r="BF65" s="110"/>
      <c r="BG65" s="110"/>
      <c r="BH65" s="110"/>
      <c r="BI65" s="110"/>
      <c r="BJ65" s="110"/>
      <c r="BK65" s="110"/>
      <c r="BL65" s="110"/>
      <c r="BM65" s="110"/>
      <c r="BN65" s="110"/>
      <c r="BO65" s="110"/>
      <c r="BP65" s="110"/>
      <c r="BQ65" s="110"/>
      <c r="BR65" s="110"/>
      <c r="BS65" s="110"/>
      <c r="BT65" s="110"/>
      <c r="BU65" s="110"/>
      <c r="BV65" s="110"/>
      <c r="BW65" s="110"/>
      <c r="BX65" s="110"/>
      <c r="BY65" s="110"/>
      <c r="BZ65" s="110"/>
      <c r="CA65" s="110"/>
      <c r="CB65" s="110"/>
      <c r="CC65" s="110"/>
      <c r="CD65" s="110"/>
      <c r="CE65" s="110"/>
      <c r="CF65" s="110"/>
      <c r="CG65" s="110"/>
      <c r="CH65" s="110"/>
    </row>
    <row r="66" spans="1:86" x14ac:dyDescent="0.2">
      <c r="A66" s="110"/>
      <c r="B66" s="110"/>
      <c r="C66" s="110"/>
      <c r="D66" s="110"/>
      <c r="E66" s="110"/>
      <c r="F66" s="110"/>
      <c r="G66" s="110"/>
      <c r="H66" s="110"/>
      <c r="I66" s="110"/>
      <c r="J66" s="110"/>
      <c r="K66" s="110"/>
      <c r="L66" s="110"/>
      <c r="M66" s="110"/>
      <c r="N66" s="110"/>
      <c r="O66" s="110"/>
      <c r="P66" s="110"/>
      <c r="Q66" s="110"/>
      <c r="R66" s="194"/>
      <c r="S66" s="110"/>
      <c r="T66" s="110"/>
      <c r="U66" s="110"/>
      <c r="V66" s="110"/>
      <c r="W66" s="110"/>
      <c r="X66" s="110"/>
      <c r="Y66" s="110"/>
      <c r="Z66" s="110"/>
      <c r="AA66" s="110"/>
      <c r="AB66" s="110"/>
      <c r="AC66" s="110"/>
      <c r="AD66" s="110"/>
      <c r="AE66" s="110"/>
      <c r="AF66" s="110"/>
      <c r="AG66" s="110"/>
      <c r="AH66" s="110"/>
      <c r="AI66" s="110"/>
      <c r="AJ66" s="110"/>
      <c r="AK66" s="110"/>
      <c r="AL66" s="110"/>
      <c r="AM66" s="110"/>
      <c r="AN66" s="110"/>
      <c r="AO66" s="110"/>
      <c r="AP66" s="110"/>
      <c r="AQ66" s="110"/>
      <c r="AR66" s="110"/>
      <c r="AS66" s="110"/>
      <c r="AT66" s="110"/>
      <c r="AU66" s="110"/>
      <c r="AV66" s="110"/>
      <c r="AW66" s="110"/>
      <c r="AX66" s="110"/>
      <c r="AY66" s="110"/>
      <c r="AZ66" s="110"/>
      <c r="BA66" s="110"/>
      <c r="BB66" s="110"/>
      <c r="BC66" s="110"/>
      <c r="BD66" s="110"/>
      <c r="BE66" s="110"/>
      <c r="BF66" s="110"/>
      <c r="BG66" s="110"/>
      <c r="BH66" s="110"/>
      <c r="BI66" s="110"/>
      <c r="BJ66" s="110"/>
      <c r="BK66" s="110"/>
      <c r="BL66" s="110"/>
      <c r="BM66" s="110"/>
      <c r="BN66" s="110"/>
      <c r="BO66" s="110"/>
      <c r="BP66" s="110"/>
      <c r="BQ66" s="110"/>
      <c r="BR66" s="110"/>
      <c r="BS66" s="110"/>
      <c r="BT66" s="110"/>
      <c r="BU66" s="110"/>
      <c r="BV66" s="110"/>
      <c r="BW66" s="110"/>
      <c r="BX66" s="110"/>
      <c r="BY66" s="110"/>
      <c r="BZ66" s="110"/>
      <c r="CA66" s="110"/>
      <c r="CB66" s="110"/>
      <c r="CC66" s="110"/>
      <c r="CD66" s="110"/>
      <c r="CE66" s="110"/>
      <c r="CF66" s="110"/>
      <c r="CG66" s="110"/>
      <c r="CH66" s="110"/>
    </row>
    <row r="67" spans="1:86" x14ac:dyDescent="0.2">
      <c r="A67" s="110"/>
      <c r="B67" s="110"/>
      <c r="C67" s="110"/>
      <c r="D67" s="110"/>
      <c r="E67" s="110"/>
      <c r="F67" s="110"/>
      <c r="G67" s="110"/>
      <c r="H67" s="110"/>
      <c r="I67" s="110"/>
      <c r="J67" s="110"/>
      <c r="K67" s="110"/>
      <c r="L67" s="110"/>
      <c r="M67" s="110"/>
      <c r="N67" s="110"/>
      <c r="O67" s="110"/>
      <c r="P67" s="110"/>
      <c r="Q67" s="110"/>
      <c r="R67" s="194"/>
      <c r="S67" s="110"/>
      <c r="T67" s="110"/>
      <c r="U67" s="110"/>
      <c r="V67" s="110"/>
      <c r="W67" s="110"/>
      <c r="X67" s="110"/>
      <c r="Y67" s="110"/>
      <c r="Z67" s="110"/>
      <c r="AA67" s="110"/>
      <c r="AB67" s="110"/>
      <c r="AC67" s="110"/>
      <c r="AD67" s="110"/>
      <c r="AE67" s="110"/>
      <c r="AF67" s="110"/>
      <c r="AG67" s="110"/>
      <c r="AH67" s="110"/>
      <c r="AI67" s="110"/>
      <c r="AJ67" s="110"/>
      <c r="AK67" s="110"/>
      <c r="AL67" s="110"/>
      <c r="AM67" s="110"/>
      <c r="AN67" s="110"/>
      <c r="AO67" s="110"/>
      <c r="AP67" s="110"/>
      <c r="AQ67" s="110"/>
      <c r="AR67" s="110"/>
      <c r="AS67" s="110"/>
      <c r="AT67" s="110"/>
      <c r="AU67" s="110"/>
      <c r="AV67" s="110"/>
      <c r="AW67" s="110"/>
      <c r="AX67" s="110"/>
      <c r="AY67" s="110"/>
      <c r="AZ67" s="110"/>
      <c r="BA67" s="110"/>
      <c r="BB67" s="110"/>
      <c r="BC67" s="110"/>
      <c r="BD67" s="110"/>
      <c r="BE67" s="110"/>
      <c r="BF67" s="110"/>
      <c r="BG67" s="110"/>
      <c r="BH67" s="110"/>
      <c r="BI67" s="110"/>
      <c r="BJ67" s="110"/>
      <c r="BK67" s="110"/>
      <c r="BL67" s="110"/>
      <c r="BM67" s="110"/>
      <c r="BN67" s="110"/>
      <c r="BO67" s="110"/>
      <c r="BP67" s="110"/>
      <c r="BQ67" s="110"/>
      <c r="BR67" s="110"/>
      <c r="BS67" s="110"/>
      <c r="BT67" s="110"/>
      <c r="BU67" s="110"/>
      <c r="BV67" s="110"/>
      <c r="BW67" s="110"/>
      <c r="BX67" s="110"/>
      <c r="BY67" s="110"/>
      <c r="BZ67" s="110"/>
      <c r="CA67" s="110"/>
      <c r="CB67" s="110"/>
      <c r="CC67" s="110"/>
      <c r="CD67" s="110"/>
      <c r="CE67" s="110"/>
      <c r="CF67" s="110"/>
      <c r="CG67" s="110"/>
      <c r="CH67" s="110"/>
    </row>
    <row r="68" spans="1:86" x14ac:dyDescent="0.2">
      <c r="A68" s="110"/>
      <c r="B68" s="110"/>
      <c r="C68" s="110"/>
      <c r="D68" s="110"/>
      <c r="E68" s="110"/>
      <c r="F68" s="110"/>
      <c r="G68" s="110"/>
      <c r="H68" s="110"/>
      <c r="I68" s="110"/>
      <c r="J68" s="110"/>
      <c r="K68" s="110"/>
      <c r="L68" s="110"/>
      <c r="M68" s="110"/>
      <c r="N68" s="110"/>
      <c r="O68" s="110"/>
      <c r="P68" s="110"/>
      <c r="Q68" s="110"/>
      <c r="R68" s="194"/>
      <c r="S68" s="110"/>
      <c r="T68" s="110"/>
      <c r="U68" s="110"/>
      <c r="V68" s="110"/>
      <c r="W68" s="110"/>
      <c r="X68" s="110"/>
      <c r="Y68" s="110"/>
      <c r="Z68" s="110"/>
      <c r="AA68" s="110"/>
      <c r="AB68" s="110"/>
      <c r="AC68" s="110"/>
    </row>
    <row r="69" spans="1:86" x14ac:dyDescent="0.2">
      <c r="A69" s="110"/>
      <c r="B69" s="110"/>
      <c r="C69" s="110"/>
      <c r="D69" s="110"/>
      <c r="E69" s="110"/>
      <c r="F69" s="110"/>
      <c r="G69" s="110"/>
      <c r="H69" s="110"/>
      <c r="I69" s="110"/>
      <c r="J69" s="110"/>
      <c r="K69" s="110"/>
      <c r="L69" s="110"/>
      <c r="M69" s="110"/>
      <c r="N69" s="110"/>
      <c r="O69" s="110"/>
      <c r="P69" s="110"/>
      <c r="Q69" s="110"/>
      <c r="R69" s="194"/>
      <c r="S69" s="110"/>
      <c r="T69" s="110"/>
      <c r="U69" s="110"/>
      <c r="V69" s="110"/>
      <c r="W69" s="110"/>
      <c r="X69" s="110"/>
      <c r="Y69" s="110"/>
      <c r="Z69" s="110"/>
      <c r="AA69" s="110"/>
      <c r="AB69" s="110"/>
      <c r="AC69" s="110"/>
    </row>
    <row r="70" spans="1:86" x14ac:dyDescent="0.2">
      <c r="A70" s="110"/>
      <c r="B70" s="110"/>
      <c r="C70" s="110"/>
      <c r="D70" s="110"/>
      <c r="E70" s="110"/>
      <c r="F70" s="110"/>
      <c r="G70" s="110"/>
      <c r="H70" s="110"/>
      <c r="I70" s="110"/>
      <c r="J70" s="110"/>
      <c r="K70" s="110"/>
      <c r="L70" s="110"/>
      <c r="M70" s="110"/>
      <c r="N70" s="110"/>
      <c r="O70" s="110"/>
      <c r="P70" s="110"/>
      <c r="Q70" s="110"/>
      <c r="R70" s="194"/>
      <c r="S70" s="110"/>
      <c r="T70" s="110"/>
      <c r="U70" s="110"/>
      <c r="V70" s="110"/>
      <c r="W70" s="110"/>
      <c r="X70" s="110"/>
      <c r="Y70" s="110"/>
      <c r="Z70" s="110"/>
      <c r="AA70" s="110"/>
      <c r="AB70" s="110"/>
      <c r="AC70" s="110"/>
    </row>
    <row r="71" spans="1:86" x14ac:dyDescent="0.2">
      <c r="A71" s="110"/>
      <c r="B71" s="110"/>
      <c r="C71" s="110"/>
      <c r="D71" s="110"/>
      <c r="E71" s="110"/>
      <c r="F71" s="110"/>
      <c r="G71" s="110"/>
      <c r="H71" s="110"/>
      <c r="I71" s="110"/>
      <c r="J71" s="110"/>
      <c r="K71" s="110"/>
      <c r="L71" s="110"/>
      <c r="M71" s="110"/>
      <c r="N71" s="110"/>
      <c r="O71" s="110"/>
      <c r="P71" s="110"/>
      <c r="Q71" s="110"/>
      <c r="R71" s="194"/>
      <c r="S71" s="110"/>
      <c r="T71" s="110"/>
      <c r="U71" s="110"/>
      <c r="V71" s="110"/>
      <c r="W71" s="110"/>
      <c r="X71" s="110"/>
      <c r="Y71" s="110"/>
      <c r="Z71" s="110"/>
      <c r="AA71" s="110"/>
      <c r="AB71" s="110"/>
      <c r="AC71" s="110"/>
    </row>
    <row r="72" spans="1:86" x14ac:dyDescent="0.2">
      <c r="A72" s="110"/>
      <c r="B72" s="110"/>
      <c r="C72" s="110"/>
      <c r="D72" s="110"/>
      <c r="E72" s="110"/>
      <c r="F72" s="110"/>
      <c r="G72" s="110"/>
      <c r="H72" s="110"/>
      <c r="I72" s="110"/>
      <c r="J72" s="110"/>
      <c r="K72" s="110"/>
      <c r="L72" s="110"/>
      <c r="M72" s="110"/>
      <c r="N72" s="110"/>
      <c r="O72" s="110"/>
      <c r="P72" s="110"/>
      <c r="Q72" s="110"/>
      <c r="R72" s="194"/>
      <c r="S72" s="110"/>
      <c r="T72" s="110"/>
      <c r="U72" s="110"/>
      <c r="V72" s="110"/>
      <c r="W72" s="110"/>
      <c r="X72" s="110"/>
      <c r="Y72" s="110"/>
      <c r="Z72" s="110"/>
      <c r="AA72" s="110"/>
      <c r="AB72" s="110"/>
      <c r="AC72" s="110"/>
    </row>
    <row r="73" spans="1:86" x14ac:dyDescent="0.2">
      <c r="A73" s="110"/>
      <c r="B73" s="110"/>
      <c r="C73" s="110"/>
      <c r="D73" s="110"/>
      <c r="E73" s="110"/>
      <c r="F73" s="110"/>
      <c r="G73" s="110"/>
      <c r="H73" s="110"/>
      <c r="I73" s="110"/>
      <c r="J73" s="110"/>
      <c r="K73" s="110"/>
      <c r="L73" s="110"/>
      <c r="M73" s="110"/>
      <c r="N73" s="110"/>
      <c r="O73" s="110"/>
      <c r="P73" s="110"/>
      <c r="Q73" s="110"/>
      <c r="R73" s="194"/>
      <c r="S73" s="110"/>
      <c r="T73" s="110"/>
      <c r="U73" s="110"/>
      <c r="V73" s="110"/>
      <c r="W73" s="110"/>
      <c r="X73" s="110"/>
      <c r="Y73" s="110"/>
      <c r="Z73" s="110"/>
      <c r="AA73" s="110"/>
      <c r="AB73" s="110"/>
      <c r="AC73" s="110"/>
    </row>
    <row r="74" spans="1:86" x14ac:dyDescent="0.2">
      <c r="A74" s="110"/>
      <c r="B74" s="110"/>
      <c r="C74" s="110"/>
      <c r="D74" s="110"/>
      <c r="E74" s="110"/>
      <c r="F74" s="110"/>
      <c r="G74" s="110"/>
      <c r="H74" s="110"/>
      <c r="I74" s="110"/>
      <c r="J74" s="110"/>
      <c r="K74" s="110"/>
      <c r="L74" s="110"/>
      <c r="M74" s="110"/>
      <c r="N74" s="110"/>
      <c r="O74" s="110"/>
      <c r="P74" s="110"/>
      <c r="Q74" s="110"/>
      <c r="R74" s="194"/>
      <c r="S74" s="110"/>
      <c r="T74" s="110"/>
      <c r="U74" s="110"/>
      <c r="V74" s="110"/>
      <c r="W74" s="110"/>
      <c r="X74" s="110"/>
      <c r="Y74" s="110"/>
      <c r="Z74" s="110"/>
      <c r="AA74" s="110"/>
      <c r="AB74" s="110"/>
      <c r="AC74" s="110"/>
    </row>
    <row r="75" spans="1:86" x14ac:dyDescent="0.2">
      <c r="A75" s="110"/>
      <c r="B75" s="110"/>
      <c r="C75" s="110"/>
      <c r="D75" s="110"/>
      <c r="E75" s="110"/>
      <c r="F75" s="110"/>
      <c r="G75" s="110"/>
      <c r="H75" s="110"/>
      <c r="I75" s="110"/>
      <c r="J75" s="110"/>
      <c r="K75" s="110"/>
      <c r="L75" s="110"/>
      <c r="M75" s="110"/>
      <c r="N75" s="110"/>
      <c r="O75" s="110"/>
      <c r="P75" s="110"/>
      <c r="Q75" s="110"/>
      <c r="R75" s="194"/>
      <c r="S75" s="110"/>
      <c r="T75" s="110"/>
      <c r="U75" s="110"/>
      <c r="V75" s="110"/>
      <c r="W75" s="110"/>
      <c r="X75" s="110"/>
      <c r="Y75" s="110"/>
      <c r="Z75" s="110"/>
      <c r="AA75" s="110"/>
      <c r="AB75" s="110"/>
      <c r="AC75" s="110"/>
    </row>
    <row r="76" spans="1:86" x14ac:dyDescent="0.2">
      <c r="A76" s="110"/>
      <c r="B76" s="110"/>
      <c r="C76" s="110"/>
      <c r="D76" s="110"/>
      <c r="E76" s="110"/>
      <c r="F76" s="110"/>
      <c r="G76" s="110"/>
      <c r="H76" s="110"/>
      <c r="I76" s="110"/>
      <c r="J76" s="110"/>
      <c r="K76" s="110"/>
      <c r="L76" s="110"/>
      <c r="M76" s="110"/>
      <c r="N76" s="110"/>
      <c r="O76" s="110"/>
      <c r="P76" s="110"/>
      <c r="Q76" s="110"/>
      <c r="R76" s="194"/>
      <c r="S76" s="110"/>
      <c r="T76" s="110"/>
      <c r="U76" s="110"/>
      <c r="V76" s="110"/>
      <c r="W76" s="110"/>
      <c r="X76" s="110"/>
      <c r="Y76" s="110"/>
      <c r="Z76" s="110"/>
      <c r="AA76" s="110"/>
      <c r="AB76" s="110"/>
      <c r="AC76" s="110"/>
    </row>
    <row r="77" spans="1:86" x14ac:dyDescent="0.2">
      <c r="A77" s="110"/>
      <c r="B77" s="110"/>
      <c r="C77" s="110"/>
      <c r="D77" s="110"/>
      <c r="E77" s="110"/>
      <c r="F77" s="110"/>
      <c r="G77" s="110"/>
      <c r="H77" s="110"/>
      <c r="I77" s="110"/>
      <c r="J77" s="110"/>
      <c r="K77" s="110"/>
      <c r="L77" s="110"/>
      <c r="M77" s="110"/>
      <c r="N77" s="110"/>
      <c r="O77" s="110"/>
      <c r="P77" s="110"/>
      <c r="Q77" s="110"/>
      <c r="R77" s="194"/>
      <c r="S77" s="110"/>
      <c r="T77" s="110"/>
      <c r="U77" s="110"/>
      <c r="V77" s="110"/>
      <c r="W77" s="110"/>
      <c r="X77" s="110"/>
      <c r="Y77" s="110"/>
      <c r="Z77" s="110"/>
      <c r="AA77" s="110"/>
      <c r="AB77" s="110"/>
      <c r="AC77" s="110"/>
    </row>
    <row r="78" spans="1:86" x14ac:dyDescent="0.2">
      <c r="A78" s="110"/>
      <c r="B78" s="110"/>
      <c r="C78" s="110"/>
      <c r="D78" s="110"/>
      <c r="E78" s="110"/>
      <c r="F78" s="110"/>
      <c r="G78" s="110"/>
      <c r="H78" s="110"/>
      <c r="I78" s="110"/>
      <c r="J78" s="110"/>
      <c r="K78" s="110"/>
      <c r="L78" s="110"/>
      <c r="M78" s="110"/>
      <c r="N78" s="110"/>
      <c r="O78" s="110"/>
      <c r="P78" s="110"/>
      <c r="Q78" s="110"/>
      <c r="R78" s="194"/>
      <c r="S78" s="110"/>
      <c r="T78" s="110"/>
      <c r="U78" s="110"/>
      <c r="V78" s="110"/>
      <c r="W78" s="110"/>
      <c r="X78" s="110"/>
      <c r="Y78" s="110"/>
      <c r="Z78" s="110"/>
      <c r="AA78" s="110"/>
      <c r="AB78" s="110"/>
      <c r="AC78" s="110"/>
    </row>
    <row r="79" spans="1:86" x14ac:dyDescent="0.2">
      <c r="A79" s="110"/>
      <c r="B79" s="110"/>
      <c r="C79" s="110"/>
      <c r="D79" s="110"/>
      <c r="E79" s="110"/>
      <c r="F79" s="110"/>
      <c r="G79" s="110"/>
      <c r="H79" s="110"/>
      <c r="I79" s="110"/>
      <c r="J79" s="110"/>
      <c r="K79" s="110"/>
      <c r="L79" s="110"/>
      <c r="M79" s="110"/>
      <c r="N79" s="110"/>
      <c r="O79" s="110"/>
      <c r="P79" s="110"/>
      <c r="Q79" s="110"/>
      <c r="R79" s="194"/>
      <c r="S79" s="110"/>
      <c r="T79" s="110"/>
      <c r="U79" s="110"/>
      <c r="V79" s="110"/>
      <c r="W79" s="110"/>
      <c r="X79" s="110"/>
      <c r="Y79" s="110"/>
      <c r="Z79" s="110"/>
      <c r="AA79" s="110"/>
      <c r="AB79" s="110"/>
      <c r="AC79" s="110"/>
    </row>
    <row r="80" spans="1:86" x14ac:dyDescent="0.2">
      <c r="A80" s="110"/>
      <c r="B80" s="110"/>
      <c r="C80" s="110"/>
      <c r="D80" s="110"/>
      <c r="E80" s="110"/>
      <c r="F80" s="110"/>
      <c r="G80" s="110"/>
      <c r="H80" s="110"/>
      <c r="I80" s="110"/>
      <c r="J80" s="110"/>
      <c r="K80" s="110"/>
      <c r="L80" s="110"/>
      <c r="M80" s="110"/>
      <c r="N80" s="110"/>
      <c r="O80" s="110"/>
      <c r="P80" s="110"/>
      <c r="Q80" s="110"/>
      <c r="R80" s="194"/>
      <c r="S80" s="110"/>
      <c r="T80" s="110"/>
      <c r="U80" s="110"/>
      <c r="V80" s="110"/>
      <c r="W80" s="110"/>
      <c r="X80" s="110"/>
      <c r="Y80" s="110"/>
      <c r="Z80" s="110"/>
      <c r="AA80" s="110"/>
      <c r="AB80" s="110"/>
      <c r="AC80" s="110"/>
    </row>
    <row r="81" spans="1:29" x14ac:dyDescent="0.2">
      <c r="A81" s="110"/>
      <c r="B81" s="110"/>
      <c r="C81" s="110"/>
      <c r="D81" s="110"/>
      <c r="E81" s="110"/>
      <c r="F81" s="110"/>
      <c r="G81" s="110"/>
      <c r="H81" s="110"/>
      <c r="I81" s="110"/>
      <c r="J81" s="110"/>
      <c r="K81" s="110"/>
      <c r="L81" s="110"/>
      <c r="M81" s="110"/>
      <c r="N81" s="110"/>
      <c r="O81" s="110"/>
      <c r="P81" s="110"/>
      <c r="Q81" s="110"/>
      <c r="R81" s="194"/>
      <c r="S81" s="110"/>
      <c r="T81" s="110"/>
      <c r="U81" s="110"/>
      <c r="V81" s="110"/>
      <c r="W81" s="110"/>
      <c r="X81" s="110"/>
      <c r="Y81" s="110"/>
      <c r="Z81" s="110"/>
      <c r="AA81" s="110"/>
      <c r="AB81" s="110"/>
      <c r="AC81" s="110"/>
    </row>
    <row r="82" spans="1:29" x14ac:dyDescent="0.2">
      <c r="A82" s="110"/>
      <c r="B82" s="110"/>
      <c r="C82" s="110"/>
      <c r="D82" s="110"/>
      <c r="E82" s="110"/>
      <c r="F82" s="110"/>
      <c r="G82" s="110"/>
      <c r="H82" s="110"/>
      <c r="I82" s="110"/>
      <c r="J82" s="110"/>
      <c r="K82" s="110"/>
      <c r="L82" s="110"/>
      <c r="M82" s="110"/>
      <c r="N82" s="110"/>
      <c r="O82" s="110"/>
      <c r="P82" s="110"/>
      <c r="Q82" s="110"/>
      <c r="R82" s="194"/>
      <c r="S82" s="110"/>
      <c r="T82" s="110"/>
      <c r="U82" s="110"/>
      <c r="V82" s="110"/>
      <c r="W82" s="110"/>
      <c r="X82" s="110"/>
      <c r="Y82" s="110"/>
      <c r="Z82" s="110"/>
      <c r="AA82" s="110"/>
      <c r="AB82" s="110"/>
      <c r="AC82" s="110"/>
    </row>
    <row r="83" spans="1:29" x14ac:dyDescent="0.2">
      <c r="A83" s="110"/>
      <c r="B83" s="110"/>
      <c r="C83" s="110"/>
      <c r="D83" s="110"/>
      <c r="E83" s="110"/>
      <c r="F83" s="110"/>
      <c r="G83" s="110"/>
      <c r="H83" s="110"/>
      <c r="I83" s="110"/>
      <c r="J83" s="110"/>
      <c r="K83" s="110"/>
      <c r="L83" s="110"/>
      <c r="M83" s="110"/>
      <c r="N83" s="110"/>
      <c r="O83" s="110"/>
      <c r="P83" s="110"/>
      <c r="Q83" s="110"/>
      <c r="R83" s="194"/>
      <c r="S83" s="110"/>
      <c r="T83" s="110"/>
      <c r="U83" s="110"/>
      <c r="V83" s="110"/>
      <c r="W83" s="110"/>
      <c r="X83" s="110"/>
      <c r="Y83" s="110"/>
      <c r="Z83" s="110"/>
      <c r="AA83" s="110"/>
      <c r="AB83" s="110"/>
      <c r="AC83" s="110"/>
    </row>
    <row r="84" spans="1:29" x14ac:dyDescent="0.2">
      <c r="A84" s="110"/>
      <c r="B84" s="110"/>
      <c r="C84" s="110"/>
      <c r="D84" s="110"/>
      <c r="E84" s="110"/>
      <c r="F84" s="110"/>
      <c r="G84" s="110"/>
      <c r="H84" s="110"/>
      <c r="I84" s="110"/>
      <c r="J84" s="110"/>
      <c r="K84" s="110"/>
      <c r="L84" s="110"/>
      <c r="M84" s="110"/>
      <c r="N84" s="110"/>
      <c r="O84" s="110"/>
      <c r="P84" s="110"/>
      <c r="Q84" s="110"/>
      <c r="R84" s="194"/>
      <c r="S84" s="110"/>
      <c r="T84" s="110"/>
      <c r="U84" s="110"/>
      <c r="V84" s="110"/>
      <c r="W84" s="110"/>
      <c r="X84" s="110"/>
      <c r="Y84" s="110"/>
      <c r="Z84" s="110"/>
      <c r="AA84" s="110"/>
      <c r="AB84" s="110"/>
      <c r="AC84" s="110"/>
    </row>
    <row r="85" spans="1:29" x14ac:dyDescent="0.2">
      <c r="A85" s="110"/>
      <c r="B85" s="110"/>
      <c r="C85" s="110"/>
      <c r="D85" s="110"/>
      <c r="E85" s="110"/>
      <c r="F85" s="110"/>
      <c r="G85" s="110"/>
      <c r="H85" s="110"/>
      <c r="I85" s="110"/>
      <c r="J85" s="110"/>
      <c r="K85" s="110"/>
      <c r="L85" s="110"/>
      <c r="M85" s="110"/>
      <c r="N85" s="110"/>
      <c r="O85" s="110"/>
      <c r="P85" s="110"/>
      <c r="Q85" s="110"/>
      <c r="R85" s="194"/>
      <c r="S85" s="110"/>
      <c r="T85" s="110"/>
      <c r="U85" s="110"/>
      <c r="V85" s="110"/>
      <c r="W85" s="110"/>
      <c r="X85" s="110"/>
      <c r="Y85" s="110"/>
      <c r="Z85" s="110"/>
      <c r="AA85" s="110"/>
      <c r="AB85" s="110"/>
      <c r="AC85" s="110"/>
    </row>
    <row r="86" spans="1:29" x14ac:dyDescent="0.2">
      <c r="A86" s="110"/>
      <c r="B86" s="110"/>
      <c r="C86" s="110"/>
      <c r="D86" s="110"/>
      <c r="E86" s="110"/>
      <c r="F86" s="110"/>
      <c r="G86" s="110"/>
      <c r="H86" s="110"/>
      <c r="I86" s="110"/>
      <c r="J86" s="110"/>
      <c r="K86" s="110"/>
      <c r="L86" s="110"/>
      <c r="M86" s="110"/>
      <c r="N86" s="110"/>
      <c r="O86" s="110"/>
      <c r="P86" s="110"/>
      <c r="Q86" s="110"/>
      <c r="R86" s="194"/>
      <c r="S86" s="110"/>
      <c r="T86" s="110"/>
      <c r="U86" s="110"/>
      <c r="V86" s="110"/>
      <c r="W86" s="110"/>
      <c r="X86" s="110"/>
      <c r="Y86" s="110"/>
      <c r="Z86" s="110"/>
      <c r="AA86" s="110"/>
      <c r="AB86" s="110"/>
      <c r="AC86" s="110"/>
    </row>
    <row r="87" spans="1:29" x14ac:dyDescent="0.2">
      <c r="A87" s="110"/>
      <c r="B87" s="110"/>
      <c r="C87" s="110"/>
      <c r="D87" s="110"/>
      <c r="E87" s="110"/>
      <c r="F87" s="110"/>
      <c r="G87" s="110"/>
      <c r="H87" s="110"/>
      <c r="I87" s="110"/>
      <c r="J87" s="110"/>
      <c r="K87" s="110"/>
      <c r="L87" s="110"/>
      <c r="M87" s="110"/>
      <c r="N87" s="110"/>
      <c r="O87" s="110"/>
      <c r="P87" s="110"/>
      <c r="Q87" s="110"/>
      <c r="R87" s="194"/>
      <c r="S87" s="110"/>
      <c r="T87" s="110"/>
      <c r="U87" s="110"/>
      <c r="V87" s="110"/>
      <c r="W87" s="110"/>
      <c r="X87" s="110"/>
      <c r="Y87" s="110"/>
      <c r="Z87" s="110"/>
      <c r="AA87" s="110"/>
      <c r="AB87" s="110"/>
      <c r="AC87" s="110"/>
    </row>
    <row r="88" spans="1:29" x14ac:dyDescent="0.2">
      <c r="A88" s="110"/>
      <c r="B88" s="110"/>
      <c r="C88" s="110"/>
      <c r="D88" s="110"/>
      <c r="E88" s="110"/>
      <c r="F88" s="110"/>
      <c r="G88" s="110"/>
      <c r="H88" s="110"/>
      <c r="I88" s="110"/>
      <c r="J88" s="110"/>
      <c r="K88" s="110"/>
      <c r="L88" s="110"/>
      <c r="M88" s="110"/>
      <c r="N88" s="110"/>
      <c r="O88" s="110"/>
      <c r="P88" s="110"/>
      <c r="Q88" s="110"/>
      <c r="R88" s="194"/>
      <c r="S88" s="110"/>
      <c r="T88" s="110"/>
      <c r="U88" s="110"/>
      <c r="V88" s="110"/>
      <c r="W88" s="110"/>
      <c r="X88" s="110"/>
      <c r="Y88" s="110"/>
      <c r="Z88" s="110"/>
      <c r="AA88" s="110"/>
      <c r="AB88" s="110"/>
      <c r="AC88" s="110"/>
    </row>
    <row r="89" spans="1:29" x14ac:dyDescent="0.2">
      <c r="A89" s="110"/>
      <c r="B89" s="110"/>
      <c r="C89" s="110"/>
      <c r="D89" s="110"/>
      <c r="E89" s="110"/>
      <c r="F89" s="110"/>
      <c r="G89" s="110"/>
      <c r="H89" s="110"/>
      <c r="I89" s="110"/>
      <c r="J89" s="110"/>
      <c r="K89" s="110"/>
      <c r="L89" s="110"/>
      <c r="M89" s="110"/>
      <c r="N89" s="110"/>
      <c r="O89" s="110"/>
      <c r="P89" s="110"/>
      <c r="Q89" s="110"/>
      <c r="R89" s="194"/>
      <c r="S89" s="110"/>
      <c r="T89" s="110"/>
      <c r="U89" s="110"/>
      <c r="V89" s="110"/>
      <c r="W89" s="110"/>
      <c r="X89" s="110"/>
      <c r="Y89" s="110"/>
      <c r="Z89" s="110"/>
      <c r="AA89" s="110"/>
      <c r="AB89" s="110"/>
      <c r="AC89" s="110"/>
    </row>
    <row r="90" spans="1:29" x14ac:dyDescent="0.2">
      <c r="A90" s="110"/>
      <c r="B90" s="110"/>
      <c r="C90" s="110"/>
      <c r="D90" s="110"/>
      <c r="E90" s="110"/>
      <c r="F90" s="110"/>
      <c r="G90" s="110"/>
      <c r="H90" s="110"/>
      <c r="I90" s="110"/>
      <c r="J90" s="110"/>
      <c r="K90" s="110"/>
      <c r="L90" s="110"/>
      <c r="M90" s="110"/>
      <c r="N90" s="110"/>
      <c r="O90" s="110"/>
      <c r="P90" s="110"/>
      <c r="Q90" s="110"/>
      <c r="R90" s="194"/>
      <c r="S90" s="110"/>
      <c r="T90" s="110"/>
      <c r="U90" s="110"/>
      <c r="V90" s="110"/>
      <c r="W90" s="110"/>
      <c r="X90" s="110"/>
      <c r="Y90" s="110"/>
      <c r="Z90" s="110"/>
      <c r="AA90" s="110"/>
      <c r="AB90" s="110"/>
      <c r="AC90" s="110"/>
    </row>
    <row r="91" spans="1:29" x14ac:dyDescent="0.2">
      <c r="A91" s="110"/>
      <c r="B91" s="110"/>
      <c r="C91" s="110"/>
      <c r="D91" s="110"/>
      <c r="E91" s="110"/>
      <c r="F91" s="110"/>
      <c r="G91" s="110"/>
      <c r="H91" s="110"/>
      <c r="I91" s="110"/>
      <c r="J91" s="110"/>
      <c r="K91" s="110"/>
      <c r="L91" s="110"/>
      <c r="M91" s="110"/>
      <c r="N91" s="110"/>
      <c r="O91" s="110"/>
      <c r="P91" s="110"/>
      <c r="Q91" s="110"/>
      <c r="R91" s="194"/>
      <c r="S91" s="110"/>
      <c r="T91" s="110"/>
      <c r="U91" s="110"/>
      <c r="V91" s="110"/>
      <c r="W91" s="110"/>
      <c r="X91" s="110"/>
      <c r="Y91" s="110"/>
      <c r="Z91" s="110"/>
      <c r="AA91" s="110"/>
      <c r="AB91" s="110"/>
      <c r="AC91" s="110"/>
    </row>
  </sheetData>
  <sheetProtection password="9C8D" sheet="1" objects="1" scenarios="1"/>
  <mergeCells count="13">
    <mergeCell ref="A46:P46"/>
    <mergeCell ref="A1:D1"/>
    <mergeCell ref="A2:D2"/>
    <mergeCell ref="A3:D3"/>
    <mergeCell ref="A6:A7"/>
    <mergeCell ref="B6:B7"/>
    <mergeCell ref="C6:C7"/>
    <mergeCell ref="D6:D7"/>
    <mergeCell ref="E6:E7"/>
    <mergeCell ref="F8:G8"/>
    <mergeCell ref="H8:I8"/>
    <mergeCell ref="J8:K8"/>
    <mergeCell ref="L8:M8"/>
  </mergeCells>
  <pageMargins left="0.78740157480314965" right="0.78740157480314965" top="0.98425196850393704" bottom="0.98425196850393704" header="0.51181102362204722" footer="0.51181102362204722"/>
  <pageSetup paperSize="9" scale="80"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62"/>
  <sheetViews>
    <sheetView windowProtection="1" showGridLines="0" workbookViewId="0">
      <selection activeCell="C18" sqref="C18"/>
    </sheetView>
  </sheetViews>
  <sheetFormatPr defaultRowHeight="12.75" x14ac:dyDescent="0.2"/>
  <cols>
    <col min="1" max="1" width="19.28515625" customWidth="1"/>
    <col min="2" max="2" width="14.85546875" customWidth="1"/>
    <col min="3" max="3" width="20.140625" customWidth="1"/>
    <col min="4" max="4" width="20" customWidth="1"/>
    <col min="5" max="6" width="10.5703125" customWidth="1"/>
    <col min="7" max="8" width="13.42578125" customWidth="1"/>
    <col min="9" max="10" width="16.5703125" customWidth="1"/>
    <col min="11" max="15" width="12.42578125" customWidth="1"/>
    <col min="16" max="16" width="12.5703125" customWidth="1"/>
    <col min="17" max="17" width="12.85546875" bestFit="1" customWidth="1"/>
    <col min="18" max="18" width="9.140625" style="196"/>
  </cols>
  <sheetData>
    <row r="1" spans="1:86" ht="15.75" x14ac:dyDescent="0.25">
      <c r="A1" s="1225" t="s">
        <v>419</v>
      </c>
      <c r="B1" s="1225"/>
      <c r="C1" s="1225"/>
      <c r="D1" s="1225"/>
    </row>
    <row r="2" spans="1:86" ht="15" x14ac:dyDescent="0.2">
      <c r="A2" s="1226" t="s">
        <v>160</v>
      </c>
      <c r="B2" s="1226"/>
      <c r="C2" s="1226"/>
      <c r="D2" s="1226"/>
    </row>
    <row r="3" spans="1:86" ht="15" x14ac:dyDescent="0.2">
      <c r="A3" s="1226" t="str">
        <f>[5]Dados!A18</f>
        <v>Exercício de 2015</v>
      </c>
      <c r="B3" s="1226"/>
      <c r="C3" s="1226"/>
      <c r="D3" s="1226"/>
    </row>
    <row r="4" spans="1:86" x14ac:dyDescent="0.2">
      <c r="A4" s="207"/>
      <c r="B4" s="207"/>
      <c r="C4" s="207"/>
      <c r="D4" s="207"/>
    </row>
    <row r="5" spans="1:86" x14ac:dyDescent="0.2">
      <c r="A5" s="207"/>
      <c r="B5" s="207"/>
      <c r="C5" s="207"/>
      <c r="D5" s="207"/>
    </row>
    <row r="6" spans="1:86" ht="17.25" customHeight="1" x14ac:dyDescent="0.2">
      <c r="A6" s="1191" t="s">
        <v>111</v>
      </c>
      <c r="B6" s="1191" t="s">
        <v>148</v>
      </c>
      <c r="C6" s="1191" t="s">
        <v>154</v>
      </c>
      <c r="D6" s="1191" t="s">
        <v>155</v>
      </c>
      <c r="E6" s="1276"/>
      <c r="F6" s="208"/>
      <c r="G6" s="209"/>
      <c r="H6" s="209"/>
      <c r="I6" s="209"/>
      <c r="J6" s="209"/>
      <c r="K6" s="209"/>
      <c r="L6" s="209"/>
      <c r="M6" s="209"/>
      <c r="N6" s="209"/>
      <c r="O6" s="209"/>
      <c r="P6" s="209"/>
      <c r="Q6" s="210"/>
      <c r="R6" s="151"/>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row>
    <row r="7" spans="1:86" ht="15" customHeight="1" x14ac:dyDescent="0.2">
      <c r="A7" s="1191"/>
      <c r="B7" s="1191"/>
      <c r="C7" s="1191"/>
      <c r="D7" s="1191"/>
      <c r="E7" s="1276"/>
      <c r="F7" s="1379"/>
      <c r="G7" s="1379"/>
      <c r="H7" s="1379"/>
      <c r="I7" s="1379"/>
      <c r="J7" s="1379"/>
      <c r="K7" s="1379"/>
      <c r="L7" s="1379"/>
      <c r="M7" s="1379"/>
      <c r="N7" s="211"/>
      <c r="O7" s="211"/>
      <c r="P7" s="209"/>
      <c r="Q7" s="210"/>
      <c r="R7" s="151"/>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0"/>
      <c r="CF7" s="110"/>
      <c r="CG7" s="110"/>
      <c r="CH7" s="110"/>
    </row>
    <row r="8" spans="1:86" ht="20.100000000000001" customHeight="1" x14ac:dyDescent="0.2">
      <c r="A8" s="212" t="s">
        <v>161</v>
      </c>
      <c r="B8" s="213" t="s">
        <v>162</v>
      </c>
      <c r="C8" s="214">
        <v>1717</v>
      </c>
      <c r="D8" s="214">
        <v>195173</v>
      </c>
      <c r="E8" s="75"/>
      <c r="F8" s="75"/>
      <c r="G8" s="75"/>
      <c r="H8" s="75"/>
      <c r="I8" s="75"/>
      <c r="J8" s="75"/>
      <c r="K8" s="75"/>
      <c r="L8" s="75"/>
      <c r="M8" s="75"/>
      <c r="N8" s="75"/>
      <c r="O8" s="75"/>
      <c r="P8" s="198"/>
      <c r="Q8" s="79"/>
      <c r="R8" s="200"/>
      <c r="S8" s="110"/>
      <c r="T8" s="110"/>
      <c r="U8" s="110"/>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c r="CH8" s="110"/>
    </row>
    <row r="9" spans="1:86" ht="20.100000000000001" customHeight="1" x14ac:dyDescent="0.2">
      <c r="A9" s="212"/>
      <c r="B9" s="213" t="s">
        <v>163</v>
      </c>
      <c r="C9" s="214">
        <v>73228</v>
      </c>
      <c r="D9" s="214">
        <v>660786</v>
      </c>
      <c r="E9" s="75"/>
      <c r="F9" s="215"/>
      <c r="G9" s="215"/>
      <c r="H9" s="215"/>
      <c r="I9" s="215"/>
      <c r="J9" s="215"/>
      <c r="K9" s="215"/>
      <c r="L9" s="215"/>
      <c r="M9" s="215"/>
      <c r="N9" s="75"/>
      <c r="O9" s="75"/>
      <c r="P9" s="198"/>
      <c r="Q9" s="79"/>
      <c r="R9" s="20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c r="CH9" s="110"/>
    </row>
    <row r="10" spans="1:86" ht="20.100000000000001" customHeight="1" x14ac:dyDescent="0.2">
      <c r="A10" s="212"/>
      <c r="B10" s="213" t="s">
        <v>164</v>
      </c>
      <c r="C10" s="214">
        <v>141707</v>
      </c>
      <c r="D10" s="214">
        <v>1400429</v>
      </c>
      <c r="E10" s="75"/>
      <c r="F10" s="75"/>
      <c r="G10" s="62"/>
      <c r="H10" s="62"/>
      <c r="I10" s="62"/>
      <c r="J10" s="62"/>
      <c r="K10" s="62"/>
      <c r="L10" s="62"/>
      <c r="M10" s="62"/>
      <c r="N10" s="75"/>
      <c r="O10" s="75"/>
      <c r="P10" s="198"/>
      <c r="Q10" s="79"/>
      <c r="R10" s="20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row>
    <row r="11" spans="1:86" ht="20.100000000000001" customHeight="1" x14ac:dyDescent="0.2">
      <c r="A11" s="216"/>
      <c r="B11" s="217" t="s">
        <v>165</v>
      </c>
      <c r="C11" s="214">
        <v>115024</v>
      </c>
      <c r="D11" s="218">
        <v>1816288</v>
      </c>
      <c r="E11" s="75"/>
      <c r="F11" s="75"/>
      <c r="G11" s="75"/>
      <c r="H11" s="75"/>
      <c r="I11" s="219"/>
      <c r="J11" s="219"/>
      <c r="K11" s="75"/>
      <c r="L11" s="75"/>
      <c r="M11" s="219"/>
      <c r="N11" s="75"/>
      <c r="O11" s="75"/>
      <c r="P11" s="198"/>
      <c r="Q11" s="79"/>
      <c r="R11" s="20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c r="CH11" s="110"/>
    </row>
    <row r="12" spans="1:86" ht="20.100000000000001" customHeight="1" x14ac:dyDescent="0.2">
      <c r="A12" s="220" t="s">
        <v>112</v>
      </c>
      <c r="B12" s="221" t="s">
        <v>162</v>
      </c>
      <c r="C12" s="222">
        <v>7740</v>
      </c>
      <c r="D12" s="222">
        <v>2146227</v>
      </c>
      <c r="E12" s="75"/>
      <c r="F12" s="75"/>
      <c r="G12" s="75"/>
      <c r="H12" s="75"/>
      <c r="I12" s="219"/>
      <c r="J12" s="219"/>
      <c r="K12" s="75"/>
      <c r="L12" s="75"/>
      <c r="M12" s="219"/>
      <c r="N12" s="75"/>
      <c r="O12" s="75"/>
      <c r="P12" s="198"/>
      <c r="Q12" s="79"/>
      <c r="R12" s="20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c r="CH12" s="110"/>
    </row>
    <row r="13" spans="1:86" ht="20.100000000000001" customHeight="1" x14ac:dyDescent="0.2">
      <c r="A13" s="212"/>
      <c r="B13" s="213" t="s">
        <v>163</v>
      </c>
      <c r="C13" s="214">
        <v>75521</v>
      </c>
      <c r="D13" s="214">
        <v>1008794</v>
      </c>
      <c r="E13" s="75"/>
      <c r="F13" s="75"/>
      <c r="G13" s="223"/>
      <c r="H13" s="223"/>
      <c r="I13" s="224"/>
      <c r="J13" s="224"/>
      <c r="K13" s="75"/>
      <c r="L13" s="75"/>
      <c r="M13" s="219"/>
      <c r="N13" s="75"/>
      <c r="O13" s="75"/>
      <c r="P13" s="198"/>
      <c r="Q13" s="79"/>
      <c r="R13" s="20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row>
    <row r="14" spans="1:86" ht="20.100000000000001" customHeight="1" x14ac:dyDescent="0.2">
      <c r="A14" s="212"/>
      <c r="B14" s="213" t="s">
        <v>164</v>
      </c>
      <c r="C14" s="214">
        <v>33697</v>
      </c>
      <c r="D14" s="214">
        <v>2147707</v>
      </c>
      <c r="E14" s="75"/>
      <c r="F14" s="75"/>
      <c r="G14" s="223"/>
      <c r="H14" s="223"/>
      <c r="I14" s="223"/>
      <c r="J14" s="223"/>
      <c r="K14" s="75"/>
      <c r="L14" s="75"/>
      <c r="M14" s="75"/>
      <c r="N14" s="75"/>
      <c r="O14" s="75"/>
      <c r="P14" s="198"/>
      <c r="Q14" s="79"/>
      <c r="R14" s="20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row>
    <row r="15" spans="1:86" ht="20.100000000000001" customHeight="1" x14ac:dyDescent="0.2">
      <c r="A15" s="212"/>
      <c r="B15" s="213" t="s">
        <v>165</v>
      </c>
      <c r="C15" s="214">
        <v>57483</v>
      </c>
      <c r="D15" s="214">
        <v>2119823</v>
      </c>
      <c r="E15" s="75"/>
      <c r="F15" s="75"/>
      <c r="G15" s="75"/>
      <c r="H15" s="75"/>
      <c r="I15" s="75"/>
      <c r="J15" s="75"/>
      <c r="K15" s="75"/>
      <c r="L15" s="75"/>
      <c r="M15" s="75"/>
      <c r="N15" s="75"/>
      <c r="O15" s="75"/>
      <c r="P15" s="198"/>
      <c r="Q15" s="79"/>
      <c r="R15" s="20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row>
    <row r="16" spans="1:86" ht="21.75" customHeight="1" x14ac:dyDescent="0.2">
      <c r="A16" s="225" t="s">
        <v>29</v>
      </c>
      <c r="B16" s="226">
        <f>SUM(B8:B15)</f>
        <v>0</v>
      </c>
      <c r="C16" s="226">
        <f>SUM(C8:C15)</f>
        <v>506117</v>
      </c>
      <c r="D16" s="226">
        <f>SUM(D8:D15)</f>
        <v>11495227</v>
      </c>
      <c r="E16" s="227"/>
      <c r="F16" s="227"/>
      <c r="G16" s="228"/>
      <c r="H16" s="228"/>
      <c r="I16" s="229"/>
      <c r="J16" s="229"/>
      <c r="K16" s="228"/>
      <c r="L16" s="228"/>
      <c r="M16" s="229"/>
      <c r="N16" s="227"/>
      <c r="O16" s="227"/>
      <c r="P16" s="227"/>
      <c r="Q16" s="79"/>
      <c r="R16" s="20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row>
    <row r="17" spans="1:86" x14ac:dyDescent="0.2">
      <c r="A17" s="1305" t="s">
        <v>144</v>
      </c>
      <c r="B17" s="1305"/>
      <c r="C17" s="1305"/>
      <c r="D17" s="1305"/>
      <c r="E17" s="1305"/>
      <c r="F17" s="1305"/>
      <c r="G17" s="1305"/>
      <c r="H17" s="1305"/>
      <c r="I17" s="1305"/>
      <c r="J17" s="1305"/>
      <c r="K17" s="1305"/>
      <c r="L17" s="1305"/>
      <c r="M17" s="1305"/>
      <c r="N17" s="1305"/>
      <c r="O17" s="1305"/>
      <c r="P17" s="1305"/>
      <c r="Q17" s="110"/>
      <c r="R17" s="194"/>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row>
    <row r="18" spans="1:86" ht="21.75" customHeight="1" x14ac:dyDescent="0.2">
      <c r="A18" s="230"/>
      <c r="B18" s="231"/>
      <c r="C18" s="232"/>
      <c r="D18" s="232"/>
      <c r="E18" s="231"/>
      <c r="F18" s="231"/>
      <c r="G18" s="231"/>
      <c r="H18" s="231"/>
      <c r="I18" s="231"/>
      <c r="J18" s="231"/>
      <c r="K18" s="231"/>
      <c r="L18" s="231"/>
      <c r="M18" s="231"/>
      <c r="N18" s="231"/>
      <c r="O18" s="231"/>
      <c r="P18" s="231"/>
      <c r="Q18" s="110"/>
      <c r="R18" s="194"/>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row>
    <row r="19" spans="1:86" x14ac:dyDescent="0.2">
      <c r="A19" s="110"/>
      <c r="B19" s="233"/>
      <c r="C19" s="233"/>
      <c r="D19" s="233"/>
      <c r="E19" s="233"/>
      <c r="F19" s="233"/>
      <c r="G19" s="233"/>
      <c r="H19" s="233"/>
      <c r="I19" s="233"/>
      <c r="J19" s="233"/>
      <c r="K19" s="233"/>
      <c r="L19" s="233"/>
      <c r="M19" s="233"/>
      <c r="N19" s="233"/>
      <c r="O19" s="233"/>
      <c r="P19" s="233"/>
      <c r="Q19" s="110"/>
      <c r="R19" s="194"/>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c r="BP19" s="110"/>
      <c r="BQ19" s="110"/>
      <c r="BR19" s="110"/>
      <c r="BS19" s="110"/>
      <c r="BT19" s="110"/>
      <c r="BU19" s="110"/>
      <c r="BV19" s="110"/>
      <c r="BW19" s="110"/>
      <c r="BX19" s="110"/>
      <c r="BY19" s="110"/>
      <c r="BZ19" s="110"/>
      <c r="CA19" s="110"/>
      <c r="CB19" s="110"/>
      <c r="CC19" s="110"/>
      <c r="CD19" s="110"/>
      <c r="CE19" s="110"/>
      <c r="CF19" s="110"/>
      <c r="CG19" s="110"/>
      <c r="CH19" s="110"/>
    </row>
    <row r="20" spans="1:86" x14ac:dyDescent="0.2">
      <c r="A20" s="110"/>
      <c r="B20" s="110"/>
      <c r="C20" s="110"/>
      <c r="D20" s="110"/>
      <c r="E20" s="110"/>
      <c r="F20" s="110"/>
      <c r="G20" s="110"/>
      <c r="H20" s="110"/>
      <c r="I20" s="110"/>
      <c r="J20" s="110"/>
      <c r="K20" s="110"/>
      <c r="L20" s="110"/>
      <c r="M20" s="110"/>
      <c r="N20" s="110"/>
      <c r="O20" s="110"/>
      <c r="P20" s="110"/>
      <c r="Q20" s="110"/>
      <c r="R20" s="194"/>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c r="AW20" s="110"/>
      <c r="AX20" s="110"/>
      <c r="AY20" s="110"/>
      <c r="AZ20" s="110"/>
      <c r="BA20" s="110"/>
      <c r="BB20" s="110"/>
      <c r="BC20" s="110"/>
      <c r="BD20" s="110"/>
      <c r="BE20" s="110"/>
      <c r="BF20" s="110"/>
      <c r="BG20" s="110"/>
      <c r="BH20" s="110"/>
      <c r="BI20" s="110"/>
      <c r="BJ20" s="110"/>
      <c r="BK20" s="110"/>
      <c r="BL20" s="110"/>
      <c r="BM20" s="110"/>
      <c r="BN20" s="110"/>
      <c r="BO20" s="110"/>
      <c r="BP20" s="110"/>
      <c r="BQ20" s="110"/>
      <c r="BR20" s="110"/>
      <c r="BS20" s="110"/>
      <c r="BT20" s="110"/>
      <c r="BU20" s="110"/>
      <c r="BV20" s="110"/>
      <c r="BW20" s="110"/>
      <c r="BX20" s="110"/>
      <c r="BY20" s="110"/>
      <c r="BZ20" s="110"/>
      <c r="CA20" s="110"/>
      <c r="CB20" s="110"/>
      <c r="CC20" s="110"/>
      <c r="CD20" s="110"/>
      <c r="CE20" s="110"/>
      <c r="CF20" s="110"/>
      <c r="CG20" s="110"/>
      <c r="CH20" s="110"/>
    </row>
    <row r="21" spans="1:86" x14ac:dyDescent="0.2">
      <c r="A21" s="110"/>
      <c r="B21" s="204"/>
      <c r="C21" s="204"/>
      <c r="D21" s="204"/>
      <c r="E21" s="204"/>
      <c r="F21" s="204"/>
      <c r="G21" s="204"/>
      <c r="H21" s="204"/>
      <c r="I21" s="204"/>
      <c r="J21" s="204"/>
      <c r="K21" s="204"/>
      <c r="L21" s="204"/>
      <c r="M21" s="204"/>
      <c r="N21" s="204"/>
      <c r="O21" s="204"/>
      <c r="P21" s="204"/>
      <c r="Q21" s="110"/>
      <c r="R21" s="194"/>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c r="AX21" s="110"/>
      <c r="AY21" s="110"/>
      <c r="AZ21" s="110"/>
      <c r="BA21" s="110"/>
      <c r="BB21" s="110"/>
      <c r="BC21" s="110"/>
      <c r="BD21" s="110"/>
      <c r="BE21" s="110"/>
      <c r="BF21" s="110"/>
      <c r="BG21" s="110"/>
      <c r="BH21" s="110"/>
      <c r="BI21" s="110"/>
      <c r="BJ21" s="110"/>
      <c r="BK21" s="110"/>
      <c r="BL21" s="110"/>
      <c r="BM21" s="110"/>
      <c r="BN21" s="110"/>
      <c r="BO21" s="110"/>
      <c r="BP21" s="110"/>
      <c r="BQ21" s="110"/>
      <c r="BR21" s="110"/>
      <c r="BS21" s="110"/>
      <c r="BT21" s="110"/>
      <c r="BU21" s="110"/>
      <c r="BV21" s="110"/>
      <c r="BW21" s="110"/>
      <c r="BX21" s="110"/>
      <c r="BY21" s="110"/>
      <c r="BZ21" s="110"/>
      <c r="CA21" s="110"/>
      <c r="CB21" s="110"/>
      <c r="CC21" s="110"/>
      <c r="CD21" s="110"/>
      <c r="CE21" s="110"/>
      <c r="CF21" s="110"/>
      <c r="CG21" s="110"/>
      <c r="CH21" s="110"/>
    </row>
    <row r="22" spans="1:86" x14ac:dyDescent="0.2">
      <c r="A22" s="110"/>
      <c r="B22" s="110"/>
      <c r="C22" s="110"/>
      <c r="D22" s="110"/>
      <c r="E22" s="110"/>
      <c r="F22" s="110"/>
      <c r="G22" s="110"/>
      <c r="H22" s="110"/>
      <c r="I22" s="110"/>
      <c r="J22" s="110"/>
      <c r="K22" s="110"/>
      <c r="L22" s="110"/>
      <c r="M22" s="110"/>
      <c r="N22" s="110"/>
      <c r="O22" s="110"/>
      <c r="P22" s="110"/>
      <c r="Q22" s="110"/>
      <c r="R22" s="194"/>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c r="BI22" s="110"/>
      <c r="BJ22" s="110"/>
      <c r="BK22" s="110"/>
      <c r="BL22" s="110"/>
      <c r="BM22" s="110"/>
      <c r="BN22" s="110"/>
      <c r="BO22" s="110"/>
      <c r="BP22" s="110"/>
      <c r="BQ22" s="110"/>
      <c r="BR22" s="110"/>
      <c r="BS22" s="110"/>
      <c r="BT22" s="110"/>
      <c r="BU22" s="110"/>
      <c r="BV22" s="110"/>
      <c r="BW22" s="110"/>
      <c r="BX22" s="110"/>
      <c r="BY22" s="110"/>
      <c r="BZ22" s="110"/>
      <c r="CA22" s="110"/>
      <c r="CB22" s="110"/>
      <c r="CC22" s="110"/>
      <c r="CD22" s="110"/>
      <c r="CE22" s="110"/>
      <c r="CF22" s="110"/>
      <c r="CG22" s="110"/>
      <c r="CH22" s="110"/>
    </row>
    <row r="23" spans="1:86" x14ac:dyDescent="0.2">
      <c r="A23" s="110"/>
      <c r="B23" s="110"/>
      <c r="C23" s="110"/>
      <c r="D23" s="110"/>
      <c r="E23" s="110"/>
      <c r="F23" s="110"/>
      <c r="G23" s="110"/>
      <c r="H23" s="110"/>
      <c r="I23" s="110"/>
      <c r="J23" s="110"/>
      <c r="K23" s="110"/>
      <c r="L23" s="110"/>
      <c r="M23" s="110"/>
      <c r="N23" s="110"/>
      <c r="O23" s="110"/>
      <c r="P23" s="110"/>
      <c r="Q23" s="110"/>
      <c r="R23" s="194"/>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0"/>
      <c r="BP23" s="110"/>
      <c r="BQ23" s="110"/>
      <c r="BR23" s="110"/>
      <c r="BS23" s="110"/>
      <c r="BT23" s="110"/>
      <c r="BU23" s="110"/>
      <c r="BV23" s="110"/>
      <c r="BW23" s="110"/>
      <c r="BX23" s="110"/>
      <c r="BY23" s="110"/>
      <c r="BZ23" s="110"/>
      <c r="CA23" s="110"/>
      <c r="CB23" s="110"/>
      <c r="CC23" s="110"/>
      <c r="CD23" s="110"/>
      <c r="CE23" s="110"/>
      <c r="CF23" s="110"/>
      <c r="CG23" s="110"/>
      <c r="CH23" s="110"/>
    </row>
    <row r="24" spans="1:86" x14ac:dyDescent="0.2">
      <c r="A24" s="110"/>
      <c r="B24" s="110"/>
      <c r="C24" s="110"/>
      <c r="D24" s="110"/>
      <c r="E24" s="110"/>
      <c r="F24" s="110"/>
      <c r="G24" s="110"/>
      <c r="H24" s="110"/>
      <c r="I24" s="110"/>
      <c r="J24" s="110"/>
      <c r="K24" s="110"/>
      <c r="L24" s="110"/>
      <c r="M24" s="110"/>
      <c r="N24" s="110"/>
      <c r="O24" s="110"/>
      <c r="P24" s="110"/>
      <c r="Q24" s="110"/>
      <c r="R24" s="194"/>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10"/>
      <c r="BV24" s="110"/>
      <c r="BW24" s="110"/>
      <c r="BX24" s="110"/>
      <c r="BY24" s="110"/>
      <c r="BZ24" s="110"/>
      <c r="CA24" s="110"/>
      <c r="CB24" s="110"/>
      <c r="CC24" s="110"/>
      <c r="CD24" s="110"/>
      <c r="CE24" s="110"/>
      <c r="CF24" s="110"/>
      <c r="CG24" s="110"/>
      <c r="CH24" s="110"/>
    </row>
    <row r="25" spans="1:86" x14ac:dyDescent="0.2">
      <c r="A25" s="110"/>
      <c r="B25" s="110"/>
      <c r="C25" s="110"/>
      <c r="D25" s="110"/>
      <c r="E25" s="110"/>
      <c r="F25" s="110"/>
      <c r="G25" s="110"/>
      <c r="H25" s="110"/>
      <c r="I25" s="110"/>
      <c r="J25" s="110"/>
      <c r="K25" s="110"/>
      <c r="L25" s="110"/>
      <c r="M25" s="110"/>
      <c r="N25" s="110"/>
      <c r="O25" s="110"/>
      <c r="P25" s="110"/>
      <c r="Q25" s="110"/>
      <c r="R25" s="194"/>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10"/>
      <c r="BV25" s="110"/>
      <c r="BW25" s="110"/>
      <c r="BX25" s="110"/>
      <c r="BY25" s="110"/>
      <c r="BZ25" s="110"/>
      <c r="CA25" s="110"/>
      <c r="CB25" s="110"/>
      <c r="CC25" s="110"/>
      <c r="CD25" s="110"/>
      <c r="CE25" s="110"/>
      <c r="CF25" s="110"/>
      <c r="CG25" s="110"/>
      <c r="CH25" s="110"/>
    </row>
    <row r="26" spans="1:86" x14ac:dyDescent="0.2">
      <c r="A26" s="110"/>
      <c r="B26" s="110"/>
      <c r="C26" s="110"/>
      <c r="D26" s="110"/>
      <c r="E26" s="110"/>
      <c r="F26" s="110"/>
      <c r="G26" s="110"/>
      <c r="H26" s="110"/>
      <c r="I26" s="110"/>
      <c r="J26" s="110"/>
      <c r="K26" s="110"/>
      <c r="L26" s="110"/>
      <c r="M26" s="110"/>
      <c r="N26" s="110"/>
      <c r="O26" s="110"/>
      <c r="P26" s="110"/>
      <c r="Q26" s="110"/>
      <c r="R26" s="194"/>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10"/>
      <c r="BV26" s="110"/>
      <c r="BW26" s="110"/>
      <c r="BX26" s="110"/>
      <c r="BY26" s="110"/>
      <c r="BZ26" s="110"/>
      <c r="CA26" s="110"/>
      <c r="CB26" s="110"/>
      <c r="CC26" s="110"/>
      <c r="CD26" s="110"/>
      <c r="CE26" s="110"/>
      <c r="CF26" s="110"/>
      <c r="CG26" s="110"/>
      <c r="CH26" s="110"/>
    </row>
    <row r="27" spans="1:86" x14ac:dyDescent="0.2">
      <c r="A27" s="110"/>
      <c r="B27" s="110"/>
      <c r="C27" s="110"/>
      <c r="D27" s="110"/>
      <c r="E27" s="110"/>
      <c r="F27" s="110"/>
      <c r="G27" s="110"/>
      <c r="H27" s="110"/>
      <c r="I27" s="110"/>
      <c r="J27" s="110"/>
      <c r="K27" s="110"/>
      <c r="L27" s="110"/>
      <c r="M27" s="110"/>
      <c r="N27" s="110"/>
      <c r="O27" s="110"/>
      <c r="P27" s="110"/>
      <c r="Q27" s="110"/>
      <c r="R27" s="194"/>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0"/>
      <c r="BL27" s="110"/>
      <c r="BM27" s="110"/>
      <c r="BN27" s="110"/>
      <c r="BO27" s="110"/>
      <c r="BP27" s="110"/>
      <c r="BQ27" s="110"/>
      <c r="BR27" s="110"/>
      <c r="BS27" s="110"/>
      <c r="BT27" s="110"/>
      <c r="BU27" s="110"/>
      <c r="BV27" s="110"/>
      <c r="BW27" s="110"/>
      <c r="BX27" s="110"/>
      <c r="BY27" s="110"/>
      <c r="BZ27" s="110"/>
      <c r="CA27" s="110"/>
      <c r="CB27" s="110"/>
      <c r="CC27" s="110"/>
      <c r="CD27" s="110"/>
      <c r="CE27" s="110"/>
      <c r="CF27" s="110"/>
      <c r="CG27" s="110"/>
      <c r="CH27" s="110"/>
    </row>
    <row r="28" spans="1:86" x14ac:dyDescent="0.2">
      <c r="A28" s="110"/>
      <c r="B28" s="110"/>
      <c r="C28" s="110"/>
      <c r="D28" s="110"/>
      <c r="E28" s="110"/>
      <c r="F28" s="110"/>
      <c r="G28" s="110"/>
      <c r="H28" s="110"/>
      <c r="I28" s="110"/>
      <c r="J28" s="110"/>
      <c r="K28" s="110"/>
      <c r="L28" s="110"/>
      <c r="M28" s="110"/>
      <c r="N28" s="110"/>
      <c r="O28" s="110"/>
      <c r="P28" s="110"/>
      <c r="Q28" s="110"/>
      <c r="R28" s="194"/>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c r="BO28" s="110"/>
      <c r="BP28" s="110"/>
      <c r="BQ28" s="110"/>
      <c r="BR28" s="110"/>
      <c r="BS28" s="110"/>
      <c r="BT28" s="110"/>
      <c r="BU28" s="110"/>
      <c r="BV28" s="110"/>
      <c r="BW28" s="110"/>
      <c r="BX28" s="110"/>
      <c r="BY28" s="110"/>
      <c r="BZ28" s="110"/>
      <c r="CA28" s="110"/>
      <c r="CB28" s="110"/>
      <c r="CC28" s="110"/>
      <c r="CD28" s="110"/>
      <c r="CE28" s="110"/>
      <c r="CF28" s="110"/>
      <c r="CG28" s="110"/>
      <c r="CH28" s="110"/>
    </row>
    <row r="29" spans="1:86" x14ac:dyDescent="0.2">
      <c r="A29" s="110"/>
      <c r="B29" s="110"/>
      <c r="C29" s="110"/>
      <c r="D29" s="110"/>
      <c r="E29" s="110"/>
      <c r="F29" s="110"/>
      <c r="G29" s="110"/>
      <c r="H29" s="110"/>
      <c r="I29" s="110"/>
      <c r="J29" s="110"/>
      <c r="K29" s="110"/>
      <c r="L29" s="110"/>
      <c r="M29" s="110"/>
      <c r="N29" s="110"/>
      <c r="O29" s="110"/>
      <c r="P29" s="110"/>
      <c r="Q29" s="110"/>
      <c r="R29" s="194"/>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c r="BO29" s="110"/>
      <c r="BP29" s="110"/>
      <c r="BQ29" s="110"/>
      <c r="BR29" s="110"/>
      <c r="BS29" s="110"/>
      <c r="BT29" s="110"/>
      <c r="BU29" s="110"/>
      <c r="BV29" s="110"/>
      <c r="BW29" s="110"/>
      <c r="BX29" s="110"/>
      <c r="BY29" s="110"/>
      <c r="BZ29" s="110"/>
      <c r="CA29" s="110"/>
      <c r="CB29" s="110"/>
      <c r="CC29" s="110"/>
      <c r="CD29" s="110"/>
      <c r="CE29" s="110"/>
      <c r="CF29" s="110"/>
      <c r="CG29" s="110"/>
      <c r="CH29" s="110"/>
    </row>
    <row r="30" spans="1:86" x14ac:dyDescent="0.2">
      <c r="A30" s="110"/>
      <c r="B30" s="110"/>
      <c r="C30" s="110"/>
      <c r="D30" s="110"/>
      <c r="E30" s="110"/>
      <c r="F30" s="110"/>
      <c r="G30" s="110"/>
      <c r="H30" s="110"/>
      <c r="I30" s="110"/>
      <c r="J30" s="110"/>
      <c r="K30" s="110"/>
      <c r="L30" s="110"/>
      <c r="M30" s="110"/>
      <c r="N30" s="110"/>
      <c r="O30" s="110"/>
      <c r="P30" s="110"/>
      <c r="Q30" s="110"/>
      <c r="R30" s="194"/>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10"/>
      <c r="BS30" s="110"/>
      <c r="BT30" s="110"/>
      <c r="BU30" s="110"/>
      <c r="BV30" s="110"/>
      <c r="BW30" s="110"/>
      <c r="BX30" s="110"/>
      <c r="BY30" s="110"/>
      <c r="BZ30" s="110"/>
      <c r="CA30" s="110"/>
      <c r="CB30" s="110"/>
      <c r="CC30" s="110"/>
      <c r="CD30" s="110"/>
      <c r="CE30" s="110"/>
      <c r="CF30" s="110"/>
      <c r="CG30" s="110"/>
      <c r="CH30" s="110"/>
    </row>
    <row r="31" spans="1:86" x14ac:dyDescent="0.2">
      <c r="A31" s="110"/>
      <c r="B31" s="110"/>
      <c r="C31" s="110"/>
      <c r="D31" s="110"/>
      <c r="E31" s="110"/>
      <c r="F31" s="110"/>
      <c r="G31" s="110"/>
      <c r="H31" s="110"/>
      <c r="I31" s="110"/>
      <c r="J31" s="110"/>
      <c r="K31" s="110"/>
      <c r="L31" s="110"/>
      <c r="M31" s="110"/>
      <c r="N31" s="110"/>
      <c r="O31" s="110"/>
      <c r="P31" s="110"/>
      <c r="Q31" s="110"/>
      <c r="R31" s="194"/>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c r="BO31" s="110"/>
      <c r="BP31" s="110"/>
      <c r="BQ31" s="110"/>
      <c r="BR31" s="110"/>
      <c r="BS31" s="110"/>
      <c r="BT31" s="110"/>
      <c r="BU31" s="110"/>
      <c r="BV31" s="110"/>
      <c r="BW31" s="110"/>
      <c r="BX31" s="110"/>
      <c r="BY31" s="110"/>
      <c r="BZ31" s="110"/>
      <c r="CA31" s="110"/>
      <c r="CB31" s="110"/>
      <c r="CC31" s="110"/>
      <c r="CD31" s="110"/>
      <c r="CE31" s="110"/>
      <c r="CF31" s="110"/>
      <c r="CG31" s="110"/>
      <c r="CH31" s="110"/>
    </row>
    <row r="32" spans="1:86" x14ac:dyDescent="0.2">
      <c r="A32" s="110"/>
      <c r="B32" s="110"/>
      <c r="C32" s="110"/>
      <c r="D32" s="110"/>
      <c r="E32" s="110"/>
      <c r="F32" s="110"/>
      <c r="G32" s="110"/>
      <c r="H32" s="110"/>
      <c r="I32" s="110"/>
      <c r="J32" s="110"/>
      <c r="K32" s="110"/>
      <c r="L32" s="110"/>
      <c r="M32" s="110"/>
      <c r="N32" s="110"/>
      <c r="O32" s="110"/>
      <c r="P32" s="110"/>
      <c r="Q32" s="110"/>
      <c r="R32" s="194"/>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c r="AX32" s="110"/>
      <c r="AY32" s="110"/>
      <c r="AZ32" s="110"/>
      <c r="BA32" s="110"/>
      <c r="BB32" s="110"/>
      <c r="BC32" s="110"/>
      <c r="BD32" s="110"/>
      <c r="BE32" s="110"/>
      <c r="BF32" s="110"/>
      <c r="BG32" s="110"/>
      <c r="BH32" s="110"/>
      <c r="BI32" s="110"/>
      <c r="BJ32" s="110"/>
      <c r="BK32" s="110"/>
      <c r="BL32" s="110"/>
      <c r="BM32" s="110"/>
      <c r="BN32" s="110"/>
      <c r="BO32" s="110"/>
      <c r="BP32" s="110"/>
      <c r="BQ32" s="110"/>
      <c r="BR32" s="110"/>
      <c r="BS32" s="110"/>
      <c r="BT32" s="110"/>
      <c r="BU32" s="110"/>
      <c r="BV32" s="110"/>
      <c r="BW32" s="110"/>
      <c r="BX32" s="110"/>
      <c r="BY32" s="110"/>
      <c r="BZ32" s="110"/>
      <c r="CA32" s="110"/>
      <c r="CB32" s="110"/>
      <c r="CC32" s="110"/>
      <c r="CD32" s="110"/>
      <c r="CE32" s="110"/>
      <c r="CF32" s="110"/>
      <c r="CG32" s="110"/>
      <c r="CH32" s="110"/>
    </row>
    <row r="33" spans="1:86" x14ac:dyDescent="0.2">
      <c r="A33" s="110"/>
      <c r="B33" s="110"/>
      <c r="C33" s="110"/>
      <c r="D33" s="110"/>
      <c r="E33" s="110"/>
      <c r="F33" s="110"/>
      <c r="G33" s="110"/>
      <c r="H33" s="110"/>
      <c r="I33" s="110"/>
      <c r="J33" s="110"/>
      <c r="K33" s="110"/>
      <c r="L33" s="110"/>
      <c r="M33" s="110"/>
      <c r="N33" s="110"/>
      <c r="O33" s="110"/>
      <c r="P33" s="110"/>
      <c r="Q33" s="110"/>
      <c r="R33" s="194"/>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0"/>
      <c r="BC33" s="110"/>
      <c r="BD33" s="110"/>
      <c r="BE33" s="110"/>
      <c r="BF33" s="110"/>
      <c r="BG33" s="110"/>
      <c r="BH33" s="110"/>
      <c r="BI33" s="110"/>
      <c r="BJ33" s="110"/>
      <c r="BK33" s="110"/>
      <c r="BL33" s="110"/>
      <c r="BM33" s="110"/>
      <c r="BN33" s="110"/>
      <c r="BO33" s="110"/>
      <c r="BP33" s="110"/>
      <c r="BQ33" s="110"/>
      <c r="BR33" s="110"/>
      <c r="BS33" s="110"/>
      <c r="BT33" s="110"/>
      <c r="BU33" s="110"/>
      <c r="BV33" s="110"/>
      <c r="BW33" s="110"/>
      <c r="BX33" s="110"/>
      <c r="BY33" s="110"/>
      <c r="BZ33" s="110"/>
      <c r="CA33" s="110"/>
      <c r="CB33" s="110"/>
      <c r="CC33" s="110"/>
      <c r="CD33" s="110"/>
      <c r="CE33" s="110"/>
      <c r="CF33" s="110"/>
      <c r="CG33" s="110"/>
      <c r="CH33" s="110"/>
    </row>
    <row r="34" spans="1:86" x14ac:dyDescent="0.2">
      <c r="A34" s="110"/>
      <c r="B34" s="110"/>
      <c r="C34" s="110"/>
      <c r="D34" s="110"/>
      <c r="E34" s="110"/>
      <c r="F34" s="110"/>
      <c r="G34" s="110"/>
      <c r="H34" s="110"/>
      <c r="I34" s="110"/>
      <c r="J34" s="110"/>
      <c r="K34" s="110"/>
      <c r="L34" s="110"/>
      <c r="M34" s="110"/>
      <c r="N34" s="110"/>
      <c r="O34" s="110"/>
      <c r="P34" s="110"/>
      <c r="Q34" s="110"/>
      <c r="R34" s="194"/>
      <c r="S34" s="110"/>
      <c r="T34" s="110"/>
      <c r="U34" s="110"/>
      <c r="V34" s="110"/>
      <c r="W34" s="110"/>
      <c r="X34" s="110"/>
      <c r="Y34" s="110"/>
      <c r="Z34" s="110"/>
      <c r="AA34" s="110"/>
      <c r="AB34" s="110"/>
      <c r="AC34" s="110"/>
      <c r="AD34" s="110"/>
      <c r="AE34" s="110"/>
      <c r="AF34" s="110"/>
      <c r="AG34" s="110"/>
      <c r="AH34" s="110"/>
      <c r="AI34" s="110"/>
      <c r="AJ34" s="110"/>
      <c r="AK34" s="110"/>
      <c r="AL34" s="110"/>
      <c r="AM34" s="110"/>
      <c r="AN34" s="110"/>
      <c r="AO34" s="110"/>
      <c r="AP34" s="110"/>
      <c r="AQ34" s="110"/>
      <c r="AR34" s="110"/>
      <c r="AS34" s="110"/>
      <c r="AT34" s="110"/>
      <c r="AU34" s="110"/>
      <c r="AV34" s="110"/>
      <c r="AW34" s="110"/>
      <c r="AX34" s="110"/>
      <c r="AY34" s="110"/>
      <c r="AZ34" s="110"/>
      <c r="BA34" s="110"/>
      <c r="BB34" s="110"/>
      <c r="BC34" s="110"/>
      <c r="BD34" s="110"/>
      <c r="BE34" s="110"/>
      <c r="BF34" s="110"/>
      <c r="BG34" s="110"/>
      <c r="BH34" s="110"/>
      <c r="BI34" s="110"/>
      <c r="BJ34" s="110"/>
      <c r="BK34" s="110"/>
      <c r="BL34" s="110"/>
      <c r="BM34" s="110"/>
      <c r="BN34" s="110"/>
      <c r="BO34" s="110"/>
      <c r="BP34" s="110"/>
      <c r="BQ34" s="110"/>
      <c r="BR34" s="110"/>
      <c r="BS34" s="110"/>
      <c r="BT34" s="110"/>
      <c r="BU34" s="110"/>
      <c r="BV34" s="110"/>
      <c r="BW34" s="110"/>
      <c r="BX34" s="110"/>
      <c r="BY34" s="110"/>
      <c r="BZ34" s="110"/>
      <c r="CA34" s="110"/>
      <c r="CB34" s="110"/>
      <c r="CC34" s="110"/>
      <c r="CD34" s="110"/>
      <c r="CE34" s="110"/>
      <c r="CF34" s="110"/>
      <c r="CG34" s="110"/>
      <c r="CH34" s="110"/>
    </row>
    <row r="35" spans="1:86" x14ac:dyDescent="0.2">
      <c r="A35" s="110"/>
      <c r="B35" s="110"/>
      <c r="C35" s="110"/>
      <c r="D35" s="110"/>
      <c r="E35" s="110"/>
      <c r="F35" s="110"/>
      <c r="G35" s="110"/>
      <c r="H35" s="110"/>
      <c r="I35" s="110"/>
      <c r="J35" s="110"/>
      <c r="K35" s="110"/>
      <c r="L35" s="110"/>
      <c r="M35" s="110"/>
      <c r="N35" s="110"/>
      <c r="O35" s="110"/>
      <c r="P35" s="110"/>
      <c r="Q35" s="110"/>
      <c r="R35" s="194"/>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c r="BL35" s="110"/>
      <c r="BM35" s="110"/>
      <c r="BN35" s="110"/>
      <c r="BO35" s="110"/>
      <c r="BP35" s="110"/>
      <c r="BQ35" s="110"/>
      <c r="BR35" s="110"/>
      <c r="BS35" s="110"/>
      <c r="BT35" s="110"/>
      <c r="BU35" s="110"/>
      <c r="BV35" s="110"/>
      <c r="BW35" s="110"/>
      <c r="BX35" s="110"/>
      <c r="BY35" s="110"/>
      <c r="BZ35" s="110"/>
      <c r="CA35" s="110"/>
      <c r="CB35" s="110"/>
      <c r="CC35" s="110"/>
      <c r="CD35" s="110"/>
      <c r="CE35" s="110"/>
      <c r="CF35" s="110"/>
      <c r="CG35" s="110"/>
      <c r="CH35" s="110"/>
    </row>
    <row r="36" spans="1:86" x14ac:dyDescent="0.2">
      <c r="A36" s="110"/>
      <c r="B36" s="110"/>
      <c r="C36" s="110"/>
      <c r="D36" s="110"/>
      <c r="E36" s="110"/>
      <c r="F36" s="110"/>
      <c r="G36" s="110"/>
      <c r="H36" s="110"/>
      <c r="I36" s="110"/>
      <c r="J36" s="110"/>
      <c r="K36" s="110"/>
      <c r="L36" s="110"/>
      <c r="M36" s="110"/>
      <c r="N36" s="110"/>
      <c r="O36" s="110"/>
      <c r="P36" s="110"/>
      <c r="Q36" s="110"/>
      <c r="R36" s="194"/>
      <c r="S36" s="110"/>
      <c r="T36" s="110"/>
      <c r="U36" s="110"/>
      <c r="V36" s="110"/>
      <c r="W36" s="110"/>
      <c r="X36" s="110"/>
      <c r="Y36" s="110"/>
      <c r="Z36" s="110"/>
      <c r="AA36" s="110"/>
      <c r="AB36" s="110"/>
      <c r="AC36" s="110"/>
      <c r="AD36" s="110"/>
      <c r="AE36" s="110"/>
      <c r="AF36" s="110"/>
      <c r="AG36" s="110"/>
      <c r="AH36" s="110"/>
      <c r="AI36" s="110"/>
      <c r="AJ36" s="110"/>
      <c r="AK36" s="110"/>
      <c r="AL36" s="110"/>
      <c r="AM36" s="110"/>
      <c r="AN36" s="110"/>
      <c r="AO36" s="110"/>
      <c r="AP36" s="110"/>
      <c r="AQ36" s="110"/>
      <c r="AR36" s="110"/>
      <c r="AS36" s="110"/>
      <c r="AT36" s="110"/>
      <c r="AU36" s="110"/>
      <c r="AV36" s="110"/>
      <c r="AW36" s="110"/>
      <c r="AX36" s="110"/>
      <c r="AY36" s="110"/>
      <c r="AZ36" s="110"/>
      <c r="BA36" s="110"/>
      <c r="BB36" s="110"/>
      <c r="BC36" s="110"/>
      <c r="BD36" s="110"/>
      <c r="BE36" s="110"/>
      <c r="BF36" s="110"/>
      <c r="BG36" s="110"/>
      <c r="BH36" s="110"/>
      <c r="BI36" s="110"/>
      <c r="BJ36" s="110"/>
      <c r="BK36" s="110"/>
      <c r="BL36" s="110"/>
      <c r="BM36" s="110"/>
      <c r="BN36" s="110"/>
      <c r="BO36" s="110"/>
      <c r="BP36" s="110"/>
      <c r="BQ36" s="110"/>
      <c r="BR36" s="110"/>
      <c r="BS36" s="110"/>
      <c r="BT36" s="110"/>
      <c r="BU36" s="110"/>
      <c r="BV36" s="110"/>
      <c r="BW36" s="110"/>
      <c r="BX36" s="110"/>
      <c r="BY36" s="110"/>
      <c r="BZ36" s="110"/>
      <c r="CA36" s="110"/>
      <c r="CB36" s="110"/>
      <c r="CC36" s="110"/>
      <c r="CD36" s="110"/>
      <c r="CE36" s="110"/>
      <c r="CF36" s="110"/>
      <c r="CG36" s="110"/>
      <c r="CH36" s="110"/>
    </row>
    <row r="37" spans="1:86" x14ac:dyDescent="0.2">
      <c r="A37" s="110"/>
      <c r="B37" s="110"/>
      <c r="C37" s="110"/>
      <c r="D37" s="110"/>
      <c r="E37" s="110"/>
      <c r="F37" s="110"/>
      <c r="G37" s="110"/>
      <c r="H37" s="110"/>
      <c r="I37" s="110"/>
      <c r="J37" s="110"/>
      <c r="K37" s="110"/>
      <c r="L37" s="110"/>
      <c r="M37" s="110"/>
      <c r="N37" s="110"/>
      <c r="O37" s="110"/>
      <c r="P37" s="110"/>
      <c r="Q37" s="110"/>
      <c r="R37" s="194"/>
      <c r="S37" s="110"/>
      <c r="T37" s="110"/>
      <c r="U37" s="110"/>
      <c r="V37" s="110"/>
      <c r="W37" s="110"/>
      <c r="X37" s="110"/>
      <c r="Y37" s="110"/>
      <c r="Z37" s="110"/>
      <c r="AA37" s="110"/>
      <c r="AB37" s="110"/>
      <c r="AC37" s="110"/>
      <c r="AD37" s="110"/>
      <c r="AE37" s="110"/>
      <c r="AF37" s="110"/>
      <c r="AG37" s="110"/>
      <c r="AH37" s="110"/>
      <c r="AI37" s="110"/>
      <c r="AJ37" s="110"/>
      <c r="AK37" s="110"/>
      <c r="AL37" s="110"/>
      <c r="AM37" s="110"/>
      <c r="AN37" s="110"/>
      <c r="AO37" s="110"/>
      <c r="AP37" s="110"/>
      <c r="AQ37" s="110"/>
      <c r="AR37" s="110"/>
      <c r="AS37" s="110"/>
      <c r="AT37" s="110"/>
      <c r="AU37" s="110"/>
      <c r="AV37" s="110"/>
      <c r="AW37" s="110"/>
      <c r="AX37" s="110"/>
      <c r="AY37" s="110"/>
      <c r="AZ37" s="110"/>
      <c r="BA37" s="110"/>
      <c r="BB37" s="110"/>
      <c r="BC37" s="110"/>
      <c r="BD37" s="110"/>
      <c r="BE37" s="110"/>
      <c r="BF37" s="110"/>
      <c r="BG37" s="110"/>
      <c r="BH37" s="110"/>
      <c r="BI37" s="110"/>
      <c r="BJ37" s="110"/>
      <c r="BK37" s="110"/>
      <c r="BL37" s="110"/>
      <c r="BM37" s="110"/>
      <c r="BN37" s="110"/>
      <c r="BO37" s="110"/>
      <c r="BP37" s="110"/>
      <c r="BQ37" s="110"/>
      <c r="BR37" s="110"/>
      <c r="BS37" s="110"/>
      <c r="BT37" s="110"/>
      <c r="BU37" s="110"/>
      <c r="BV37" s="110"/>
      <c r="BW37" s="110"/>
      <c r="BX37" s="110"/>
      <c r="BY37" s="110"/>
      <c r="BZ37" s="110"/>
      <c r="CA37" s="110"/>
      <c r="CB37" s="110"/>
      <c r="CC37" s="110"/>
      <c r="CD37" s="110"/>
      <c r="CE37" s="110"/>
      <c r="CF37" s="110"/>
      <c r="CG37" s="110"/>
      <c r="CH37" s="110"/>
    </row>
    <row r="38" spans="1:86" x14ac:dyDescent="0.2">
      <c r="A38" s="110"/>
      <c r="B38" s="110"/>
      <c r="C38" s="110"/>
      <c r="D38" s="110"/>
      <c r="E38" s="110"/>
      <c r="F38" s="110"/>
      <c r="G38" s="110"/>
      <c r="H38" s="110"/>
      <c r="I38" s="110"/>
      <c r="J38" s="110"/>
      <c r="K38" s="110"/>
      <c r="L38" s="110"/>
      <c r="M38" s="110"/>
      <c r="N38" s="110"/>
      <c r="O38" s="110"/>
      <c r="P38" s="110"/>
      <c r="Q38" s="110"/>
      <c r="R38" s="194"/>
      <c r="S38" s="110"/>
      <c r="T38" s="110"/>
      <c r="U38" s="110"/>
      <c r="V38" s="110"/>
      <c r="W38" s="110"/>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0"/>
      <c r="BM38" s="110"/>
      <c r="BN38" s="110"/>
      <c r="BO38" s="110"/>
      <c r="BP38" s="110"/>
      <c r="BQ38" s="110"/>
      <c r="BR38" s="110"/>
      <c r="BS38" s="110"/>
      <c r="BT38" s="110"/>
      <c r="BU38" s="110"/>
      <c r="BV38" s="110"/>
      <c r="BW38" s="110"/>
      <c r="BX38" s="110"/>
      <c r="BY38" s="110"/>
      <c r="BZ38" s="110"/>
      <c r="CA38" s="110"/>
      <c r="CB38" s="110"/>
      <c r="CC38" s="110"/>
      <c r="CD38" s="110"/>
      <c r="CE38" s="110"/>
      <c r="CF38" s="110"/>
      <c r="CG38" s="110"/>
      <c r="CH38" s="110"/>
    </row>
    <row r="39" spans="1:86" x14ac:dyDescent="0.2">
      <c r="A39" s="110"/>
      <c r="B39" s="110"/>
      <c r="C39" s="110"/>
      <c r="D39" s="110"/>
      <c r="E39" s="110"/>
      <c r="F39" s="110"/>
      <c r="G39" s="110"/>
      <c r="H39" s="110"/>
      <c r="I39" s="110"/>
      <c r="J39" s="110"/>
      <c r="K39" s="110"/>
      <c r="L39" s="110"/>
      <c r="M39" s="110"/>
      <c r="N39" s="110"/>
      <c r="O39" s="110"/>
      <c r="P39" s="110"/>
      <c r="Q39" s="110"/>
      <c r="R39" s="194"/>
      <c r="S39" s="110"/>
      <c r="T39" s="110"/>
      <c r="U39" s="110"/>
      <c r="V39" s="110"/>
      <c r="W39" s="110"/>
      <c r="X39" s="110"/>
      <c r="Y39" s="110"/>
      <c r="Z39" s="110"/>
      <c r="AA39" s="110"/>
      <c r="AB39" s="110"/>
      <c r="AC39" s="110"/>
    </row>
    <row r="40" spans="1:86" x14ac:dyDescent="0.2">
      <c r="A40" s="110"/>
      <c r="B40" s="110"/>
      <c r="C40" s="110"/>
      <c r="D40" s="110"/>
      <c r="E40" s="110"/>
      <c r="F40" s="110"/>
      <c r="G40" s="110"/>
      <c r="H40" s="110"/>
      <c r="I40" s="110"/>
      <c r="J40" s="110"/>
      <c r="K40" s="110"/>
      <c r="L40" s="110"/>
      <c r="M40" s="110"/>
      <c r="N40" s="110"/>
      <c r="O40" s="110"/>
      <c r="P40" s="110"/>
      <c r="Q40" s="110"/>
      <c r="R40" s="194"/>
      <c r="S40" s="110"/>
      <c r="T40" s="110"/>
      <c r="U40" s="110"/>
      <c r="V40" s="110"/>
      <c r="W40" s="110"/>
      <c r="X40" s="110"/>
      <c r="Y40" s="110"/>
      <c r="Z40" s="110"/>
      <c r="AA40" s="110"/>
      <c r="AB40" s="110"/>
      <c r="AC40" s="110"/>
    </row>
    <row r="41" spans="1:86" x14ac:dyDescent="0.2">
      <c r="A41" s="110"/>
      <c r="B41" s="110"/>
      <c r="C41" s="110"/>
      <c r="D41" s="110"/>
      <c r="E41" s="110"/>
      <c r="F41" s="110"/>
      <c r="G41" s="110"/>
      <c r="H41" s="110"/>
      <c r="I41" s="110"/>
      <c r="J41" s="110"/>
      <c r="K41" s="110"/>
      <c r="L41" s="110"/>
      <c r="M41" s="110"/>
      <c r="N41" s="110"/>
      <c r="O41" s="110"/>
      <c r="P41" s="110"/>
      <c r="Q41" s="110"/>
      <c r="R41" s="194"/>
      <c r="S41" s="110"/>
      <c r="T41" s="110"/>
      <c r="U41" s="110"/>
      <c r="V41" s="110"/>
      <c r="W41" s="110"/>
      <c r="X41" s="110"/>
      <c r="Y41" s="110"/>
      <c r="Z41" s="110"/>
      <c r="AA41" s="110"/>
      <c r="AB41" s="110"/>
      <c r="AC41" s="110"/>
    </row>
    <row r="42" spans="1:86" x14ac:dyDescent="0.2">
      <c r="A42" s="110"/>
      <c r="B42" s="110"/>
      <c r="C42" s="110"/>
      <c r="D42" s="110"/>
      <c r="E42" s="110"/>
      <c r="F42" s="110"/>
      <c r="G42" s="110"/>
      <c r="H42" s="110"/>
      <c r="I42" s="110"/>
      <c r="J42" s="110"/>
      <c r="K42" s="110"/>
      <c r="L42" s="110"/>
      <c r="M42" s="110"/>
      <c r="N42" s="110"/>
      <c r="O42" s="110"/>
      <c r="P42" s="110"/>
      <c r="Q42" s="110"/>
      <c r="R42" s="194"/>
      <c r="S42" s="110"/>
      <c r="T42" s="110"/>
      <c r="U42" s="110"/>
      <c r="V42" s="110"/>
      <c r="W42" s="110"/>
      <c r="X42" s="110"/>
      <c r="Y42" s="110"/>
      <c r="Z42" s="110"/>
      <c r="AA42" s="110"/>
      <c r="AB42" s="110"/>
      <c r="AC42" s="110"/>
    </row>
    <row r="43" spans="1:86" x14ac:dyDescent="0.2">
      <c r="A43" s="110"/>
      <c r="B43" s="110"/>
      <c r="C43" s="110"/>
      <c r="D43" s="110"/>
      <c r="E43" s="110"/>
      <c r="F43" s="110"/>
      <c r="G43" s="110"/>
      <c r="H43" s="110"/>
      <c r="I43" s="110"/>
      <c r="J43" s="110"/>
      <c r="K43" s="110"/>
      <c r="L43" s="110"/>
      <c r="M43" s="110"/>
      <c r="N43" s="110"/>
      <c r="O43" s="110"/>
      <c r="P43" s="110"/>
      <c r="Q43" s="110"/>
      <c r="R43" s="194"/>
      <c r="S43" s="110"/>
      <c r="T43" s="110"/>
      <c r="U43" s="110"/>
      <c r="V43" s="110"/>
      <c r="W43" s="110"/>
      <c r="X43" s="110"/>
      <c r="Y43" s="110"/>
      <c r="Z43" s="110"/>
      <c r="AA43" s="110"/>
      <c r="AB43" s="110"/>
      <c r="AC43" s="110"/>
    </row>
    <row r="44" spans="1:86" x14ac:dyDescent="0.2">
      <c r="A44" s="110"/>
      <c r="B44" s="110"/>
      <c r="C44" s="110"/>
      <c r="D44" s="110"/>
      <c r="E44" s="110"/>
      <c r="F44" s="110"/>
      <c r="G44" s="110"/>
      <c r="H44" s="110"/>
      <c r="I44" s="110"/>
      <c r="J44" s="110"/>
      <c r="K44" s="110"/>
      <c r="L44" s="110"/>
      <c r="M44" s="110"/>
      <c r="N44" s="110"/>
      <c r="O44" s="110"/>
      <c r="P44" s="110"/>
      <c r="Q44" s="110"/>
      <c r="R44" s="194"/>
      <c r="S44" s="110"/>
      <c r="T44" s="110"/>
      <c r="U44" s="110"/>
      <c r="V44" s="110"/>
      <c r="W44" s="110"/>
      <c r="X44" s="110"/>
      <c r="Y44" s="110"/>
      <c r="Z44" s="110"/>
      <c r="AA44" s="110"/>
      <c r="AB44" s="110"/>
      <c r="AC44" s="110"/>
    </row>
    <row r="45" spans="1:86" x14ac:dyDescent="0.2">
      <c r="A45" s="110"/>
      <c r="B45" s="110"/>
      <c r="C45" s="110"/>
      <c r="D45" s="110"/>
      <c r="E45" s="110"/>
      <c r="F45" s="110"/>
      <c r="G45" s="110"/>
      <c r="H45" s="110"/>
      <c r="I45" s="110"/>
      <c r="J45" s="110"/>
      <c r="K45" s="110"/>
      <c r="L45" s="110"/>
      <c r="M45" s="110"/>
      <c r="N45" s="110"/>
      <c r="O45" s="110"/>
      <c r="P45" s="110"/>
      <c r="Q45" s="110"/>
      <c r="R45" s="194"/>
      <c r="S45" s="110"/>
      <c r="T45" s="110"/>
      <c r="U45" s="110"/>
      <c r="V45" s="110"/>
      <c r="W45" s="110"/>
      <c r="X45" s="110"/>
      <c r="Y45" s="110"/>
      <c r="Z45" s="110"/>
      <c r="AA45" s="110"/>
      <c r="AB45" s="110"/>
      <c r="AC45" s="110"/>
    </row>
    <row r="46" spans="1:86" x14ac:dyDescent="0.2">
      <c r="A46" s="110"/>
      <c r="B46" s="110"/>
      <c r="C46" s="110"/>
      <c r="D46" s="110"/>
      <c r="E46" s="110"/>
      <c r="F46" s="110"/>
      <c r="G46" s="110"/>
      <c r="H46" s="110"/>
      <c r="I46" s="110"/>
      <c r="J46" s="110"/>
      <c r="K46" s="110"/>
      <c r="L46" s="110"/>
      <c r="M46" s="110"/>
      <c r="N46" s="110"/>
      <c r="O46" s="110"/>
      <c r="P46" s="110"/>
      <c r="Q46" s="110"/>
      <c r="R46" s="194"/>
      <c r="S46" s="110"/>
      <c r="T46" s="110"/>
      <c r="U46" s="110"/>
      <c r="V46" s="110"/>
      <c r="W46" s="110"/>
      <c r="X46" s="110"/>
      <c r="Y46" s="110"/>
      <c r="Z46" s="110"/>
      <c r="AA46" s="110"/>
      <c r="AB46" s="110"/>
      <c r="AC46" s="110"/>
    </row>
    <row r="47" spans="1:86" x14ac:dyDescent="0.2">
      <c r="A47" s="110"/>
      <c r="B47" s="110"/>
      <c r="C47" s="110"/>
      <c r="D47" s="110"/>
      <c r="E47" s="110"/>
      <c r="F47" s="110"/>
      <c r="G47" s="110"/>
      <c r="H47" s="110"/>
      <c r="I47" s="110"/>
      <c r="J47" s="110"/>
      <c r="K47" s="110"/>
      <c r="L47" s="110"/>
      <c r="M47" s="110"/>
      <c r="N47" s="110"/>
      <c r="O47" s="110"/>
      <c r="P47" s="110"/>
      <c r="Q47" s="110"/>
      <c r="R47" s="194"/>
      <c r="S47" s="110"/>
      <c r="T47" s="110"/>
      <c r="U47" s="110"/>
      <c r="V47" s="110"/>
      <c r="W47" s="110"/>
      <c r="X47" s="110"/>
      <c r="Y47" s="110"/>
      <c r="Z47" s="110"/>
      <c r="AA47" s="110"/>
      <c r="AB47" s="110"/>
      <c r="AC47" s="110"/>
    </row>
    <row r="48" spans="1:86" x14ac:dyDescent="0.2">
      <c r="A48" s="110"/>
      <c r="B48" s="110"/>
      <c r="C48" s="110"/>
      <c r="D48" s="110"/>
      <c r="E48" s="110"/>
      <c r="F48" s="110"/>
      <c r="G48" s="110"/>
      <c r="H48" s="110"/>
      <c r="I48" s="110"/>
      <c r="J48" s="110"/>
      <c r="K48" s="110"/>
      <c r="L48" s="110"/>
      <c r="M48" s="110"/>
      <c r="N48" s="110"/>
      <c r="O48" s="110"/>
      <c r="P48" s="110"/>
      <c r="Q48" s="110"/>
      <c r="R48" s="194"/>
      <c r="S48" s="110"/>
      <c r="T48" s="110"/>
      <c r="U48" s="110"/>
      <c r="V48" s="110"/>
      <c r="W48" s="110"/>
      <c r="X48" s="110"/>
      <c r="Y48" s="110"/>
      <c r="Z48" s="110"/>
      <c r="AA48" s="110"/>
      <c r="AB48" s="110"/>
      <c r="AC48" s="110"/>
    </row>
    <row r="49" spans="1:29" x14ac:dyDescent="0.2">
      <c r="A49" s="110"/>
      <c r="B49" s="110"/>
      <c r="C49" s="110"/>
      <c r="D49" s="110"/>
      <c r="E49" s="110"/>
      <c r="F49" s="110"/>
      <c r="G49" s="110"/>
      <c r="H49" s="110"/>
      <c r="I49" s="110"/>
      <c r="J49" s="110"/>
      <c r="K49" s="110"/>
      <c r="L49" s="110"/>
      <c r="M49" s="110"/>
      <c r="N49" s="110"/>
      <c r="O49" s="110"/>
      <c r="P49" s="110"/>
      <c r="Q49" s="110"/>
      <c r="R49" s="194"/>
      <c r="S49" s="110"/>
      <c r="T49" s="110"/>
      <c r="U49" s="110"/>
      <c r="V49" s="110"/>
      <c r="W49" s="110"/>
      <c r="X49" s="110"/>
      <c r="Y49" s="110"/>
      <c r="Z49" s="110"/>
      <c r="AA49" s="110"/>
      <c r="AB49" s="110"/>
      <c r="AC49" s="110"/>
    </row>
    <row r="50" spans="1:29" x14ac:dyDescent="0.2">
      <c r="A50" s="110"/>
      <c r="B50" s="110"/>
      <c r="C50" s="110"/>
      <c r="D50" s="110"/>
      <c r="E50" s="110"/>
      <c r="F50" s="110"/>
      <c r="G50" s="110"/>
      <c r="H50" s="110"/>
      <c r="I50" s="110"/>
      <c r="J50" s="110"/>
      <c r="K50" s="110"/>
      <c r="L50" s="110"/>
      <c r="M50" s="110"/>
      <c r="N50" s="110"/>
      <c r="O50" s="110"/>
      <c r="P50" s="110"/>
      <c r="Q50" s="110"/>
      <c r="R50" s="194"/>
      <c r="S50" s="110"/>
      <c r="T50" s="110"/>
      <c r="U50" s="110"/>
      <c r="V50" s="110"/>
      <c r="W50" s="110"/>
      <c r="X50" s="110"/>
      <c r="Y50" s="110"/>
      <c r="Z50" s="110"/>
      <c r="AA50" s="110"/>
      <c r="AB50" s="110"/>
      <c r="AC50" s="110"/>
    </row>
    <row r="51" spans="1:29" x14ac:dyDescent="0.2">
      <c r="A51" s="110"/>
      <c r="B51" s="110"/>
      <c r="C51" s="110"/>
      <c r="D51" s="110"/>
      <c r="E51" s="110"/>
      <c r="F51" s="110"/>
      <c r="G51" s="110"/>
      <c r="H51" s="110"/>
      <c r="I51" s="110"/>
      <c r="J51" s="110"/>
      <c r="K51" s="110"/>
      <c r="L51" s="110"/>
      <c r="M51" s="110"/>
      <c r="N51" s="110"/>
      <c r="O51" s="110"/>
      <c r="P51" s="110"/>
      <c r="Q51" s="110"/>
      <c r="R51" s="194"/>
      <c r="S51" s="110"/>
      <c r="T51" s="110"/>
      <c r="U51" s="110"/>
      <c r="V51" s="110"/>
      <c r="W51" s="110"/>
      <c r="X51" s="110"/>
      <c r="Y51" s="110"/>
      <c r="Z51" s="110"/>
      <c r="AA51" s="110"/>
      <c r="AB51" s="110"/>
      <c r="AC51" s="110"/>
    </row>
    <row r="52" spans="1:29" x14ac:dyDescent="0.2">
      <c r="A52" s="110"/>
      <c r="B52" s="110"/>
      <c r="C52" s="110"/>
      <c r="D52" s="110"/>
      <c r="E52" s="110"/>
      <c r="F52" s="110"/>
      <c r="G52" s="110"/>
      <c r="H52" s="110"/>
      <c r="I52" s="110"/>
      <c r="J52" s="110"/>
      <c r="K52" s="110"/>
      <c r="L52" s="110"/>
      <c r="M52" s="110"/>
      <c r="N52" s="110"/>
      <c r="O52" s="110"/>
      <c r="P52" s="110"/>
      <c r="Q52" s="110"/>
      <c r="R52" s="194"/>
      <c r="S52" s="110"/>
      <c r="T52" s="110"/>
      <c r="U52" s="110"/>
      <c r="V52" s="110"/>
      <c r="W52" s="110"/>
      <c r="X52" s="110"/>
      <c r="Y52" s="110"/>
      <c r="Z52" s="110"/>
      <c r="AA52" s="110"/>
      <c r="AB52" s="110"/>
      <c r="AC52" s="110"/>
    </row>
    <row r="53" spans="1:29" x14ac:dyDescent="0.2">
      <c r="A53" s="110"/>
      <c r="B53" s="110"/>
      <c r="C53" s="110"/>
      <c r="D53" s="110"/>
      <c r="E53" s="110"/>
      <c r="F53" s="110"/>
      <c r="G53" s="110"/>
      <c r="H53" s="110"/>
      <c r="I53" s="110"/>
      <c r="J53" s="110"/>
      <c r="K53" s="110"/>
      <c r="L53" s="110"/>
      <c r="M53" s="110"/>
      <c r="N53" s="110"/>
      <c r="O53" s="110"/>
      <c r="P53" s="110"/>
      <c r="Q53" s="110"/>
      <c r="R53" s="194"/>
      <c r="S53" s="110"/>
      <c r="T53" s="110"/>
      <c r="U53" s="110"/>
      <c r="V53" s="110"/>
      <c r="W53" s="110"/>
      <c r="X53" s="110"/>
      <c r="Y53" s="110"/>
      <c r="Z53" s="110"/>
      <c r="AA53" s="110"/>
      <c r="AB53" s="110"/>
      <c r="AC53" s="110"/>
    </row>
    <row r="54" spans="1:29" x14ac:dyDescent="0.2">
      <c r="A54" s="110"/>
      <c r="B54" s="110"/>
      <c r="C54" s="110"/>
      <c r="D54" s="110"/>
      <c r="E54" s="110"/>
      <c r="F54" s="110"/>
      <c r="G54" s="110"/>
      <c r="H54" s="110"/>
      <c r="I54" s="110"/>
      <c r="J54" s="110"/>
      <c r="K54" s="110"/>
      <c r="L54" s="110"/>
      <c r="M54" s="110"/>
      <c r="N54" s="110"/>
      <c r="O54" s="110"/>
      <c r="P54" s="110"/>
      <c r="Q54" s="110"/>
      <c r="R54" s="194"/>
      <c r="S54" s="110"/>
      <c r="T54" s="110"/>
      <c r="U54" s="110"/>
      <c r="V54" s="110"/>
      <c r="W54" s="110"/>
      <c r="X54" s="110"/>
      <c r="Y54" s="110"/>
      <c r="Z54" s="110"/>
      <c r="AA54" s="110"/>
      <c r="AB54" s="110"/>
      <c r="AC54" s="110"/>
    </row>
    <row r="55" spans="1:29" x14ac:dyDescent="0.2">
      <c r="A55" s="110"/>
      <c r="B55" s="110"/>
      <c r="C55" s="110"/>
      <c r="D55" s="110"/>
      <c r="E55" s="110"/>
      <c r="F55" s="110"/>
      <c r="G55" s="110"/>
      <c r="H55" s="110"/>
      <c r="I55" s="110"/>
      <c r="J55" s="110"/>
      <c r="K55" s="110"/>
      <c r="L55" s="110"/>
      <c r="M55" s="110"/>
      <c r="N55" s="110"/>
      <c r="O55" s="110"/>
      <c r="P55" s="110"/>
      <c r="Q55" s="110"/>
      <c r="R55" s="194"/>
      <c r="S55" s="110"/>
      <c r="T55" s="110"/>
      <c r="U55" s="110"/>
      <c r="V55" s="110"/>
      <c r="W55" s="110"/>
      <c r="X55" s="110"/>
      <c r="Y55" s="110"/>
      <c r="Z55" s="110"/>
      <c r="AA55" s="110"/>
      <c r="AB55" s="110"/>
      <c r="AC55" s="110"/>
    </row>
    <row r="56" spans="1:29" x14ac:dyDescent="0.2">
      <c r="A56" s="110"/>
      <c r="B56" s="110"/>
      <c r="C56" s="110"/>
      <c r="D56" s="110"/>
      <c r="E56" s="110"/>
      <c r="F56" s="110"/>
      <c r="G56" s="110"/>
      <c r="H56" s="110"/>
      <c r="I56" s="110"/>
      <c r="J56" s="110"/>
      <c r="K56" s="110"/>
      <c r="L56" s="110"/>
      <c r="M56" s="110"/>
      <c r="N56" s="110"/>
      <c r="O56" s="110"/>
      <c r="P56" s="110"/>
      <c r="Q56" s="110"/>
      <c r="R56" s="194"/>
      <c r="S56" s="110"/>
      <c r="T56" s="110"/>
      <c r="U56" s="110"/>
      <c r="V56" s="110"/>
      <c r="W56" s="110"/>
      <c r="X56" s="110"/>
      <c r="Y56" s="110"/>
      <c r="Z56" s="110"/>
      <c r="AA56" s="110"/>
      <c r="AB56" s="110"/>
      <c r="AC56" s="110"/>
    </row>
    <row r="57" spans="1:29" x14ac:dyDescent="0.2">
      <c r="A57" s="110"/>
      <c r="B57" s="110"/>
      <c r="C57" s="110"/>
      <c r="D57" s="110"/>
      <c r="E57" s="110"/>
      <c r="F57" s="110"/>
      <c r="G57" s="110"/>
      <c r="H57" s="110"/>
      <c r="I57" s="110"/>
      <c r="J57" s="110"/>
      <c r="K57" s="110"/>
      <c r="L57" s="110"/>
      <c r="M57" s="110"/>
      <c r="N57" s="110"/>
      <c r="O57" s="110"/>
      <c r="P57" s="110"/>
      <c r="Q57" s="110"/>
      <c r="R57" s="194"/>
      <c r="S57" s="110"/>
      <c r="T57" s="110"/>
      <c r="U57" s="110"/>
      <c r="V57" s="110"/>
      <c r="W57" s="110"/>
      <c r="X57" s="110"/>
      <c r="Y57" s="110"/>
      <c r="Z57" s="110"/>
      <c r="AA57" s="110"/>
      <c r="AB57" s="110"/>
      <c r="AC57" s="110"/>
    </row>
    <row r="58" spans="1:29" x14ac:dyDescent="0.2">
      <c r="A58" s="110"/>
      <c r="B58" s="110"/>
      <c r="C58" s="110"/>
      <c r="D58" s="110"/>
      <c r="E58" s="110"/>
      <c r="F58" s="110"/>
      <c r="G58" s="110"/>
      <c r="H58" s="110"/>
      <c r="I58" s="110"/>
      <c r="J58" s="110"/>
      <c r="K58" s="110"/>
      <c r="L58" s="110"/>
      <c r="M58" s="110"/>
      <c r="N58" s="110"/>
      <c r="O58" s="110"/>
      <c r="P58" s="110"/>
      <c r="Q58" s="110"/>
      <c r="R58" s="194"/>
      <c r="S58" s="110"/>
      <c r="T58" s="110"/>
      <c r="U58" s="110"/>
      <c r="V58" s="110"/>
      <c r="W58" s="110"/>
      <c r="X58" s="110"/>
      <c r="Y58" s="110"/>
      <c r="Z58" s="110"/>
      <c r="AA58" s="110"/>
      <c r="AB58" s="110"/>
      <c r="AC58" s="110"/>
    </row>
    <row r="59" spans="1:29" x14ac:dyDescent="0.2">
      <c r="A59" s="110"/>
      <c r="B59" s="110"/>
      <c r="C59" s="110"/>
      <c r="D59" s="110"/>
      <c r="E59" s="110"/>
      <c r="F59" s="110"/>
      <c r="G59" s="110"/>
      <c r="H59" s="110"/>
      <c r="I59" s="110"/>
      <c r="J59" s="110"/>
      <c r="K59" s="110"/>
      <c r="L59" s="110"/>
      <c r="M59" s="110"/>
      <c r="N59" s="110"/>
      <c r="O59" s="110"/>
      <c r="P59" s="110"/>
      <c r="Q59" s="110"/>
      <c r="R59" s="194"/>
      <c r="S59" s="110"/>
      <c r="T59" s="110"/>
      <c r="U59" s="110"/>
      <c r="V59" s="110"/>
      <c r="W59" s="110"/>
      <c r="X59" s="110"/>
      <c r="Y59" s="110"/>
      <c r="Z59" s="110"/>
      <c r="AA59" s="110"/>
      <c r="AB59" s="110"/>
      <c r="AC59" s="110"/>
    </row>
    <row r="60" spans="1:29" x14ac:dyDescent="0.2">
      <c r="A60" s="110"/>
      <c r="B60" s="110"/>
      <c r="C60" s="110"/>
      <c r="D60" s="110"/>
      <c r="E60" s="110"/>
      <c r="F60" s="110"/>
      <c r="G60" s="110"/>
      <c r="H60" s="110"/>
      <c r="I60" s="110"/>
      <c r="J60" s="110"/>
      <c r="K60" s="110"/>
      <c r="L60" s="110"/>
      <c r="M60" s="110"/>
      <c r="N60" s="110"/>
      <c r="O60" s="110"/>
      <c r="P60" s="110"/>
      <c r="Q60" s="110"/>
      <c r="R60" s="194"/>
      <c r="S60" s="110"/>
      <c r="T60" s="110"/>
      <c r="U60" s="110"/>
      <c r="V60" s="110"/>
      <c r="W60" s="110"/>
      <c r="X60" s="110"/>
      <c r="Y60" s="110"/>
      <c r="Z60" s="110"/>
      <c r="AA60" s="110"/>
      <c r="AB60" s="110"/>
      <c r="AC60" s="110"/>
    </row>
    <row r="61" spans="1:29" x14ac:dyDescent="0.2">
      <c r="A61" s="110"/>
      <c r="B61" s="110"/>
      <c r="C61" s="110"/>
      <c r="D61" s="110"/>
      <c r="E61" s="110"/>
      <c r="F61" s="110"/>
      <c r="G61" s="110"/>
      <c r="H61" s="110"/>
      <c r="I61" s="110"/>
      <c r="J61" s="110"/>
      <c r="K61" s="110"/>
      <c r="L61" s="110"/>
      <c r="M61" s="110"/>
      <c r="N61" s="110"/>
      <c r="O61" s="110"/>
      <c r="P61" s="110"/>
      <c r="Q61" s="110"/>
      <c r="R61" s="194"/>
      <c r="S61" s="110"/>
      <c r="T61" s="110"/>
      <c r="U61" s="110"/>
      <c r="V61" s="110"/>
      <c r="W61" s="110"/>
      <c r="X61" s="110"/>
      <c r="Y61" s="110"/>
      <c r="Z61" s="110"/>
      <c r="AA61" s="110"/>
      <c r="AB61" s="110"/>
      <c r="AC61" s="110"/>
    </row>
    <row r="62" spans="1:29" x14ac:dyDescent="0.2">
      <c r="A62" s="110"/>
      <c r="B62" s="110"/>
      <c r="C62" s="110"/>
      <c r="D62" s="110"/>
      <c r="E62" s="110"/>
      <c r="F62" s="110"/>
      <c r="G62" s="110"/>
      <c r="H62" s="110"/>
      <c r="I62" s="110"/>
      <c r="J62" s="110"/>
      <c r="K62" s="110"/>
      <c r="L62" s="110"/>
      <c r="M62" s="110"/>
      <c r="N62" s="110"/>
      <c r="O62" s="110"/>
      <c r="P62" s="110"/>
      <c r="Q62" s="110"/>
      <c r="R62" s="194"/>
      <c r="S62" s="110"/>
      <c r="T62" s="110"/>
      <c r="U62" s="110"/>
      <c r="V62" s="110"/>
      <c r="W62" s="110"/>
      <c r="X62" s="110"/>
      <c r="Y62" s="110"/>
      <c r="Z62" s="110"/>
      <c r="AA62" s="110"/>
      <c r="AB62" s="110"/>
      <c r="AC62" s="110"/>
    </row>
  </sheetData>
  <sheetProtection password="9C8D" sheet="1" objects="1" scenarios="1"/>
  <mergeCells count="13">
    <mergeCell ref="A17:P17"/>
    <mergeCell ref="A1:D1"/>
    <mergeCell ref="A2:D2"/>
    <mergeCell ref="A3:D3"/>
    <mergeCell ref="A6:A7"/>
    <mergeCell ref="B6:B7"/>
    <mergeCell ref="C6:C7"/>
    <mergeCell ref="D6:D7"/>
    <mergeCell ref="E6:E7"/>
    <mergeCell ref="F7:G7"/>
    <mergeCell ref="H7:I7"/>
    <mergeCell ref="J7:K7"/>
    <mergeCell ref="L7:M7"/>
  </mergeCells>
  <pageMargins left="0.78740157499999996" right="0.78740157499999996" top="0.984251969" bottom="0.984251969" header="0.49212598499999999" footer="0.49212598499999999"/>
  <pageSetup paperSize="9" scale="80"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indowProtection="1" showGridLines="0" workbookViewId="0">
      <selection activeCell="F6" sqref="F6"/>
    </sheetView>
  </sheetViews>
  <sheetFormatPr defaultRowHeight="12.75" x14ac:dyDescent="0.2"/>
  <cols>
    <col min="1" max="1" width="36.85546875" customWidth="1"/>
    <col min="2" max="4" width="15.85546875" customWidth="1"/>
    <col min="5" max="5" width="12.5703125" customWidth="1"/>
    <col min="7" max="7" width="10.7109375" customWidth="1"/>
  </cols>
  <sheetData>
    <row r="1" spans="1:8" ht="15.75" x14ac:dyDescent="0.25">
      <c r="A1" s="1225" t="s">
        <v>187</v>
      </c>
      <c r="B1" s="1225"/>
      <c r="C1" s="1225"/>
      <c r="D1" s="1225"/>
      <c r="E1" s="1225"/>
    </row>
    <row r="2" spans="1:8" ht="18" x14ac:dyDescent="0.2">
      <c r="A2" s="1226" t="s">
        <v>392</v>
      </c>
      <c r="B2" s="1226"/>
      <c r="C2" s="1226"/>
      <c r="D2" s="1226"/>
      <c r="E2" s="1226"/>
    </row>
    <row r="3" spans="1:8" ht="15" x14ac:dyDescent="0.2">
      <c r="A3" s="1226" t="str">
        <f>[5]Dados!$A18</f>
        <v>Exercício de 2015</v>
      </c>
      <c r="B3" s="1226"/>
      <c r="C3" s="1226"/>
      <c r="D3" s="1226"/>
      <c r="E3" s="1226"/>
    </row>
    <row r="4" spans="1:8" x14ac:dyDescent="0.2">
      <c r="A4" s="99"/>
      <c r="B4" s="99"/>
      <c r="C4" s="99"/>
      <c r="D4" s="99"/>
      <c r="E4" s="99"/>
    </row>
    <row r="5" spans="1:8" x14ac:dyDescent="0.2">
      <c r="A5" s="1227" t="s">
        <v>1</v>
      </c>
      <c r="B5" s="1227"/>
      <c r="C5" s="1227"/>
      <c r="D5" s="1227"/>
      <c r="E5" s="1227"/>
    </row>
    <row r="6" spans="1:8" ht="25.5" x14ac:dyDescent="0.2">
      <c r="A6" s="347" t="s">
        <v>204</v>
      </c>
      <c r="B6" s="347" t="s">
        <v>189</v>
      </c>
      <c r="C6" s="347" t="s">
        <v>8</v>
      </c>
      <c r="D6" s="347" t="s">
        <v>7</v>
      </c>
      <c r="E6" s="347" t="s">
        <v>8</v>
      </c>
      <c r="F6" s="292"/>
      <c r="G6" s="249"/>
    </row>
    <row r="7" spans="1:8" ht="18" customHeight="1" x14ac:dyDescent="0.2">
      <c r="A7" s="293" t="s">
        <v>207</v>
      </c>
      <c r="B7" s="456">
        <v>1493</v>
      </c>
      <c r="C7" s="457">
        <f t="shared" ref="C7:C13" si="0">ROUND(B7/B$14*100,2)</f>
        <v>1.36</v>
      </c>
      <c r="D7" s="257">
        <v>45176</v>
      </c>
      <c r="E7" s="457">
        <f t="shared" ref="E7:E13" si="1">ROUND(D7/D$14*100,2)</f>
        <v>2.21</v>
      </c>
      <c r="F7" s="249"/>
      <c r="G7" s="249"/>
    </row>
    <row r="8" spans="1:8" ht="18" customHeight="1" x14ac:dyDescent="0.2">
      <c r="A8" s="293" t="s">
        <v>208</v>
      </c>
      <c r="B8" s="456">
        <v>4655</v>
      </c>
      <c r="C8" s="457">
        <f t="shared" si="0"/>
        <v>4.2300000000000004</v>
      </c>
      <c r="D8" s="75">
        <v>157804</v>
      </c>
      <c r="E8" s="457">
        <f t="shared" si="1"/>
        <v>7.72</v>
      </c>
      <c r="F8" s="249"/>
      <c r="G8" s="249"/>
    </row>
    <row r="9" spans="1:8" ht="18" customHeight="1" x14ac:dyDescent="0.2">
      <c r="A9" s="293" t="s">
        <v>209</v>
      </c>
      <c r="B9" s="456">
        <v>7468</v>
      </c>
      <c r="C9" s="457">
        <f t="shared" si="0"/>
        <v>6.78</v>
      </c>
      <c r="D9" s="257">
        <v>677694</v>
      </c>
      <c r="E9" s="457">
        <v>33.1</v>
      </c>
      <c r="F9" s="249"/>
      <c r="G9" s="249"/>
    </row>
    <row r="10" spans="1:8" ht="18" customHeight="1" x14ac:dyDescent="0.2">
      <c r="A10" s="293" t="s">
        <v>210</v>
      </c>
      <c r="B10" s="456">
        <v>34892</v>
      </c>
      <c r="C10" s="457">
        <f t="shared" si="0"/>
        <v>31.69</v>
      </c>
      <c r="D10" s="257">
        <v>380300</v>
      </c>
      <c r="E10" s="457">
        <f t="shared" si="1"/>
        <v>18.61</v>
      </c>
      <c r="F10" s="249"/>
      <c r="G10" s="249"/>
    </row>
    <row r="11" spans="1:8" ht="18" customHeight="1" x14ac:dyDescent="0.2">
      <c r="A11" s="293" t="s">
        <v>211</v>
      </c>
      <c r="B11" s="456">
        <v>11879</v>
      </c>
      <c r="C11" s="457">
        <f t="shared" si="0"/>
        <v>10.79</v>
      </c>
      <c r="D11" s="257">
        <v>114071</v>
      </c>
      <c r="E11" s="457">
        <f t="shared" si="1"/>
        <v>5.58</v>
      </c>
      <c r="F11" s="249"/>
      <c r="G11" s="249"/>
    </row>
    <row r="12" spans="1:8" ht="18" customHeight="1" x14ac:dyDescent="0.2">
      <c r="A12" s="293" t="s">
        <v>212</v>
      </c>
      <c r="B12" s="456">
        <v>18652</v>
      </c>
      <c r="C12" s="457">
        <f t="shared" si="0"/>
        <v>16.940000000000001</v>
      </c>
      <c r="D12" s="75">
        <v>356737</v>
      </c>
      <c r="E12" s="457">
        <f t="shared" si="1"/>
        <v>17.45</v>
      </c>
      <c r="F12" s="249"/>
      <c r="G12" s="249"/>
    </row>
    <row r="13" spans="1:8" ht="18" customHeight="1" x14ac:dyDescent="0.2">
      <c r="A13" s="293" t="s">
        <v>213</v>
      </c>
      <c r="B13" s="456">
        <v>31060</v>
      </c>
      <c r="C13" s="457">
        <f t="shared" si="0"/>
        <v>28.21</v>
      </c>
      <c r="D13" s="257">
        <v>312057</v>
      </c>
      <c r="E13" s="457">
        <f t="shared" si="1"/>
        <v>15.27</v>
      </c>
      <c r="F13" s="249"/>
      <c r="G13" s="249"/>
    </row>
    <row r="14" spans="1:8" ht="20.100000000000001" customHeight="1" x14ac:dyDescent="0.2">
      <c r="A14" s="347" t="s">
        <v>29</v>
      </c>
      <c r="B14" s="226">
        <f>SUM(B7:B13)</f>
        <v>110099</v>
      </c>
      <c r="C14" s="267">
        <f>SUM(C7:C13)</f>
        <v>100</v>
      </c>
      <c r="D14" s="226">
        <f>SUM(D7:D13)</f>
        <v>2043839</v>
      </c>
      <c r="E14" s="458">
        <v>100</v>
      </c>
      <c r="F14" s="260"/>
      <c r="G14" s="254"/>
      <c r="H14" s="258"/>
    </row>
    <row r="15" spans="1:8" x14ac:dyDescent="0.2">
      <c r="A15" s="1228" t="s">
        <v>185</v>
      </c>
      <c r="B15" s="1228"/>
      <c r="C15" s="1228"/>
      <c r="D15" s="1228"/>
      <c r="E15" s="1228"/>
      <c r="F15" s="258"/>
      <c r="G15" s="254"/>
      <c r="H15" s="258"/>
    </row>
    <row r="16" spans="1:8" x14ac:dyDescent="0.2">
      <c r="A16" s="1359" t="s">
        <v>393</v>
      </c>
      <c r="B16" s="1360"/>
      <c r="C16" s="1360"/>
      <c r="D16" s="1360"/>
      <c r="E16" s="1360"/>
      <c r="F16" s="254"/>
      <c r="G16" s="258"/>
      <c r="H16" s="258"/>
    </row>
    <row r="17" spans="1:8" x14ac:dyDescent="0.2">
      <c r="A17" s="1360"/>
      <c r="B17" s="1360"/>
      <c r="C17" s="1360"/>
      <c r="D17" s="1360"/>
      <c r="E17" s="1360"/>
      <c r="F17" s="258"/>
      <c r="G17" s="258"/>
      <c r="H17" s="258"/>
    </row>
    <row r="18" spans="1:8" x14ac:dyDescent="0.2">
      <c r="B18" s="54"/>
      <c r="C18" s="54"/>
      <c r="E18" s="13"/>
      <c r="F18" s="258"/>
      <c r="G18" s="258"/>
      <c r="H18" s="258"/>
    </row>
    <row r="19" spans="1:8" x14ac:dyDescent="0.2">
      <c r="A19" s="94"/>
      <c r="B19" s="54"/>
      <c r="C19" s="54"/>
      <c r="F19" s="254"/>
      <c r="G19" s="258"/>
      <c r="H19" s="258"/>
    </row>
    <row r="20" spans="1:8" x14ac:dyDescent="0.2">
      <c r="B20" s="54"/>
      <c r="C20" s="54"/>
    </row>
    <row r="21" spans="1:8" x14ac:dyDescent="0.2">
      <c r="B21" s="54"/>
      <c r="C21" s="54"/>
    </row>
    <row r="22" spans="1:8" x14ac:dyDescent="0.2">
      <c r="B22" s="54"/>
      <c r="C22" s="54"/>
    </row>
    <row r="23" spans="1:8" x14ac:dyDescent="0.2">
      <c r="B23" s="54"/>
      <c r="C23" s="54"/>
    </row>
    <row r="24" spans="1:8" x14ac:dyDescent="0.2">
      <c r="B24" s="54"/>
      <c r="C24" s="54"/>
    </row>
    <row r="25" spans="1:8" x14ac:dyDescent="0.2">
      <c r="B25" s="255"/>
      <c r="C25" s="255"/>
    </row>
    <row r="26" spans="1:8" x14ac:dyDescent="0.2">
      <c r="C26" s="13"/>
    </row>
  </sheetData>
  <sheetProtection password="9C8D" sheet="1" objects="1" scenarios="1"/>
  <mergeCells count="6">
    <mergeCell ref="A16:E17"/>
    <mergeCell ref="A1:E1"/>
    <mergeCell ref="A2:E2"/>
    <mergeCell ref="A3:E3"/>
    <mergeCell ref="A5:E5"/>
    <mergeCell ref="A15:E15"/>
  </mergeCells>
  <pageMargins left="0" right="0" top="0.98425196850393704" bottom="0.98425196850393704" header="0.51181102362204722" footer="0.51181102362204722"/>
  <pageSetup orientation="portrait" horizontalDpi="4294967293"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indowProtection="1" showGridLines="0" zoomScale="80" zoomScaleNormal="80" workbookViewId="0">
      <selection activeCell="N35" sqref="N35"/>
    </sheetView>
  </sheetViews>
  <sheetFormatPr defaultRowHeight="12.75" x14ac:dyDescent="0.2"/>
  <cols>
    <col min="1" max="1" width="30.5703125" style="110" customWidth="1"/>
    <col min="2" max="2" width="11.140625" style="110" customWidth="1"/>
    <col min="3" max="3" width="14" style="110" customWidth="1"/>
    <col min="4" max="4" width="11.140625" style="110" customWidth="1"/>
    <col min="5" max="7" width="14.28515625" style="110" customWidth="1"/>
    <col min="8" max="8" width="11.85546875" style="110" customWidth="1"/>
    <col min="9" max="9" width="14.5703125" style="110" customWidth="1"/>
    <col min="10" max="10" width="11" style="110" customWidth="1"/>
    <col min="11" max="11" width="13" style="110" customWidth="1"/>
    <col min="12" max="12" width="11.42578125" style="110" customWidth="1"/>
    <col min="13" max="13" width="13.140625" style="110" customWidth="1"/>
    <col min="14" max="14" width="12.85546875" style="110" customWidth="1"/>
    <col min="15" max="15" width="12.28515625" style="110" bestFit="1" customWidth="1"/>
    <col min="16" max="16384" width="9.140625" style="110"/>
  </cols>
  <sheetData>
    <row r="1" spans="1:15" ht="15.75" x14ac:dyDescent="0.2">
      <c r="A1" s="1219" t="s">
        <v>192</v>
      </c>
      <c r="B1" s="1219"/>
      <c r="C1" s="1219"/>
      <c r="D1" s="1219"/>
      <c r="E1" s="1219"/>
      <c r="F1" s="1219"/>
      <c r="G1" s="1219"/>
      <c r="H1" s="1219"/>
      <c r="I1" s="1219"/>
      <c r="J1" s="1219"/>
      <c r="K1" s="1219"/>
      <c r="L1" s="1219"/>
      <c r="M1" s="1219"/>
    </row>
    <row r="2" spans="1:15" ht="15" x14ac:dyDescent="0.2">
      <c r="A2" s="1220" t="s">
        <v>215</v>
      </c>
      <c r="B2" s="1220"/>
      <c r="C2" s="1220"/>
      <c r="D2" s="1220"/>
      <c r="E2" s="1220"/>
      <c r="F2" s="1220"/>
      <c r="G2" s="1220"/>
      <c r="H2" s="1220"/>
      <c r="I2" s="1220"/>
      <c r="J2" s="1220"/>
      <c r="K2" s="1220"/>
      <c r="L2" s="1220"/>
      <c r="M2" s="1220"/>
    </row>
    <row r="3" spans="1:15" ht="15" x14ac:dyDescent="0.2">
      <c r="A3" s="1221" t="str">
        <f>+[11]Dados!A18</f>
        <v>Exercício de 2015</v>
      </c>
      <c r="B3" s="1221"/>
      <c r="C3" s="1221"/>
      <c r="D3" s="1221"/>
      <c r="E3" s="1221"/>
      <c r="F3" s="1221"/>
      <c r="G3" s="1221"/>
      <c r="H3" s="1221"/>
      <c r="I3" s="1221"/>
      <c r="J3" s="1221"/>
      <c r="K3" s="1221"/>
      <c r="L3" s="1221"/>
      <c r="M3" s="1221"/>
    </row>
    <row r="4" spans="1:15" ht="15" x14ac:dyDescent="0.2">
      <c r="A4" s="155"/>
      <c r="B4" s="155"/>
      <c r="C4" s="155"/>
      <c r="D4" s="155"/>
      <c r="E4" s="155"/>
      <c r="F4" s="155"/>
      <c r="G4" s="155"/>
      <c r="H4" s="155"/>
      <c r="I4" s="155"/>
      <c r="J4" s="155"/>
      <c r="K4" s="299"/>
      <c r="L4" s="299"/>
      <c r="M4" s="299"/>
    </row>
    <row r="5" spans="1:15" x14ac:dyDescent="0.2">
      <c r="A5" s="1380"/>
      <c r="B5" s="1380"/>
      <c r="C5" s="1380"/>
      <c r="D5" s="1380"/>
      <c r="E5" s="1380"/>
      <c r="F5" s="1380"/>
      <c r="G5" s="1380"/>
      <c r="H5" s="1380"/>
      <c r="I5" s="1380"/>
      <c r="J5" s="1380"/>
      <c r="K5" s="1380"/>
      <c r="L5" s="1304" t="s">
        <v>1</v>
      </c>
      <c r="M5" s="1304"/>
    </row>
    <row r="6" spans="1:15" ht="19.5" customHeight="1" x14ac:dyDescent="0.2">
      <c r="A6" s="1385" t="s">
        <v>204</v>
      </c>
      <c r="B6" s="1384" t="s">
        <v>216</v>
      </c>
      <c r="C6" s="1384"/>
      <c r="D6" s="1384"/>
      <c r="E6" s="1384"/>
      <c r="F6" s="1384"/>
      <c r="G6" s="1384"/>
      <c r="H6" s="1384"/>
      <c r="I6" s="1384"/>
      <c r="J6" s="1384"/>
      <c r="K6" s="1384"/>
      <c r="L6" s="1384" t="s">
        <v>29</v>
      </c>
      <c r="M6" s="1384"/>
      <c r="N6" s="1276"/>
    </row>
    <row r="7" spans="1:15" ht="18" customHeight="1" x14ac:dyDescent="0.2">
      <c r="A7" s="1385"/>
      <c r="B7" s="1384" t="s">
        <v>149</v>
      </c>
      <c r="C7" s="1384"/>
      <c r="D7" s="1384" t="s">
        <v>150</v>
      </c>
      <c r="E7" s="1384"/>
      <c r="F7" s="1384" t="s">
        <v>151</v>
      </c>
      <c r="G7" s="1384"/>
      <c r="H7" s="1384" t="s">
        <v>152</v>
      </c>
      <c r="I7" s="1384"/>
      <c r="J7" s="1384" t="s">
        <v>153</v>
      </c>
      <c r="K7" s="1384"/>
      <c r="L7" s="1384"/>
      <c r="M7" s="1384"/>
      <c r="N7" s="1276"/>
    </row>
    <row r="8" spans="1:15" ht="25.5" x14ac:dyDescent="0.2">
      <c r="A8" s="1385"/>
      <c r="B8" s="202" t="s">
        <v>154</v>
      </c>
      <c r="C8" s="202" t="s">
        <v>206</v>
      </c>
      <c r="D8" s="202" t="s">
        <v>154</v>
      </c>
      <c r="E8" s="202" t="s">
        <v>206</v>
      </c>
      <c r="F8" s="202" t="s">
        <v>154</v>
      </c>
      <c r="G8" s="202" t="s">
        <v>206</v>
      </c>
      <c r="H8" s="202" t="s">
        <v>154</v>
      </c>
      <c r="I8" s="202" t="s">
        <v>206</v>
      </c>
      <c r="J8" s="202" t="s">
        <v>154</v>
      </c>
      <c r="K8" s="202" t="s">
        <v>206</v>
      </c>
      <c r="L8" s="202" t="s">
        <v>154</v>
      </c>
      <c r="M8" s="202" t="s">
        <v>206</v>
      </c>
      <c r="N8" s="1276"/>
    </row>
    <row r="9" spans="1:15" ht="20.100000000000001" customHeight="1" x14ac:dyDescent="0.2">
      <c r="A9" s="293" t="s">
        <v>207</v>
      </c>
      <c r="B9" s="294">
        <f>19+1413</f>
        <v>1432</v>
      </c>
      <c r="C9" s="101">
        <f>652+13560</f>
        <v>14212</v>
      </c>
      <c r="D9" s="294">
        <v>55</v>
      </c>
      <c r="E9" s="101">
        <v>18617</v>
      </c>
      <c r="F9" s="294">
        <v>4</v>
      </c>
      <c r="G9" s="101">
        <v>7588</v>
      </c>
      <c r="H9" s="294">
        <v>2</v>
      </c>
      <c r="I9" s="101">
        <v>4759</v>
      </c>
      <c r="J9" s="294">
        <v>0</v>
      </c>
      <c r="K9" s="101">
        <v>0</v>
      </c>
      <c r="L9" s="101">
        <f>B9+D9+H9+J9+F9</f>
        <v>1493</v>
      </c>
      <c r="M9" s="294">
        <f>C9+E9+I9+K9+G9</f>
        <v>45176</v>
      </c>
      <c r="N9" s="300"/>
      <c r="O9" s="300"/>
    </row>
    <row r="10" spans="1:15" ht="20.100000000000001" customHeight="1" x14ac:dyDescent="0.2">
      <c r="A10" s="293" t="s">
        <v>208</v>
      </c>
      <c r="B10" s="296">
        <f>60+4313</f>
        <v>4373</v>
      </c>
      <c r="C10" s="295">
        <f>3179+34293</f>
        <v>37472</v>
      </c>
      <c r="D10" s="296">
        <v>234</v>
      </c>
      <c r="E10" s="101">
        <v>62327</v>
      </c>
      <c r="F10" s="294">
        <v>31</v>
      </c>
      <c r="G10" s="295">
        <v>28283</v>
      </c>
      <c r="H10" s="296">
        <v>15</v>
      </c>
      <c r="I10" s="295">
        <v>27049</v>
      </c>
      <c r="J10" s="296">
        <v>2</v>
      </c>
      <c r="K10" s="295">
        <v>2673</v>
      </c>
      <c r="L10" s="295">
        <f t="shared" ref="L10:M15" si="0">B10+D10+H10+J10+F10</f>
        <v>4655</v>
      </c>
      <c r="M10" s="296">
        <f t="shared" si="0"/>
        <v>157804</v>
      </c>
      <c r="N10" s="300"/>
      <c r="O10" s="300"/>
    </row>
    <row r="11" spans="1:15" ht="20.100000000000001" customHeight="1" x14ac:dyDescent="0.2">
      <c r="A11" s="293" t="s">
        <v>209</v>
      </c>
      <c r="B11" s="296">
        <f>92+7068</f>
        <v>7160</v>
      </c>
      <c r="C11" s="295">
        <f>3740+43961</f>
        <v>47701</v>
      </c>
      <c r="D11" s="296">
        <v>190</v>
      </c>
      <c r="E11" s="101">
        <v>67229</v>
      </c>
      <c r="F11" s="294">
        <v>71</v>
      </c>
      <c r="G11" s="295">
        <v>146086</v>
      </c>
      <c r="H11" s="296">
        <v>34</v>
      </c>
      <c r="I11" s="295">
        <v>153877</v>
      </c>
      <c r="J11" s="296">
        <v>13</v>
      </c>
      <c r="K11" s="295">
        <v>262801</v>
      </c>
      <c r="L11" s="295">
        <f t="shared" si="0"/>
        <v>7468</v>
      </c>
      <c r="M11" s="296">
        <f t="shared" si="0"/>
        <v>677694</v>
      </c>
      <c r="N11" s="300"/>
      <c r="O11" s="300"/>
    </row>
    <row r="12" spans="1:15" ht="20.100000000000001" customHeight="1" x14ac:dyDescent="0.2">
      <c r="A12" s="293" t="s">
        <v>210</v>
      </c>
      <c r="B12" s="296">
        <f>301+33623</f>
        <v>33924</v>
      </c>
      <c r="C12" s="295">
        <f>10962+202457</f>
        <v>213419</v>
      </c>
      <c r="D12" s="296">
        <v>843</v>
      </c>
      <c r="E12" s="101">
        <v>95130</v>
      </c>
      <c r="F12" s="294">
        <v>79</v>
      </c>
      <c r="G12" s="295">
        <v>17959</v>
      </c>
      <c r="H12" s="296">
        <v>39</v>
      </c>
      <c r="I12" s="295">
        <v>35906</v>
      </c>
      <c r="J12" s="296">
        <v>7</v>
      </c>
      <c r="K12" s="295">
        <v>17886</v>
      </c>
      <c r="L12" s="295">
        <f t="shared" si="0"/>
        <v>34892</v>
      </c>
      <c r="M12" s="296">
        <f t="shared" si="0"/>
        <v>380300</v>
      </c>
      <c r="N12" s="300"/>
      <c r="O12" s="300"/>
    </row>
    <row r="13" spans="1:15" ht="20.100000000000001" customHeight="1" x14ac:dyDescent="0.2">
      <c r="A13" s="293" t="s">
        <v>211</v>
      </c>
      <c r="B13" s="296">
        <f>239+11198</f>
        <v>11437</v>
      </c>
      <c r="C13" s="295">
        <f>6867+60904</f>
        <v>67771</v>
      </c>
      <c r="D13" s="296">
        <v>419</v>
      </c>
      <c r="E13" s="101">
        <v>40163</v>
      </c>
      <c r="F13" s="294">
        <v>15</v>
      </c>
      <c r="G13" s="295">
        <v>2707</v>
      </c>
      <c r="H13" s="296">
        <v>8</v>
      </c>
      <c r="I13" s="295">
        <v>3430</v>
      </c>
      <c r="J13" s="296">
        <v>0</v>
      </c>
      <c r="K13" s="295">
        <v>0</v>
      </c>
      <c r="L13" s="295">
        <f t="shared" si="0"/>
        <v>11879</v>
      </c>
      <c r="M13" s="296">
        <f t="shared" si="0"/>
        <v>114071</v>
      </c>
      <c r="N13" s="300"/>
      <c r="O13" s="300"/>
    </row>
    <row r="14" spans="1:15" ht="27" customHeight="1" x14ac:dyDescent="0.2">
      <c r="A14" s="293" t="s">
        <v>212</v>
      </c>
      <c r="B14" s="296">
        <f>205+17596</f>
        <v>17801</v>
      </c>
      <c r="C14" s="295">
        <f>7764+107269</f>
        <v>115033</v>
      </c>
      <c r="D14" s="296">
        <v>731</v>
      </c>
      <c r="E14" s="101">
        <v>153587</v>
      </c>
      <c r="F14" s="294">
        <v>72</v>
      </c>
      <c r="G14" s="295">
        <v>25278</v>
      </c>
      <c r="H14" s="296">
        <v>45</v>
      </c>
      <c r="I14" s="295">
        <v>52834</v>
      </c>
      <c r="J14" s="296">
        <v>3</v>
      </c>
      <c r="K14" s="295">
        <v>10005</v>
      </c>
      <c r="L14" s="295">
        <f t="shared" si="0"/>
        <v>18652</v>
      </c>
      <c r="M14" s="296">
        <f t="shared" si="0"/>
        <v>356737</v>
      </c>
      <c r="N14" s="300"/>
      <c r="O14" s="300"/>
    </row>
    <row r="15" spans="1:15" ht="20.100000000000001" customHeight="1" x14ac:dyDescent="0.2">
      <c r="A15" s="293" t="s">
        <v>213</v>
      </c>
      <c r="B15" s="294">
        <f>326+30055</f>
        <v>30381</v>
      </c>
      <c r="C15" s="101">
        <f>12760+200803</f>
        <v>213563</v>
      </c>
      <c r="D15" s="294">
        <v>625</v>
      </c>
      <c r="E15" s="101">
        <v>83011</v>
      </c>
      <c r="F15" s="294">
        <v>41</v>
      </c>
      <c r="G15" s="101">
        <v>12896</v>
      </c>
      <c r="H15" s="294">
        <v>12</v>
      </c>
      <c r="I15" s="101">
        <v>2467</v>
      </c>
      <c r="J15" s="294">
        <v>1</v>
      </c>
      <c r="K15" s="101">
        <v>120</v>
      </c>
      <c r="L15" s="101">
        <f t="shared" si="0"/>
        <v>31060</v>
      </c>
      <c r="M15" s="294">
        <f t="shared" si="0"/>
        <v>312057</v>
      </c>
      <c r="N15" s="300"/>
      <c r="O15" s="300"/>
    </row>
    <row r="16" spans="1:15" ht="26.25" customHeight="1" x14ac:dyDescent="0.2">
      <c r="A16" s="154" t="s">
        <v>29</v>
      </c>
      <c r="B16" s="297">
        <f>SUM(B9:B15)</f>
        <v>106508</v>
      </c>
      <c r="C16" s="298">
        <f>SUM(C9:C15)</f>
        <v>709171</v>
      </c>
      <c r="D16" s="298">
        <f t="shared" ref="D16:K16" si="1">SUM(D9:D15)</f>
        <v>3097</v>
      </c>
      <c r="E16" s="298">
        <f t="shared" si="1"/>
        <v>520064</v>
      </c>
      <c r="F16" s="298">
        <f>SUM(F9:F15)</f>
        <v>313</v>
      </c>
      <c r="G16" s="298">
        <f>SUM(G9:G15)</f>
        <v>240797</v>
      </c>
      <c r="H16" s="298">
        <f t="shared" si="1"/>
        <v>155</v>
      </c>
      <c r="I16" s="298">
        <f t="shared" si="1"/>
        <v>280322</v>
      </c>
      <c r="J16" s="298">
        <f t="shared" si="1"/>
        <v>26</v>
      </c>
      <c r="K16" s="297">
        <f t="shared" si="1"/>
        <v>293485</v>
      </c>
      <c r="L16" s="298">
        <f>SUM(L9:L15)</f>
        <v>110099</v>
      </c>
      <c r="M16" s="297">
        <f>SUM(M9:M15)</f>
        <v>2043839</v>
      </c>
      <c r="N16" s="301"/>
      <c r="O16" s="300"/>
    </row>
    <row r="17" spans="1:15" ht="18" customHeight="1" x14ac:dyDescent="0.2">
      <c r="A17" s="1223" t="s">
        <v>214</v>
      </c>
      <c r="B17" s="1223"/>
      <c r="C17" s="1223"/>
      <c r="D17" s="1223"/>
      <c r="E17" s="1223"/>
      <c r="F17" s="1223"/>
      <c r="G17" s="1223"/>
      <c r="H17" s="1223"/>
      <c r="I17" s="1223"/>
      <c r="J17" s="1223"/>
      <c r="K17" s="1223"/>
      <c r="O17" s="300"/>
    </row>
    <row r="18" spans="1:15" x14ac:dyDescent="0.2">
      <c r="A18" s="1381"/>
      <c r="B18" s="1381"/>
      <c r="C18" s="1382"/>
      <c r="D18" s="302"/>
      <c r="E18" s="302"/>
      <c r="F18" s="302"/>
      <c r="G18" s="302"/>
      <c r="H18" s="302"/>
      <c r="I18" s="302"/>
      <c r="J18" s="302"/>
      <c r="L18" s="195">
        <f>+L16-'[11]78'!B14</f>
        <v>0</v>
      </c>
      <c r="M18" s="195"/>
    </row>
    <row r="19" spans="1:15" x14ac:dyDescent="0.2">
      <c r="B19" s="303"/>
      <c r="C19" s="195"/>
      <c r="D19" s="195"/>
      <c r="E19" s="195"/>
      <c r="F19" s="195"/>
      <c r="G19" s="195"/>
      <c r="H19" s="195"/>
      <c r="I19" s="195"/>
      <c r="J19" s="303"/>
      <c r="K19" s="303"/>
      <c r="L19" s="195"/>
      <c r="M19" s="195"/>
    </row>
    <row r="20" spans="1:15" x14ac:dyDescent="0.2">
      <c r="I20" s="201"/>
    </row>
    <row r="21" spans="1:15" x14ac:dyDescent="0.2">
      <c r="B21" s="195"/>
      <c r="C21" s="195"/>
      <c r="D21" s="195"/>
      <c r="E21" s="195"/>
      <c r="F21" s="195"/>
      <c r="G21" s="195"/>
      <c r="H21" s="195"/>
      <c r="I21" s="195"/>
      <c r="J21" s="195"/>
      <c r="K21" s="195"/>
      <c r="L21" s="195"/>
      <c r="M21" s="195"/>
    </row>
    <row r="22" spans="1:15" x14ac:dyDescent="0.2">
      <c r="B22" s="195"/>
      <c r="C22" s="195"/>
      <c r="D22" s="195"/>
      <c r="E22" s="195"/>
      <c r="F22" s="195"/>
      <c r="G22" s="195"/>
      <c r="H22" s="195"/>
      <c r="I22" s="195"/>
      <c r="J22" s="195"/>
      <c r="K22" s="195"/>
      <c r="L22" s="195"/>
      <c r="M22" s="195"/>
    </row>
    <row r="26" spans="1:15" x14ac:dyDescent="0.2">
      <c r="J26" s="1383"/>
    </row>
    <row r="27" spans="1:15" x14ac:dyDescent="0.2">
      <c r="J27" s="1383"/>
    </row>
  </sheetData>
  <sheetProtection password="9C8D" sheet="1" objects="1" scenarios="1"/>
  <mergeCells count="17">
    <mergeCell ref="A17:K17"/>
    <mergeCell ref="A18:C18"/>
    <mergeCell ref="J26:J27"/>
    <mergeCell ref="N6:N8"/>
    <mergeCell ref="B7:C7"/>
    <mergeCell ref="D7:E7"/>
    <mergeCell ref="F7:G7"/>
    <mergeCell ref="H7:I7"/>
    <mergeCell ref="J7:K7"/>
    <mergeCell ref="A6:A8"/>
    <mergeCell ref="B6:K6"/>
    <mergeCell ref="L6:M7"/>
    <mergeCell ref="A1:M1"/>
    <mergeCell ref="A2:M2"/>
    <mergeCell ref="A3:M3"/>
    <mergeCell ref="A5:K5"/>
    <mergeCell ref="L5:M5"/>
  </mergeCells>
  <pageMargins left="0.39370078740157483" right="0" top="0.39370078740157483" bottom="0" header="0.51181102362204722" footer="0.51181102362204722"/>
  <pageSetup paperSize="9" scale="70"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windowProtection="1" showGridLines="0" workbookViewId="0">
      <selection activeCell="K24" sqref="K24"/>
    </sheetView>
  </sheetViews>
  <sheetFormatPr defaultRowHeight="12.75" x14ac:dyDescent="0.2"/>
  <cols>
    <col min="1" max="1" width="25.140625" style="110" customWidth="1"/>
    <col min="2" max="2" width="31.5703125" style="110" customWidth="1"/>
    <col min="3" max="3" width="18" style="110" customWidth="1"/>
    <col min="4" max="4" width="18.42578125" style="110" customWidth="1"/>
    <col min="5" max="5" width="10.28515625" style="110" bestFit="1" customWidth="1"/>
    <col min="6" max="6" width="11.28515625" style="110" bestFit="1" customWidth="1"/>
    <col min="7" max="8" width="12.28515625" style="110" bestFit="1" customWidth="1"/>
    <col min="9" max="9" width="10.85546875" style="110" customWidth="1"/>
    <col min="10" max="12" width="9.140625" style="110"/>
    <col min="13" max="13" width="10.28515625" style="110" bestFit="1" customWidth="1"/>
    <col min="14" max="16384" width="9.140625" style="110"/>
  </cols>
  <sheetData>
    <row r="1" spans="1:13" ht="15.75" x14ac:dyDescent="0.2">
      <c r="A1" s="1219" t="s">
        <v>556</v>
      </c>
      <c r="B1" s="1219"/>
      <c r="C1" s="1219"/>
      <c r="D1" s="1219"/>
    </row>
    <row r="2" spans="1:13" ht="15" x14ac:dyDescent="0.2">
      <c r="A2" s="1220" t="s">
        <v>217</v>
      </c>
      <c r="B2" s="1220"/>
      <c r="C2" s="1220"/>
      <c r="D2" s="1220"/>
    </row>
    <row r="3" spans="1:13" ht="15" x14ac:dyDescent="0.2">
      <c r="A3" s="1221" t="str">
        <f>+[11]Dados!A18</f>
        <v>Exercício de 2015</v>
      </c>
      <c r="B3" s="1221"/>
      <c r="C3" s="1221"/>
      <c r="D3" s="1221"/>
    </row>
    <row r="4" spans="1:13" ht="15" x14ac:dyDescent="0.2">
      <c r="A4" s="155"/>
      <c r="B4" s="155"/>
      <c r="C4" s="155"/>
      <c r="D4" s="299"/>
    </row>
    <row r="5" spans="1:13" x14ac:dyDescent="0.2">
      <c r="A5" s="1222" t="s">
        <v>1</v>
      </c>
      <c r="B5" s="1222"/>
      <c r="C5" s="1222"/>
      <c r="D5" s="1222"/>
    </row>
    <row r="6" spans="1:13" ht="42.75" customHeight="1" x14ac:dyDescent="0.2">
      <c r="A6" s="154" t="s">
        <v>167</v>
      </c>
      <c r="B6" s="202" t="s">
        <v>218</v>
      </c>
      <c r="C6" s="202" t="s">
        <v>205</v>
      </c>
      <c r="D6" s="202" t="s">
        <v>206</v>
      </c>
      <c r="E6" s="158"/>
    </row>
    <row r="7" spans="1:13" ht="20.100000000000001" customHeight="1" x14ac:dyDescent="0.2">
      <c r="A7" s="304" t="s">
        <v>88</v>
      </c>
      <c r="B7" s="305" t="s">
        <v>213</v>
      </c>
      <c r="C7" s="306">
        <v>6645</v>
      </c>
      <c r="D7" s="307">
        <v>46200</v>
      </c>
      <c r="E7" s="205"/>
      <c r="F7" s="205"/>
      <c r="G7" s="308"/>
      <c r="H7" s="308"/>
      <c r="I7" s="309"/>
      <c r="J7" s="310"/>
      <c r="K7" s="310"/>
      <c r="L7" s="310"/>
    </row>
    <row r="8" spans="1:13" ht="20.100000000000001" customHeight="1" x14ac:dyDescent="0.2">
      <c r="A8" s="1386" t="s">
        <v>107</v>
      </c>
      <c r="B8" s="311" t="s">
        <v>212</v>
      </c>
      <c r="C8" s="312">
        <v>5593</v>
      </c>
      <c r="D8" s="313">
        <v>188785</v>
      </c>
      <c r="E8" s="205"/>
      <c r="F8" s="201"/>
      <c r="G8" s="300"/>
      <c r="H8" s="201"/>
      <c r="I8" s="201"/>
      <c r="J8" s="201"/>
      <c r="K8" s="201"/>
      <c r="L8" s="201"/>
      <c r="M8" s="204"/>
    </row>
    <row r="9" spans="1:13" ht="20.100000000000001" customHeight="1" x14ac:dyDescent="0.2">
      <c r="A9" s="1387"/>
      <c r="B9" s="305" t="s">
        <v>213</v>
      </c>
      <c r="C9" s="306">
        <v>12115</v>
      </c>
      <c r="D9" s="307">
        <v>110721</v>
      </c>
      <c r="E9" s="205"/>
      <c r="F9" s="201"/>
      <c r="G9" s="300"/>
      <c r="H9" s="300"/>
      <c r="I9" s="204"/>
      <c r="J9" s="204"/>
      <c r="K9" s="204"/>
      <c r="L9" s="204"/>
      <c r="M9" s="204"/>
    </row>
    <row r="10" spans="1:13" ht="20.100000000000001" customHeight="1" x14ac:dyDescent="0.2">
      <c r="A10" s="314" t="s">
        <v>90</v>
      </c>
      <c r="B10" s="315" t="s">
        <v>210</v>
      </c>
      <c r="C10" s="316">
        <v>10228</v>
      </c>
      <c r="D10" s="317">
        <v>158942</v>
      </c>
      <c r="E10" s="205"/>
      <c r="F10" s="201"/>
      <c r="G10" s="201"/>
      <c r="H10" s="201"/>
      <c r="I10" s="201"/>
      <c r="J10" s="201"/>
      <c r="K10" s="201"/>
      <c r="L10" s="201"/>
      <c r="M10" s="204"/>
    </row>
    <row r="11" spans="1:13" ht="20.100000000000001" customHeight="1" x14ac:dyDescent="0.2">
      <c r="A11" s="318" t="s">
        <v>91</v>
      </c>
      <c r="B11" s="319" t="s">
        <v>212</v>
      </c>
      <c r="C11" s="101">
        <v>262</v>
      </c>
      <c r="D11" s="294">
        <v>35334</v>
      </c>
      <c r="E11" s="205"/>
      <c r="F11" s="205"/>
      <c r="G11" s="300"/>
      <c r="H11" s="201"/>
      <c r="I11" s="204"/>
      <c r="J11" s="195"/>
      <c r="L11" s="195"/>
    </row>
    <row r="12" spans="1:13" ht="20.100000000000001" customHeight="1" x14ac:dyDescent="0.2">
      <c r="A12" s="1388" t="s">
        <v>92</v>
      </c>
      <c r="B12" s="320" t="s">
        <v>208</v>
      </c>
      <c r="C12" s="321">
        <v>4655</v>
      </c>
      <c r="D12" s="322">
        <v>157804</v>
      </c>
      <c r="E12" s="205"/>
      <c r="F12" s="205"/>
      <c r="G12" s="300"/>
      <c r="H12" s="201"/>
      <c r="I12" s="204"/>
      <c r="J12" s="195"/>
      <c r="L12" s="195"/>
    </row>
    <row r="13" spans="1:13" ht="20.100000000000001" customHeight="1" x14ac:dyDescent="0.2">
      <c r="A13" s="1389"/>
      <c r="B13" s="305" t="s">
        <v>209</v>
      </c>
      <c r="C13" s="306">
        <v>631</v>
      </c>
      <c r="D13" s="307">
        <v>158776</v>
      </c>
      <c r="E13" s="205"/>
      <c r="F13" s="205"/>
      <c r="G13" s="300"/>
      <c r="H13" s="300"/>
      <c r="I13" s="204"/>
      <c r="J13" s="195"/>
      <c r="L13" s="195"/>
    </row>
    <row r="14" spans="1:13" ht="20.100000000000001" customHeight="1" x14ac:dyDescent="0.2">
      <c r="A14" s="1388" t="s">
        <v>93</v>
      </c>
      <c r="B14" s="319" t="s">
        <v>207</v>
      </c>
      <c r="C14" s="101">
        <v>1493</v>
      </c>
      <c r="D14" s="294">
        <v>45176</v>
      </c>
      <c r="E14" s="205"/>
      <c r="F14" s="205"/>
      <c r="G14" s="300"/>
      <c r="H14" s="201"/>
      <c r="I14" s="204"/>
      <c r="J14" s="195"/>
      <c r="L14" s="195"/>
    </row>
    <row r="15" spans="1:13" ht="20.100000000000001" customHeight="1" x14ac:dyDescent="0.2">
      <c r="A15" s="1389"/>
      <c r="B15" s="319" t="s">
        <v>212</v>
      </c>
      <c r="C15" s="101">
        <v>12797</v>
      </c>
      <c r="D15" s="294">
        <v>132618</v>
      </c>
      <c r="E15" s="205"/>
      <c r="F15" s="205"/>
      <c r="G15" s="300"/>
      <c r="H15" s="300"/>
      <c r="J15" s="195"/>
      <c r="L15" s="195"/>
    </row>
    <row r="16" spans="1:13" ht="20.100000000000001" customHeight="1" x14ac:dyDescent="0.2">
      <c r="A16" s="314" t="s">
        <v>94</v>
      </c>
      <c r="B16" s="315" t="s">
        <v>211</v>
      </c>
      <c r="C16" s="316">
        <v>4708</v>
      </c>
      <c r="D16" s="317">
        <v>35437</v>
      </c>
      <c r="E16" s="205"/>
      <c r="F16" s="205"/>
      <c r="G16" s="300"/>
      <c r="H16" s="300"/>
    </row>
    <row r="17" spans="1:8" ht="20.100000000000001" customHeight="1" x14ac:dyDescent="0.2">
      <c r="A17" s="1388" t="s">
        <v>95</v>
      </c>
      <c r="B17" s="320" t="s">
        <v>210</v>
      </c>
      <c r="C17" s="321">
        <v>11213</v>
      </c>
      <c r="D17" s="322">
        <v>101595</v>
      </c>
      <c r="E17" s="117"/>
      <c r="F17" s="117"/>
      <c r="G17" s="300"/>
      <c r="H17" s="300"/>
    </row>
    <row r="18" spans="1:8" ht="20.100000000000001" customHeight="1" x14ac:dyDescent="0.2">
      <c r="A18" s="1389"/>
      <c r="B18" s="305" t="s">
        <v>213</v>
      </c>
      <c r="C18" s="306">
        <v>4596</v>
      </c>
      <c r="D18" s="307">
        <v>41539</v>
      </c>
      <c r="E18" s="117"/>
      <c r="F18" s="117"/>
      <c r="G18" s="300"/>
      <c r="H18" s="300"/>
    </row>
    <row r="19" spans="1:8" ht="20.100000000000001" customHeight="1" x14ac:dyDescent="0.2">
      <c r="A19" s="1388" t="s">
        <v>96</v>
      </c>
      <c r="B19" s="320" t="s">
        <v>209</v>
      </c>
      <c r="C19" s="321">
        <v>6837</v>
      </c>
      <c r="D19" s="322">
        <v>518918</v>
      </c>
      <c r="E19" s="117"/>
      <c r="F19" s="117"/>
      <c r="G19" s="300"/>
      <c r="H19" s="300"/>
    </row>
    <row r="20" spans="1:8" ht="20.100000000000001" customHeight="1" x14ac:dyDescent="0.2">
      <c r="A20" s="1389"/>
      <c r="B20" s="305" t="s">
        <v>210</v>
      </c>
      <c r="C20" s="306">
        <v>13451</v>
      </c>
      <c r="D20" s="307">
        <v>119763</v>
      </c>
      <c r="E20" s="117"/>
      <c r="F20" s="117"/>
      <c r="G20" s="300"/>
      <c r="H20" s="300"/>
    </row>
    <row r="21" spans="1:8" ht="20.100000000000001" customHeight="1" x14ac:dyDescent="0.2">
      <c r="A21" s="314" t="s">
        <v>97</v>
      </c>
      <c r="B21" s="315" t="s">
        <v>211</v>
      </c>
      <c r="C21" s="316">
        <v>7171</v>
      </c>
      <c r="D21" s="317">
        <v>78634</v>
      </c>
      <c r="E21" s="117"/>
      <c r="G21" s="300"/>
      <c r="H21" s="300"/>
    </row>
    <row r="22" spans="1:8" ht="20.100000000000001" customHeight="1" x14ac:dyDescent="0.2">
      <c r="A22" s="318" t="s">
        <v>98</v>
      </c>
      <c r="B22" s="319" t="s">
        <v>213</v>
      </c>
      <c r="C22" s="101">
        <v>7704</v>
      </c>
      <c r="D22" s="294">
        <v>113597</v>
      </c>
      <c r="E22" s="117"/>
      <c r="G22" s="300"/>
      <c r="H22" s="300"/>
    </row>
    <row r="23" spans="1:8" ht="24" customHeight="1" x14ac:dyDescent="0.2">
      <c r="A23" s="1191" t="s">
        <v>29</v>
      </c>
      <c r="B23" s="1191"/>
      <c r="C23" s="298">
        <f>SUM(C7:C22)</f>
        <v>110099</v>
      </c>
      <c r="D23" s="297">
        <f>SUM(D7:D22)</f>
        <v>2043839</v>
      </c>
      <c r="G23" s="204"/>
    </row>
    <row r="24" spans="1:8" ht="18" customHeight="1" x14ac:dyDescent="0.2">
      <c r="A24" s="1223" t="s">
        <v>214</v>
      </c>
      <c r="B24" s="1223"/>
      <c r="C24" s="1223"/>
      <c r="D24" s="1223"/>
    </row>
    <row r="25" spans="1:8" x14ac:dyDescent="0.2">
      <c r="A25" s="1381"/>
      <c r="B25" s="1381"/>
      <c r="C25" s="1382"/>
    </row>
    <row r="26" spans="1:8" x14ac:dyDescent="0.2">
      <c r="C26" s="205">
        <f>+C23-'[11]78'!B14</f>
        <v>0</v>
      </c>
      <c r="D26" s="195">
        <f>+D23-'[11]78'!D14</f>
        <v>0</v>
      </c>
    </row>
    <row r="28" spans="1:8" x14ac:dyDescent="0.2">
      <c r="C28" s="117"/>
      <c r="D28" s="117"/>
    </row>
  </sheetData>
  <sheetProtection password="9C8D" sheet="1" objects="1" scenarios="1"/>
  <mergeCells count="12">
    <mergeCell ref="A25:C25"/>
    <mergeCell ref="A1:D1"/>
    <mergeCell ref="A2:D2"/>
    <mergeCell ref="A3:D3"/>
    <mergeCell ref="A5:D5"/>
    <mergeCell ref="A8:A9"/>
    <mergeCell ref="A12:A13"/>
    <mergeCell ref="A14:A15"/>
    <mergeCell ref="A17:A18"/>
    <mergeCell ref="A19:A20"/>
    <mergeCell ref="A23:B23"/>
    <mergeCell ref="A24:D24"/>
  </mergeCell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windowProtection="1" showGridLines="0" workbookViewId="0">
      <selection activeCell="E6" sqref="E6:M15"/>
    </sheetView>
  </sheetViews>
  <sheetFormatPr defaultRowHeight="12.75" x14ac:dyDescent="0.2"/>
  <cols>
    <col min="1" max="1" width="19.5703125" style="194" customWidth="1"/>
    <col min="2" max="2" width="37.140625" style="194" customWidth="1"/>
    <col min="3" max="3" width="16.42578125" style="194" customWidth="1"/>
    <col min="4" max="4" width="17.42578125" style="194" customWidth="1"/>
    <col min="5" max="5" width="12.28515625" style="194" bestFit="1" customWidth="1"/>
    <col min="6" max="6" width="9.140625" style="194"/>
    <col min="7" max="7" width="11.28515625" style="194" bestFit="1" customWidth="1"/>
    <col min="8" max="8" width="9.7109375" style="194" customWidth="1"/>
    <col min="9" max="9" width="11.85546875" style="194" customWidth="1"/>
    <col min="10" max="12" width="9.140625" style="194"/>
    <col min="13" max="13" width="10.28515625" style="194" bestFit="1" customWidth="1"/>
    <col min="14" max="16384" width="9.140625" style="194"/>
  </cols>
  <sheetData>
    <row r="1" spans="1:13" ht="15.75" x14ac:dyDescent="0.2">
      <c r="A1" s="1219" t="s">
        <v>390</v>
      </c>
      <c r="B1" s="1219"/>
      <c r="C1" s="1219"/>
      <c r="D1" s="1219"/>
    </row>
    <row r="2" spans="1:13" ht="15" x14ac:dyDescent="0.2">
      <c r="A2" s="1220" t="s">
        <v>219</v>
      </c>
      <c r="B2" s="1220"/>
      <c r="C2" s="1220"/>
      <c r="D2" s="1220"/>
    </row>
    <row r="3" spans="1:13" ht="15" x14ac:dyDescent="0.2">
      <c r="A3" s="1221" t="str">
        <f>+[11]Dados!A18</f>
        <v>Exercício de 2015</v>
      </c>
      <c r="B3" s="1221"/>
      <c r="C3" s="1221"/>
      <c r="D3" s="1221"/>
    </row>
    <row r="4" spans="1:13" ht="15" x14ac:dyDescent="0.2">
      <c r="A4" s="155"/>
      <c r="B4" s="155"/>
      <c r="C4" s="299"/>
      <c r="D4" s="299"/>
    </row>
    <row r="5" spans="1:13" x14ac:dyDescent="0.2">
      <c r="A5" s="1390"/>
      <c r="B5" s="1390"/>
      <c r="C5" s="299"/>
      <c r="D5" s="323" t="s">
        <v>1</v>
      </c>
    </row>
    <row r="6" spans="1:13" ht="36" customHeight="1" x14ac:dyDescent="0.2">
      <c r="A6" s="154" t="s">
        <v>111</v>
      </c>
      <c r="B6" s="154" t="s">
        <v>204</v>
      </c>
      <c r="C6" s="154" t="s">
        <v>205</v>
      </c>
      <c r="D6" s="154" t="s">
        <v>206</v>
      </c>
      <c r="E6" s="158"/>
      <c r="F6" s="112"/>
    </row>
    <row r="7" spans="1:13" s="328" customFormat="1" ht="18" customHeight="1" x14ac:dyDescent="0.2">
      <c r="A7" s="324" t="s">
        <v>220</v>
      </c>
      <c r="B7" s="325"/>
      <c r="C7" s="326">
        <f>SUM(C8:C12)</f>
        <v>87388</v>
      </c>
      <c r="D7" s="326">
        <f>SUM(D8:D12)</f>
        <v>967193</v>
      </c>
      <c r="E7" s="327"/>
      <c r="F7" s="205"/>
      <c r="G7" s="308"/>
      <c r="H7" s="308"/>
      <c r="I7" s="309"/>
      <c r="J7" s="310"/>
      <c r="K7" s="310"/>
      <c r="L7" s="310"/>
      <c r="M7" s="110"/>
    </row>
    <row r="8" spans="1:13" s="328" customFormat="1" ht="18" customHeight="1" x14ac:dyDescent="0.2">
      <c r="A8" s="329"/>
      <c r="B8" s="330" t="s">
        <v>209</v>
      </c>
      <c r="C8" s="331">
        <v>3652</v>
      </c>
      <c r="D8" s="331">
        <v>113856</v>
      </c>
      <c r="E8" s="332"/>
      <c r="F8" s="201"/>
      <c r="G8" s="300"/>
      <c r="H8" s="201"/>
      <c r="I8" s="201"/>
      <c r="J8" s="201"/>
      <c r="K8" s="201"/>
      <c r="L8" s="201"/>
      <c r="M8" s="204"/>
    </row>
    <row r="9" spans="1:13" s="328" customFormat="1" ht="18" customHeight="1" x14ac:dyDescent="0.2">
      <c r="A9" s="329"/>
      <c r="B9" s="330" t="s">
        <v>210</v>
      </c>
      <c r="C9" s="331">
        <v>34892</v>
      </c>
      <c r="D9" s="331">
        <v>380300</v>
      </c>
      <c r="E9" s="333"/>
      <c r="F9" s="334"/>
      <c r="G9" s="334"/>
      <c r="H9" s="335"/>
      <c r="I9" s="336"/>
      <c r="J9" s="336"/>
      <c r="K9" s="336"/>
      <c r="L9" s="336"/>
      <c r="M9" s="336"/>
    </row>
    <row r="10" spans="1:13" s="328" customFormat="1" ht="18" customHeight="1" x14ac:dyDescent="0.2">
      <c r="A10" s="329"/>
      <c r="B10" s="330" t="s">
        <v>211</v>
      </c>
      <c r="C10" s="331">
        <v>11879</v>
      </c>
      <c r="D10" s="331">
        <v>114071</v>
      </c>
      <c r="E10" s="333"/>
      <c r="F10" s="334"/>
      <c r="G10" s="334"/>
      <c r="H10" s="334"/>
      <c r="I10" s="334"/>
      <c r="J10" s="334"/>
      <c r="K10" s="334"/>
      <c r="L10" s="334"/>
      <c r="M10" s="334"/>
    </row>
    <row r="11" spans="1:13" s="328" customFormat="1" ht="18" customHeight="1" x14ac:dyDescent="0.2">
      <c r="A11" s="329"/>
      <c r="B11" s="330" t="s">
        <v>212</v>
      </c>
      <c r="C11" s="331">
        <v>5905</v>
      </c>
      <c r="D11" s="331">
        <v>46909</v>
      </c>
      <c r="E11" s="333"/>
      <c r="F11" s="334"/>
      <c r="G11" s="334"/>
      <c r="H11" s="335"/>
    </row>
    <row r="12" spans="1:13" s="328" customFormat="1" ht="18" customHeight="1" x14ac:dyDescent="0.2">
      <c r="A12" s="329"/>
      <c r="B12" s="330" t="s">
        <v>213</v>
      </c>
      <c r="C12" s="331">
        <v>31060</v>
      </c>
      <c r="D12" s="331">
        <v>312057</v>
      </c>
      <c r="E12" s="333"/>
      <c r="F12" s="334"/>
      <c r="G12" s="334"/>
      <c r="H12" s="335"/>
    </row>
    <row r="13" spans="1:13" s="328" customFormat="1" ht="18" customHeight="1" x14ac:dyDescent="0.2">
      <c r="A13" s="337" t="s">
        <v>112</v>
      </c>
      <c r="B13" s="338"/>
      <c r="C13" s="339">
        <f>SUM(C14:C17)</f>
        <v>22711</v>
      </c>
      <c r="D13" s="339">
        <f>SUM(D14:D17)</f>
        <v>1076646</v>
      </c>
      <c r="E13" s="333"/>
      <c r="F13" s="334"/>
      <c r="G13" s="334"/>
      <c r="H13" s="335"/>
    </row>
    <row r="14" spans="1:13" s="328" customFormat="1" ht="18" customHeight="1" x14ac:dyDescent="0.2">
      <c r="A14" s="1386"/>
      <c r="B14" s="330" t="s">
        <v>207</v>
      </c>
      <c r="C14" s="340">
        <v>1493</v>
      </c>
      <c r="D14" s="340">
        <v>45176</v>
      </c>
      <c r="E14" s="333"/>
      <c r="F14" s="334"/>
      <c r="G14" s="334"/>
      <c r="H14" s="335"/>
    </row>
    <row r="15" spans="1:13" s="328" customFormat="1" ht="18" customHeight="1" x14ac:dyDescent="0.2">
      <c r="A15" s="1386"/>
      <c r="B15" s="330" t="s">
        <v>208</v>
      </c>
      <c r="C15" s="340">
        <v>4655</v>
      </c>
      <c r="D15" s="340">
        <v>157804</v>
      </c>
      <c r="E15" s="341"/>
      <c r="F15" s="335"/>
      <c r="G15" s="335"/>
      <c r="H15" s="335"/>
    </row>
    <row r="16" spans="1:13" s="328" customFormat="1" ht="18" customHeight="1" x14ac:dyDescent="0.2">
      <c r="A16" s="329"/>
      <c r="B16" s="330" t="s">
        <v>209</v>
      </c>
      <c r="C16" s="340">
        <v>3816</v>
      </c>
      <c r="D16" s="340">
        <v>563838</v>
      </c>
      <c r="E16" s="341"/>
      <c r="F16" s="327"/>
    </row>
    <row r="17" spans="1:7" s="328" customFormat="1" ht="18" customHeight="1" x14ac:dyDescent="0.2">
      <c r="A17" s="329"/>
      <c r="B17" s="330" t="s">
        <v>212</v>
      </c>
      <c r="C17" s="340">
        <v>12747</v>
      </c>
      <c r="D17" s="340">
        <v>309828</v>
      </c>
      <c r="E17" s="341"/>
      <c r="F17" s="327"/>
    </row>
    <row r="18" spans="1:7" ht="20.100000000000001" customHeight="1" x14ac:dyDescent="0.25">
      <c r="A18" s="1391" t="s">
        <v>29</v>
      </c>
      <c r="B18" s="1391"/>
      <c r="C18" s="342">
        <f>C7+C13</f>
        <v>110099</v>
      </c>
      <c r="D18" s="342">
        <f>D7+D13</f>
        <v>2043839</v>
      </c>
      <c r="E18" s="341"/>
    </row>
    <row r="19" spans="1:7" ht="15.75" customHeight="1" x14ac:dyDescent="0.2">
      <c r="A19" s="1223" t="s">
        <v>214</v>
      </c>
      <c r="B19" s="1223"/>
      <c r="C19" s="1223"/>
      <c r="D19" s="1223"/>
    </row>
    <row r="20" spans="1:7" x14ac:dyDescent="0.2">
      <c r="A20" s="151"/>
      <c r="B20" s="151"/>
      <c r="C20" s="294">
        <f>+C18-'[11]78'!B14</f>
        <v>0</v>
      </c>
      <c r="D20" s="294"/>
    </row>
    <row r="21" spans="1:7" x14ac:dyDescent="0.2">
      <c r="A21" s="151"/>
      <c r="B21" s="151"/>
      <c r="C21" s="296"/>
      <c r="D21" s="343"/>
    </row>
    <row r="22" spans="1:7" x14ac:dyDescent="0.2">
      <c r="A22" s="151"/>
      <c r="B22" s="151"/>
      <c r="C22" s="151"/>
      <c r="D22" s="296"/>
    </row>
    <row r="23" spans="1:7" x14ac:dyDescent="0.2">
      <c r="A23" s="151"/>
      <c r="B23" s="151"/>
      <c r="C23" s="151"/>
      <c r="D23" s="343"/>
    </row>
    <row r="24" spans="1:7" x14ac:dyDescent="0.2">
      <c r="A24" s="151"/>
      <c r="B24" s="151"/>
      <c r="C24" s="296"/>
      <c r="D24" s="300"/>
      <c r="E24" s="300"/>
      <c r="F24" s="300"/>
      <c r="G24" s="151"/>
    </row>
    <row r="25" spans="1:7" x14ac:dyDescent="0.2">
      <c r="A25" s="151"/>
      <c r="B25" s="151"/>
      <c r="C25" s="296"/>
      <c r="D25" s="300"/>
      <c r="E25" s="300"/>
      <c r="F25" s="300"/>
      <c r="G25" s="151"/>
    </row>
    <row r="26" spans="1:7" x14ac:dyDescent="0.2">
      <c r="A26" s="151"/>
      <c r="C26" s="296"/>
      <c r="D26" s="300"/>
      <c r="E26" s="300"/>
      <c r="F26" s="300"/>
      <c r="G26" s="151"/>
    </row>
    <row r="27" spans="1:7" x14ac:dyDescent="0.2">
      <c r="A27" s="151"/>
      <c r="C27" s="296"/>
      <c r="D27" s="300"/>
      <c r="E27" s="300"/>
      <c r="F27" s="300"/>
      <c r="G27" s="151"/>
    </row>
    <row r="28" spans="1:7" x14ac:dyDescent="0.2">
      <c r="A28" s="151"/>
      <c r="C28" s="296"/>
      <c r="D28" s="300"/>
      <c r="E28" s="300"/>
      <c r="F28" s="300"/>
      <c r="G28" s="151"/>
    </row>
    <row r="29" spans="1:7" x14ac:dyDescent="0.2">
      <c r="A29" s="151"/>
      <c r="C29" s="296"/>
      <c r="D29" s="300"/>
      <c r="E29" s="300"/>
      <c r="F29" s="300"/>
      <c r="G29" s="151"/>
    </row>
    <row r="30" spans="1:7" x14ac:dyDescent="0.2">
      <c r="A30" s="151"/>
      <c r="C30" s="296"/>
      <c r="D30" s="200"/>
      <c r="E30" s="151"/>
      <c r="F30" s="151"/>
      <c r="G30" s="151"/>
    </row>
    <row r="31" spans="1:7" x14ac:dyDescent="0.2">
      <c r="A31" s="151"/>
    </row>
    <row r="32" spans="1:7" x14ac:dyDescent="0.2">
      <c r="A32" s="151"/>
    </row>
  </sheetData>
  <sheetProtection password="9C8D" sheet="1" objects="1" scenarios="1"/>
  <mergeCells count="7">
    <mergeCell ref="A19:D19"/>
    <mergeCell ref="A1:D1"/>
    <mergeCell ref="A2:D2"/>
    <mergeCell ref="A3:D3"/>
    <mergeCell ref="A5:B5"/>
    <mergeCell ref="A14:A15"/>
    <mergeCell ref="A18:B18"/>
  </mergeCells>
  <pageMargins left="0.78740157499999996" right="0.78740157499999996" top="0.984251969" bottom="0.984251969" header="0.49212598499999999" footer="0.49212598499999999"/>
  <pageSetup paperSize="9" orientation="portrait"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windowProtection="1" workbookViewId="0">
      <selection activeCell="B28" sqref="B28"/>
    </sheetView>
  </sheetViews>
  <sheetFormatPr defaultRowHeight="12.75" x14ac:dyDescent="0.2"/>
  <cols>
    <col min="1" max="1" width="18.42578125" customWidth="1"/>
  </cols>
  <sheetData>
    <row r="1" spans="1:17" ht="14.25" x14ac:dyDescent="0.2">
      <c r="A1" s="1370" t="s">
        <v>1268</v>
      </c>
      <c r="B1" s="1370"/>
      <c r="C1" s="1370"/>
      <c r="D1" s="1370"/>
      <c r="E1" s="1370"/>
      <c r="F1" s="1370"/>
      <c r="G1" s="1370"/>
      <c r="H1" s="1370"/>
      <c r="I1" s="1370"/>
      <c r="J1" s="1370"/>
      <c r="K1" s="1370"/>
      <c r="L1" s="1370"/>
      <c r="M1" s="1370"/>
      <c r="N1" s="1370"/>
      <c r="O1" s="1370"/>
      <c r="P1" s="1370"/>
      <c r="Q1" s="1370"/>
    </row>
    <row r="2" spans="1:17" x14ac:dyDescent="0.2">
      <c r="A2" s="1361" t="s">
        <v>1</v>
      </c>
      <c r="B2" s="1361"/>
      <c r="C2" s="1361"/>
      <c r="D2" s="1361"/>
      <c r="E2" s="1361"/>
      <c r="F2" s="1361"/>
      <c r="G2" s="1361"/>
      <c r="H2" s="1361"/>
      <c r="I2" s="1361"/>
      <c r="J2" s="1361"/>
      <c r="K2" s="1361"/>
      <c r="L2" s="1361"/>
      <c r="M2" s="1361"/>
      <c r="N2" s="1361"/>
      <c r="O2" s="1361"/>
      <c r="P2" s="1361"/>
      <c r="Q2" s="1361"/>
    </row>
    <row r="3" spans="1:17" ht="22.5" customHeight="1" x14ac:dyDescent="0.2">
      <c r="A3" s="1171" t="s">
        <v>204</v>
      </c>
      <c r="B3" s="1393" t="s">
        <v>1039</v>
      </c>
      <c r="C3" s="1393"/>
      <c r="D3" s="1392" t="s">
        <v>223</v>
      </c>
      <c r="E3" s="1392"/>
      <c r="F3" s="1393" t="s">
        <v>224</v>
      </c>
      <c r="G3" s="1393"/>
      <c r="H3" s="1393" t="s">
        <v>1040</v>
      </c>
      <c r="I3" s="1393"/>
      <c r="J3" s="1393" t="s">
        <v>225</v>
      </c>
      <c r="K3" s="1393"/>
      <c r="L3" s="1393" t="s">
        <v>226</v>
      </c>
      <c r="M3" s="1393"/>
      <c r="N3" s="1392" t="s">
        <v>227</v>
      </c>
      <c r="O3" s="1392"/>
      <c r="P3" s="1392" t="s">
        <v>29</v>
      </c>
      <c r="Q3" s="1392"/>
    </row>
    <row r="4" spans="1:17" ht="33.75" x14ac:dyDescent="0.2">
      <c r="A4" s="1171" t="s">
        <v>135</v>
      </c>
      <c r="B4" s="1171" t="s">
        <v>249</v>
      </c>
      <c r="C4" s="1172" t="s">
        <v>1269</v>
      </c>
      <c r="D4" s="1173" t="s">
        <v>249</v>
      </c>
      <c r="E4" s="1172" t="s">
        <v>1269</v>
      </c>
      <c r="F4" s="1171" t="s">
        <v>249</v>
      </c>
      <c r="G4" s="1172" t="s">
        <v>1269</v>
      </c>
      <c r="H4" s="1171" t="s">
        <v>249</v>
      </c>
      <c r="I4" s="1172" t="s">
        <v>1269</v>
      </c>
      <c r="J4" s="1171" t="s">
        <v>249</v>
      </c>
      <c r="K4" s="1172" t="s">
        <v>1269</v>
      </c>
      <c r="L4" s="1171" t="s">
        <v>249</v>
      </c>
      <c r="M4" s="1172" t="s">
        <v>1269</v>
      </c>
      <c r="N4" s="1171" t="s">
        <v>249</v>
      </c>
      <c r="O4" s="1172" t="s">
        <v>1269</v>
      </c>
      <c r="P4" s="1171" t="s">
        <v>249</v>
      </c>
      <c r="Q4" s="1172" t="s">
        <v>1269</v>
      </c>
    </row>
    <row r="5" spans="1:17" x14ac:dyDescent="0.2">
      <c r="A5" s="1079" t="s">
        <v>138</v>
      </c>
      <c r="B5" s="1174">
        <v>1441</v>
      </c>
      <c r="C5" s="1174">
        <v>41714</v>
      </c>
      <c r="D5" s="1174">
        <v>4391</v>
      </c>
      <c r="E5" s="1174">
        <v>118848</v>
      </c>
      <c r="F5" s="1174">
        <v>7202</v>
      </c>
      <c r="G5" s="1174">
        <v>626858</v>
      </c>
      <c r="H5" s="1174">
        <v>33508</v>
      </c>
      <c r="I5" s="1174">
        <v>208468</v>
      </c>
      <c r="J5" s="1174">
        <v>11221</v>
      </c>
      <c r="K5" s="1174">
        <v>62520</v>
      </c>
      <c r="L5" s="1174">
        <v>17703</v>
      </c>
      <c r="M5" s="1174">
        <v>254400</v>
      </c>
      <c r="N5" s="1174">
        <v>30162</v>
      </c>
      <c r="O5" s="1174">
        <v>240919</v>
      </c>
      <c r="P5" s="1174">
        <v>105628</v>
      </c>
      <c r="Q5" s="1174">
        <v>1553726</v>
      </c>
    </row>
    <row r="6" spans="1:17" x14ac:dyDescent="0.2">
      <c r="A6" s="1079" t="s">
        <v>262</v>
      </c>
      <c r="B6" s="1159">
        <v>4</v>
      </c>
      <c r="C6" s="1159">
        <v>15</v>
      </c>
      <c r="D6" s="1159">
        <v>23</v>
      </c>
      <c r="E6" s="1159">
        <v>92</v>
      </c>
      <c r="F6" s="1159">
        <v>26</v>
      </c>
      <c r="G6" s="1159">
        <v>102</v>
      </c>
      <c r="H6" s="1159">
        <v>144</v>
      </c>
      <c r="I6" s="1174">
        <v>1106</v>
      </c>
      <c r="J6" s="1159">
        <v>11</v>
      </c>
      <c r="K6" s="1159">
        <v>916</v>
      </c>
      <c r="L6" s="1159">
        <v>167</v>
      </c>
      <c r="M6" s="1174">
        <v>4872</v>
      </c>
      <c r="N6" s="1159">
        <v>43</v>
      </c>
      <c r="O6" s="1159">
        <v>497</v>
      </c>
      <c r="P6" s="1159">
        <v>418</v>
      </c>
      <c r="Q6" s="1174">
        <v>7600</v>
      </c>
    </row>
    <row r="7" spans="1:17" x14ac:dyDescent="0.2">
      <c r="A7" s="1079" t="s">
        <v>412</v>
      </c>
      <c r="B7" s="1159" t="s">
        <v>1270</v>
      </c>
      <c r="C7" s="1159" t="s">
        <v>1271</v>
      </c>
      <c r="D7" s="1159">
        <v>17</v>
      </c>
      <c r="E7" s="1174">
        <v>4610</v>
      </c>
      <c r="F7" s="1159">
        <v>24</v>
      </c>
      <c r="G7" s="1174">
        <v>3181</v>
      </c>
      <c r="H7" s="1159">
        <v>164</v>
      </c>
      <c r="I7" s="1174">
        <v>43183</v>
      </c>
      <c r="J7" s="1159">
        <v>114</v>
      </c>
      <c r="K7" s="1174">
        <v>13017</v>
      </c>
      <c r="L7" s="1159">
        <v>72</v>
      </c>
      <c r="M7" s="1174">
        <v>16295</v>
      </c>
      <c r="N7" s="1159">
        <v>52</v>
      </c>
      <c r="O7" s="1174">
        <v>6681</v>
      </c>
      <c r="P7" s="1159">
        <v>443</v>
      </c>
      <c r="Q7" s="1174">
        <v>86967</v>
      </c>
    </row>
    <row r="8" spans="1:17" x14ac:dyDescent="0.2">
      <c r="A8" s="1079" t="s">
        <v>143</v>
      </c>
      <c r="B8" s="1159" t="s">
        <v>1270</v>
      </c>
      <c r="C8" s="1159" t="s">
        <v>1271</v>
      </c>
      <c r="D8" s="1159">
        <v>3</v>
      </c>
      <c r="E8" s="1159">
        <v>500</v>
      </c>
      <c r="F8" s="1159">
        <v>1</v>
      </c>
      <c r="G8" s="1174">
        <v>2864</v>
      </c>
      <c r="H8" s="1159">
        <v>29</v>
      </c>
      <c r="I8" s="1174">
        <v>3191</v>
      </c>
      <c r="J8" s="1159">
        <v>9</v>
      </c>
      <c r="K8" s="1159">
        <v>606</v>
      </c>
      <c r="L8" s="1159">
        <v>5</v>
      </c>
      <c r="M8" s="1174">
        <v>1351</v>
      </c>
      <c r="N8" s="1159">
        <v>6</v>
      </c>
      <c r="O8" s="1159">
        <v>829</v>
      </c>
      <c r="P8" s="1159">
        <v>53</v>
      </c>
      <c r="Q8" s="1174">
        <v>9342</v>
      </c>
    </row>
    <row r="9" spans="1:17" x14ac:dyDescent="0.2">
      <c r="A9" s="1079" t="s">
        <v>191</v>
      </c>
      <c r="B9" s="1159">
        <v>48</v>
      </c>
      <c r="C9" s="1174">
        <v>3447</v>
      </c>
      <c r="D9" s="1159">
        <v>221</v>
      </c>
      <c r="E9" s="1174">
        <v>33755</v>
      </c>
      <c r="F9" s="1159">
        <v>215</v>
      </c>
      <c r="G9" s="1174">
        <v>44689</v>
      </c>
      <c r="H9" s="1174">
        <v>1047</v>
      </c>
      <c r="I9" s="1174">
        <v>124352</v>
      </c>
      <c r="J9" s="1159">
        <v>524</v>
      </c>
      <c r="K9" s="1174">
        <v>37013</v>
      </c>
      <c r="L9" s="1159">
        <v>705</v>
      </c>
      <c r="M9" s="1174">
        <v>79819</v>
      </c>
      <c r="N9" s="1159">
        <v>797</v>
      </c>
      <c r="O9" s="1174">
        <v>63130</v>
      </c>
      <c r="P9" s="1174">
        <v>3557</v>
      </c>
      <c r="Q9" s="1174">
        <v>386205</v>
      </c>
    </row>
    <row r="10" spans="1:17" x14ac:dyDescent="0.2">
      <c r="A10" s="1173" t="s">
        <v>29</v>
      </c>
      <c r="B10" s="1175">
        <v>1493</v>
      </c>
      <c r="C10" s="1175">
        <v>45176</v>
      </c>
      <c r="D10" s="1175">
        <v>4655</v>
      </c>
      <c r="E10" s="1175">
        <v>157804</v>
      </c>
      <c r="F10" s="1175">
        <v>7468</v>
      </c>
      <c r="G10" s="1175">
        <v>677694</v>
      </c>
      <c r="H10" s="1175">
        <v>34892</v>
      </c>
      <c r="I10" s="1175">
        <v>380300</v>
      </c>
      <c r="J10" s="1175">
        <v>11879</v>
      </c>
      <c r="K10" s="1175">
        <v>114071</v>
      </c>
      <c r="L10" s="1175">
        <v>18652</v>
      </c>
      <c r="M10" s="1175">
        <v>356737</v>
      </c>
      <c r="N10" s="1175">
        <v>31060</v>
      </c>
      <c r="O10" s="1175">
        <v>312056</v>
      </c>
      <c r="P10" s="1175">
        <v>110099</v>
      </c>
      <c r="Q10" s="1175">
        <v>2043839</v>
      </c>
    </row>
    <row r="11" spans="1:17" x14ac:dyDescent="0.2">
      <c r="A11" s="1288" t="s">
        <v>67</v>
      </c>
      <c r="B11" s="1288"/>
      <c r="C11" s="1288"/>
      <c r="D11" s="1288"/>
      <c r="E11" s="1288"/>
      <c r="F11" s="1288"/>
      <c r="G11" s="1288"/>
      <c r="H11" s="1288"/>
      <c r="I11" s="1288"/>
      <c r="J11" s="1288"/>
      <c r="K11" s="1288"/>
      <c r="L11" s="1288"/>
      <c r="M11" s="1288"/>
      <c r="N11" s="1288"/>
      <c r="O11" s="1288"/>
      <c r="P11" s="1288"/>
      <c r="Q11" s="1288"/>
    </row>
  </sheetData>
  <sheetProtection password="9C8D" sheet="1" objects="1" scenarios="1"/>
  <mergeCells count="11">
    <mergeCell ref="N3:O3"/>
    <mergeCell ref="P3:Q3"/>
    <mergeCell ref="A11:Q11"/>
    <mergeCell ref="A1:Q1"/>
    <mergeCell ref="A2:Q2"/>
    <mergeCell ref="B3:C3"/>
    <mergeCell ref="D3:E3"/>
    <mergeCell ref="F3:G3"/>
    <mergeCell ref="H3:I3"/>
    <mergeCell ref="J3:K3"/>
    <mergeCell ref="L3:M3"/>
  </mergeCells>
  <pageMargins left="0.511811024" right="0.511811024" top="0.78740157499999996" bottom="0.78740157499999996" header="0.31496062000000002" footer="0.3149606200000000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indowProtection="1" workbookViewId="0">
      <selection activeCell="A13" sqref="A13"/>
    </sheetView>
  </sheetViews>
  <sheetFormatPr defaultRowHeight="15" x14ac:dyDescent="0.25"/>
  <cols>
    <col min="1" max="1" width="22.7109375" style="745" bestFit="1" customWidth="1"/>
    <col min="2" max="2" width="10.28515625" style="748" bestFit="1" customWidth="1"/>
    <col min="3" max="3" width="9.140625" style="745"/>
    <col min="4" max="4" width="9.140625" style="748"/>
    <col min="5" max="256" width="9.140625" style="745"/>
    <col min="257" max="257" width="22.7109375" style="745" bestFit="1" customWidth="1"/>
    <col min="258" max="258" width="10.28515625" style="745" bestFit="1" customWidth="1"/>
    <col min="259" max="512" width="9.140625" style="745"/>
    <col min="513" max="513" width="22.7109375" style="745" bestFit="1" customWidth="1"/>
    <col min="514" max="514" width="10.28515625" style="745" bestFit="1" customWidth="1"/>
    <col min="515" max="768" width="9.140625" style="745"/>
    <col min="769" max="769" width="22.7109375" style="745" bestFit="1" customWidth="1"/>
    <col min="770" max="770" width="10.28515625" style="745" bestFit="1" customWidth="1"/>
    <col min="771" max="1024" width="9.140625" style="745"/>
    <col min="1025" max="1025" width="22.7109375" style="745" bestFit="1" customWidth="1"/>
    <col min="1026" max="1026" width="10.28515625" style="745" bestFit="1" customWidth="1"/>
    <col min="1027" max="1280" width="9.140625" style="745"/>
    <col min="1281" max="1281" width="22.7109375" style="745" bestFit="1" customWidth="1"/>
    <col min="1282" max="1282" width="10.28515625" style="745" bestFit="1" customWidth="1"/>
    <col min="1283" max="1536" width="9.140625" style="745"/>
    <col min="1537" max="1537" width="22.7109375" style="745" bestFit="1" customWidth="1"/>
    <col min="1538" max="1538" width="10.28515625" style="745" bestFit="1" customWidth="1"/>
    <col min="1539" max="1792" width="9.140625" style="745"/>
    <col min="1793" max="1793" width="22.7109375" style="745" bestFit="1" customWidth="1"/>
    <col min="1794" max="1794" width="10.28515625" style="745" bestFit="1" customWidth="1"/>
    <col min="1795" max="2048" width="9.140625" style="745"/>
    <col min="2049" max="2049" width="22.7109375" style="745" bestFit="1" customWidth="1"/>
    <col min="2050" max="2050" width="10.28515625" style="745" bestFit="1" customWidth="1"/>
    <col min="2051" max="2304" width="9.140625" style="745"/>
    <col min="2305" max="2305" width="22.7109375" style="745" bestFit="1" customWidth="1"/>
    <col min="2306" max="2306" width="10.28515625" style="745" bestFit="1" customWidth="1"/>
    <col min="2307" max="2560" width="9.140625" style="745"/>
    <col min="2561" max="2561" width="22.7109375" style="745" bestFit="1" customWidth="1"/>
    <col min="2562" max="2562" width="10.28515625" style="745" bestFit="1" customWidth="1"/>
    <col min="2563" max="2816" width="9.140625" style="745"/>
    <col min="2817" max="2817" width="22.7109375" style="745" bestFit="1" customWidth="1"/>
    <col min="2818" max="2818" width="10.28515625" style="745" bestFit="1" customWidth="1"/>
    <col min="2819" max="3072" width="9.140625" style="745"/>
    <col min="3073" max="3073" width="22.7109375" style="745" bestFit="1" customWidth="1"/>
    <col min="3074" max="3074" width="10.28515625" style="745" bestFit="1" customWidth="1"/>
    <col min="3075" max="3328" width="9.140625" style="745"/>
    <col min="3329" max="3329" width="22.7109375" style="745" bestFit="1" customWidth="1"/>
    <col min="3330" max="3330" width="10.28515625" style="745" bestFit="1" customWidth="1"/>
    <col min="3331" max="3584" width="9.140625" style="745"/>
    <col min="3585" max="3585" width="22.7109375" style="745" bestFit="1" customWidth="1"/>
    <col min="3586" max="3586" width="10.28515625" style="745" bestFit="1" customWidth="1"/>
    <col min="3587" max="3840" width="9.140625" style="745"/>
    <col min="3841" max="3841" width="22.7109375" style="745" bestFit="1" customWidth="1"/>
    <col min="3842" max="3842" width="10.28515625" style="745" bestFit="1" customWidth="1"/>
    <col min="3843" max="4096" width="9.140625" style="745"/>
    <col min="4097" max="4097" width="22.7109375" style="745" bestFit="1" customWidth="1"/>
    <col min="4098" max="4098" width="10.28515625" style="745" bestFit="1" customWidth="1"/>
    <col min="4099" max="4352" width="9.140625" style="745"/>
    <col min="4353" max="4353" width="22.7109375" style="745" bestFit="1" customWidth="1"/>
    <col min="4354" max="4354" width="10.28515625" style="745" bestFit="1" customWidth="1"/>
    <col min="4355" max="4608" width="9.140625" style="745"/>
    <col min="4609" max="4609" width="22.7109375" style="745" bestFit="1" customWidth="1"/>
    <col min="4610" max="4610" width="10.28515625" style="745" bestFit="1" customWidth="1"/>
    <col min="4611" max="4864" width="9.140625" style="745"/>
    <col min="4865" max="4865" width="22.7109375" style="745" bestFit="1" customWidth="1"/>
    <col min="4866" max="4866" width="10.28515625" style="745" bestFit="1" customWidth="1"/>
    <col min="4867" max="5120" width="9.140625" style="745"/>
    <col min="5121" max="5121" width="22.7109375" style="745" bestFit="1" customWidth="1"/>
    <col min="5122" max="5122" width="10.28515625" style="745" bestFit="1" customWidth="1"/>
    <col min="5123" max="5376" width="9.140625" style="745"/>
    <col min="5377" max="5377" width="22.7109375" style="745" bestFit="1" customWidth="1"/>
    <col min="5378" max="5378" width="10.28515625" style="745" bestFit="1" customWidth="1"/>
    <col min="5379" max="5632" width="9.140625" style="745"/>
    <col min="5633" max="5633" width="22.7109375" style="745" bestFit="1" customWidth="1"/>
    <col min="5634" max="5634" width="10.28515625" style="745" bestFit="1" customWidth="1"/>
    <col min="5635" max="5888" width="9.140625" style="745"/>
    <col min="5889" max="5889" width="22.7109375" style="745" bestFit="1" customWidth="1"/>
    <col min="5890" max="5890" width="10.28515625" style="745" bestFit="1" customWidth="1"/>
    <col min="5891" max="6144" width="9.140625" style="745"/>
    <col min="6145" max="6145" width="22.7109375" style="745" bestFit="1" customWidth="1"/>
    <col min="6146" max="6146" width="10.28515625" style="745" bestFit="1" customWidth="1"/>
    <col min="6147" max="6400" width="9.140625" style="745"/>
    <col min="6401" max="6401" width="22.7109375" style="745" bestFit="1" customWidth="1"/>
    <col min="6402" max="6402" width="10.28515625" style="745" bestFit="1" customWidth="1"/>
    <col min="6403" max="6656" width="9.140625" style="745"/>
    <col min="6657" max="6657" width="22.7109375" style="745" bestFit="1" customWidth="1"/>
    <col min="6658" max="6658" width="10.28515625" style="745" bestFit="1" customWidth="1"/>
    <col min="6659" max="6912" width="9.140625" style="745"/>
    <col min="6913" max="6913" width="22.7109375" style="745" bestFit="1" customWidth="1"/>
    <col min="6914" max="6914" width="10.28515625" style="745" bestFit="1" customWidth="1"/>
    <col min="6915" max="7168" width="9.140625" style="745"/>
    <col min="7169" max="7169" width="22.7109375" style="745" bestFit="1" customWidth="1"/>
    <col min="7170" max="7170" width="10.28515625" style="745" bestFit="1" customWidth="1"/>
    <col min="7171" max="7424" width="9.140625" style="745"/>
    <col min="7425" max="7425" width="22.7109375" style="745" bestFit="1" customWidth="1"/>
    <col min="7426" max="7426" width="10.28515625" style="745" bestFit="1" customWidth="1"/>
    <col min="7427" max="7680" width="9.140625" style="745"/>
    <col min="7681" max="7681" width="22.7109375" style="745" bestFit="1" customWidth="1"/>
    <col min="7682" max="7682" width="10.28515625" style="745" bestFit="1" customWidth="1"/>
    <col min="7683" max="7936" width="9.140625" style="745"/>
    <col min="7937" max="7937" width="22.7109375" style="745" bestFit="1" customWidth="1"/>
    <col min="7938" max="7938" width="10.28515625" style="745" bestFit="1" customWidth="1"/>
    <col min="7939" max="8192" width="9.140625" style="745"/>
    <col min="8193" max="8193" width="22.7109375" style="745" bestFit="1" customWidth="1"/>
    <col min="8194" max="8194" width="10.28515625" style="745" bestFit="1" customWidth="1"/>
    <col min="8195" max="8448" width="9.140625" style="745"/>
    <col min="8449" max="8449" width="22.7109375" style="745" bestFit="1" customWidth="1"/>
    <col min="8450" max="8450" width="10.28515625" style="745" bestFit="1" customWidth="1"/>
    <col min="8451" max="8704" width="9.140625" style="745"/>
    <col min="8705" max="8705" width="22.7109375" style="745" bestFit="1" customWidth="1"/>
    <col min="8706" max="8706" width="10.28515625" style="745" bestFit="1" customWidth="1"/>
    <col min="8707" max="8960" width="9.140625" style="745"/>
    <col min="8961" max="8961" width="22.7109375" style="745" bestFit="1" customWidth="1"/>
    <col min="8962" max="8962" width="10.28515625" style="745" bestFit="1" customWidth="1"/>
    <col min="8963" max="9216" width="9.140625" style="745"/>
    <col min="9217" max="9217" width="22.7109375" style="745" bestFit="1" customWidth="1"/>
    <col min="9218" max="9218" width="10.28515625" style="745" bestFit="1" customWidth="1"/>
    <col min="9219" max="9472" width="9.140625" style="745"/>
    <col min="9473" max="9473" width="22.7109375" style="745" bestFit="1" customWidth="1"/>
    <col min="9474" max="9474" width="10.28515625" style="745" bestFit="1" customWidth="1"/>
    <col min="9475" max="9728" width="9.140625" style="745"/>
    <col min="9729" max="9729" width="22.7109375" style="745" bestFit="1" customWidth="1"/>
    <col min="9730" max="9730" width="10.28515625" style="745" bestFit="1" customWidth="1"/>
    <col min="9731" max="9984" width="9.140625" style="745"/>
    <col min="9985" max="9985" width="22.7109375" style="745" bestFit="1" customWidth="1"/>
    <col min="9986" max="9986" width="10.28515625" style="745" bestFit="1" customWidth="1"/>
    <col min="9987" max="10240" width="9.140625" style="745"/>
    <col min="10241" max="10241" width="22.7109375" style="745" bestFit="1" customWidth="1"/>
    <col min="10242" max="10242" width="10.28515625" style="745" bestFit="1" customWidth="1"/>
    <col min="10243" max="10496" width="9.140625" style="745"/>
    <col min="10497" max="10497" width="22.7109375" style="745" bestFit="1" customWidth="1"/>
    <col min="10498" max="10498" width="10.28515625" style="745" bestFit="1" customWidth="1"/>
    <col min="10499" max="10752" width="9.140625" style="745"/>
    <col min="10753" max="10753" width="22.7109375" style="745" bestFit="1" customWidth="1"/>
    <col min="10754" max="10754" width="10.28515625" style="745" bestFit="1" customWidth="1"/>
    <col min="10755" max="11008" width="9.140625" style="745"/>
    <col min="11009" max="11009" width="22.7109375" style="745" bestFit="1" customWidth="1"/>
    <col min="11010" max="11010" width="10.28515625" style="745" bestFit="1" customWidth="1"/>
    <col min="11011" max="11264" width="9.140625" style="745"/>
    <col min="11265" max="11265" width="22.7109375" style="745" bestFit="1" customWidth="1"/>
    <col min="11266" max="11266" width="10.28515625" style="745" bestFit="1" customWidth="1"/>
    <col min="11267" max="11520" width="9.140625" style="745"/>
    <col min="11521" max="11521" width="22.7109375" style="745" bestFit="1" customWidth="1"/>
    <col min="11522" max="11522" width="10.28515625" style="745" bestFit="1" customWidth="1"/>
    <col min="11523" max="11776" width="9.140625" style="745"/>
    <col min="11777" max="11777" width="22.7109375" style="745" bestFit="1" customWidth="1"/>
    <col min="11778" max="11778" width="10.28515625" style="745" bestFit="1" customWidth="1"/>
    <col min="11779" max="12032" width="9.140625" style="745"/>
    <col min="12033" max="12033" width="22.7109375" style="745" bestFit="1" customWidth="1"/>
    <col min="12034" max="12034" width="10.28515625" style="745" bestFit="1" customWidth="1"/>
    <col min="12035" max="12288" width="9.140625" style="745"/>
    <col min="12289" max="12289" width="22.7109375" style="745" bestFit="1" customWidth="1"/>
    <col min="12290" max="12290" width="10.28515625" style="745" bestFit="1" customWidth="1"/>
    <col min="12291" max="12544" width="9.140625" style="745"/>
    <col min="12545" max="12545" width="22.7109375" style="745" bestFit="1" customWidth="1"/>
    <col min="12546" max="12546" width="10.28515625" style="745" bestFit="1" customWidth="1"/>
    <col min="12547" max="12800" width="9.140625" style="745"/>
    <col min="12801" max="12801" width="22.7109375" style="745" bestFit="1" customWidth="1"/>
    <col min="12802" max="12802" width="10.28515625" style="745" bestFit="1" customWidth="1"/>
    <col min="12803" max="13056" width="9.140625" style="745"/>
    <col min="13057" max="13057" width="22.7109375" style="745" bestFit="1" customWidth="1"/>
    <col min="13058" max="13058" width="10.28515625" style="745" bestFit="1" customWidth="1"/>
    <col min="13059" max="13312" width="9.140625" style="745"/>
    <col min="13313" max="13313" width="22.7109375" style="745" bestFit="1" customWidth="1"/>
    <col min="13314" max="13314" width="10.28515625" style="745" bestFit="1" customWidth="1"/>
    <col min="13315" max="13568" width="9.140625" style="745"/>
    <col min="13569" max="13569" width="22.7109375" style="745" bestFit="1" customWidth="1"/>
    <col min="13570" max="13570" width="10.28515625" style="745" bestFit="1" customWidth="1"/>
    <col min="13571" max="13824" width="9.140625" style="745"/>
    <col min="13825" max="13825" width="22.7109375" style="745" bestFit="1" customWidth="1"/>
    <col min="13826" max="13826" width="10.28515625" style="745" bestFit="1" customWidth="1"/>
    <col min="13827" max="14080" width="9.140625" style="745"/>
    <col min="14081" max="14081" width="22.7109375" style="745" bestFit="1" customWidth="1"/>
    <col min="14082" max="14082" width="10.28515625" style="745" bestFit="1" customWidth="1"/>
    <col min="14083" max="14336" width="9.140625" style="745"/>
    <col min="14337" max="14337" width="22.7109375" style="745" bestFit="1" customWidth="1"/>
    <col min="14338" max="14338" width="10.28515625" style="745" bestFit="1" customWidth="1"/>
    <col min="14339" max="14592" width="9.140625" style="745"/>
    <col min="14593" max="14593" width="22.7109375" style="745" bestFit="1" customWidth="1"/>
    <col min="14594" max="14594" width="10.28515625" style="745" bestFit="1" customWidth="1"/>
    <col min="14595" max="14848" width="9.140625" style="745"/>
    <col min="14849" max="14849" width="22.7109375" style="745" bestFit="1" customWidth="1"/>
    <col min="14850" max="14850" width="10.28515625" style="745" bestFit="1" customWidth="1"/>
    <col min="14851" max="15104" width="9.140625" style="745"/>
    <col min="15105" max="15105" width="22.7109375" style="745" bestFit="1" customWidth="1"/>
    <col min="15106" max="15106" width="10.28515625" style="745" bestFit="1" customWidth="1"/>
    <col min="15107" max="15360" width="9.140625" style="745"/>
    <col min="15361" max="15361" width="22.7109375" style="745" bestFit="1" customWidth="1"/>
    <col min="15362" max="15362" width="10.28515625" style="745" bestFit="1" customWidth="1"/>
    <col min="15363" max="15616" width="9.140625" style="745"/>
    <col min="15617" max="15617" width="22.7109375" style="745" bestFit="1" customWidth="1"/>
    <col min="15618" max="15618" width="10.28515625" style="745" bestFit="1" customWidth="1"/>
    <col min="15619" max="15872" width="9.140625" style="745"/>
    <col min="15873" max="15873" width="22.7109375" style="745" bestFit="1" customWidth="1"/>
    <col min="15874" max="15874" width="10.28515625" style="745" bestFit="1" customWidth="1"/>
    <col min="15875" max="16128" width="9.140625" style="745"/>
    <col min="16129" max="16129" width="22.7109375" style="745" bestFit="1" customWidth="1"/>
    <col min="16130" max="16130" width="10.28515625" style="745" bestFit="1" customWidth="1"/>
    <col min="16131" max="16384" width="9.140625" style="745"/>
  </cols>
  <sheetData>
    <row r="1" spans="1:4" ht="46.5" customHeight="1" x14ac:dyDescent="0.25">
      <c r="A1" s="1394" t="s">
        <v>1106</v>
      </c>
      <c r="B1" s="1394"/>
      <c r="C1" s="1394"/>
      <c r="D1" s="1394"/>
    </row>
    <row r="3" spans="1:4" x14ac:dyDescent="0.25">
      <c r="A3" s="766" t="s">
        <v>710</v>
      </c>
      <c r="B3" s="767" t="s">
        <v>7</v>
      </c>
      <c r="C3" s="768" t="s">
        <v>711</v>
      </c>
      <c r="D3" s="767" t="s">
        <v>712</v>
      </c>
    </row>
    <row r="4" spans="1:4" x14ac:dyDescent="0.25">
      <c r="A4" s="769" t="s">
        <v>480</v>
      </c>
      <c r="B4" s="770">
        <v>17378.659110000004</v>
      </c>
      <c r="C4" s="746">
        <v>984</v>
      </c>
      <c r="D4" s="771">
        <f>B4/$B$12*100</f>
        <v>12.582849292479734</v>
      </c>
    </row>
    <row r="5" spans="1:4" x14ac:dyDescent="0.25">
      <c r="A5" s="769" t="s">
        <v>713</v>
      </c>
      <c r="B5" s="770">
        <v>1418.3377800000001</v>
      </c>
      <c r="C5" s="746">
        <v>240</v>
      </c>
      <c r="D5" s="771">
        <f t="shared" ref="D5:D11" si="0">B5/$B$12*100</f>
        <v>1.0269336902581243</v>
      </c>
    </row>
    <row r="6" spans="1:4" x14ac:dyDescent="0.25">
      <c r="A6" s="769" t="s">
        <v>478</v>
      </c>
      <c r="B6" s="770">
        <v>44054.601090000004</v>
      </c>
      <c r="C6" s="746">
        <v>1397.9999</v>
      </c>
      <c r="D6" s="771">
        <f t="shared" si="0"/>
        <v>31.897305922573178</v>
      </c>
    </row>
    <row r="7" spans="1:4" x14ac:dyDescent="0.25">
      <c r="A7" s="769" t="s">
        <v>714</v>
      </c>
      <c r="B7" s="770">
        <v>1396.78006</v>
      </c>
      <c r="C7" s="746">
        <v>215</v>
      </c>
      <c r="D7" s="771">
        <f t="shared" si="0"/>
        <v>1.011325032528404</v>
      </c>
    </row>
    <row r="8" spans="1:4" x14ac:dyDescent="0.25">
      <c r="A8" s="769" t="s">
        <v>715</v>
      </c>
      <c r="B8" s="770">
        <v>2499.4751200000001</v>
      </c>
      <c r="C8" s="746">
        <v>478</v>
      </c>
      <c r="D8" s="771">
        <f t="shared" si="0"/>
        <v>1.8097206778839157</v>
      </c>
    </row>
    <row r="9" spans="1:4" x14ac:dyDescent="0.25">
      <c r="A9" s="769" t="s">
        <v>479</v>
      </c>
      <c r="B9" s="770">
        <v>67913.216370000009</v>
      </c>
      <c r="C9" s="746">
        <v>1290.9999</v>
      </c>
      <c r="D9" s="771">
        <f t="shared" si="0"/>
        <v>49.171904526256476</v>
      </c>
    </row>
    <row r="10" spans="1:4" x14ac:dyDescent="0.25">
      <c r="A10" s="769" t="s">
        <v>716</v>
      </c>
      <c r="B10" s="770">
        <v>1428.26433</v>
      </c>
      <c r="C10" s="746">
        <v>212</v>
      </c>
      <c r="D10" s="771">
        <f t="shared" si="0"/>
        <v>1.0341209123477959</v>
      </c>
    </row>
    <row r="11" spans="1:4" x14ac:dyDescent="0.25">
      <c r="A11" s="769" t="s">
        <v>717</v>
      </c>
      <c r="B11" s="770">
        <v>2024.5281599999998</v>
      </c>
      <c r="C11" s="746">
        <v>180</v>
      </c>
      <c r="D11" s="771">
        <f t="shared" si="0"/>
        <v>1.4658399456723843</v>
      </c>
    </row>
    <row r="12" spans="1:4" x14ac:dyDescent="0.25">
      <c r="A12" s="766" t="s">
        <v>29</v>
      </c>
      <c r="B12" s="772">
        <f>SUM(B4:B11)</f>
        <v>138113.86202</v>
      </c>
      <c r="C12" s="773">
        <f>SUM(C4:C11)</f>
        <v>4997.9997999999996</v>
      </c>
      <c r="D12" s="772">
        <f>SUM(D4:D11)</f>
        <v>100.00000000000003</v>
      </c>
    </row>
  </sheetData>
  <sheetProtection password="9C8D" sheet="1" objects="1" scenarios="1"/>
  <mergeCells count="1">
    <mergeCell ref="A1:D1"/>
  </mergeCells>
  <pageMargins left="0.511811024" right="0.511811024" top="0.78740157499999996" bottom="0.78740157499999996" header="0.31496062000000002" footer="0.31496062000000002"/>
  <pageSetup paperSize="9" orientation="portrait" verticalDpi="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indowProtection="1" workbookViewId="0">
      <selection activeCell="B12" sqref="B12"/>
    </sheetView>
  </sheetViews>
  <sheetFormatPr defaultRowHeight="15" x14ac:dyDescent="0.25"/>
  <cols>
    <col min="1" max="1" width="19" style="734" bestFit="1" customWidth="1"/>
    <col min="2" max="2" width="11.28515625" style="754" bestFit="1" customWidth="1"/>
    <col min="3" max="3" width="7" style="734" bestFit="1" customWidth="1"/>
    <col min="4" max="4" width="7.85546875" style="754" bestFit="1" customWidth="1"/>
    <col min="5" max="256" width="9.140625" style="734"/>
    <col min="257" max="257" width="19" style="734" bestFit="1" customWidth="1"/>
    <col min="258" max="258" width="11.28515625" style="734" bestFit="1" customWidth="1"/>
    <col min="259" max="259" width="7" style="734" bestFit="1" customWidth="1"/>
    <col min="260" max="260" width="7.85546875" style="734" bestFit="1" customWidth="1"/>
    <col min="261" max="512" width="9.140625" style="734"/>
    <col min="513" max="513" width="19" style="734" bestFit="1" customWidth="1"/>
    <col min="514" max="514" width="11.28515625" style="734" bestFit="1" customWidth="1"/>
    <col min="515" max="515" width="7" style="734" bestFit="1" customWidth="1"/>
    <col min="516" max="516" width="7.85546875" style="734" bestFit="1" customWidth="1"/>
    <col min="517" max="768" width="9.140625" style="734"/>
    <col min="769" max="769" width="19" style="734" bestFit="1" customWidth="1"/>
    <col min="770" max="770" width="11.28515625" style="734" bestFit="1" customWidth="1"/>
    <col min="771" max="771" width="7" style="734" bestFit="1" customWidth="1"/>
    <col min="772" max="772" width="7.85546875" style="734" bestFit="1" customWidth="1"/>
    <col min="773" max="1024" width="9.140625" style="734"/>
    <col min="1025" max="1025" width="19" style="734" bestFit="1" customWidth="1"/>
    <col min="1026" max="1026" width="11.28515625" style="734" bestFit="1" customWidth="1"/>
    <col min="1027" max="1027" width="7" style="734" bestFit="1" customWidth="1"/>
    <col min="1028" max="1028" width="7.85546875" style="734" bestFit="1" customWidth="1"/>
    <col min="1029" max="1280" width="9.140625" style="734"/>
    <col min="1281" max="1281" width="19" style="734" bestFit="1" customWidth="1"/>
    <col min="1282" max="1282" width="11.28515625" style="734" bestFit="1" customWidth="1"/>
    <col min="1283" max="1283" width="7" style="734" bestFit="1" customWidth="1"/>
    <col min="1284" max="1284" width="7.85546875" style="734" bestFit="1" customWidth="1"/>
    <col min="1285" max="1536" width="9.140625" style="734"/>
    <col min="1537" max="1537" width="19" style="734" bestFit="1" customWidth="1"/>
    <col min="1538" max="1538" width="11.28515625" style="734" bestFit="1" customWidth="1"/>
    <col min="1539" max="1539" width="7" style="734" bestFit="1" customWidth="1"/>
    <col min="1540" max="1540" width="7.85546875" style="734" bestFit="1" customWidth="1"/>
    <col min="1541" max="1792" width="9.140625" style="734"/>
    <col min="1793" max="1793" width="19" style="734" bestFit="1" customWidth="1"/>
    <col min="1794" max="1794" width="11.28515625" style="734" bestFit="1" customWidth="1"/>
    <col min="1795" max="1795" width="7" style="734" bestFit="1" customWidth="1"/>
    <col min="1796" max="1796" width="7.85546875" style="734" bestFit="1" customWidth="1"/>
    <col min="1797" max="2048" width="9.140625" style="734"/>
    <col min="2049" max="2049" width="19" style="734" bestFit="1" customWidth="1"/>
    <col min="2050" max="2050" width="11.28515625" style="734" bestFit="1" customWidth="1"/>
    <col min="2051" max="2051" width="7" style="734" bestFit="1" customWidth="1"/>
    <col min="2052" max="2052" width="7.85546875" style="734" bestFit="1" customWidth="1"/>
    <col min="2053" max="2304" width="9.140625" style="734"/>
    <col min="2305" max="2305" width="19" style="734" bestFit="1" customWidth="1"/>
    <col min="2306" max="2306" width="11.28515625" style="734" bestFit="1" customWidth="1"/>
    <col min="2307" max="2307" width="7" style="734" bestFit="1" customWidth="1"/>
    <col min="2308" max="2308" width="7.85546875" style="734" bestFit="1" customWidth="1"/>
    <col min="2309" max="2560" width="9.140625" style="734"/>
    <col min="2561" max="2561" width="19" style="734" bestFit="1" customWidth="1"/>
    <col min="2562" max="2562" width="11.28515625" style="734" bestFit="1" customWidth="1"/>
    <col min="2563" max="2563" width="7" style="734" bestFit="1" customWidth="1"/>
    <col min="2564" max="2564" width="7.85546875" style="734" bestFit="1" customWidth="1"/>
    <col min="2565" max="2816" width="9.140625" style="734"/>
    <col min="2817" max="2817" width="19" style="734" bestFit="1" customWidth="1"/>
    <col min="2818" max="2818" width="11.28515625" style="734" bestFit="1" customWidth="1"/>
    <col min="2819" max="2819" width="7" style="734" bestFit="1" customWidth="1"/>
    <col min="2820" max="2820" width="7.85546875" style="734" bestFit="1" customWidth="1"/>
    <col min="2821" max="3072" width="9.140625" style="734"/>
    <col min="3073" max="3073" width="19" style="734" bestFit="1" customWidth="1"/>
    <col min="3074" max="3074" width="11.28515625" style="734" bestFit="1" customWidth="1"/>
    <col min="3075" max="3075" width="7" style="734" bestFit="1" customWidth="1"/>
    <col min="3076" max="3076" width="7.85546875" style="734" bestFit="1" customWidth="1"/>
    <col min="3077" max="3328" width="9.140625" style="734"/>
    <col min="3329" max="3329" width="19" style="734" bestFit="1" customWidth="1"/>
    <col min="3330" max="3330" width="11.28515625" style="734" bestFit="1" customWidth="1"/>
    <col min="3331" max="3331" width="7" style="734" bestFit="1" customWidth="1"/>
    <col min="3332" max="3332" width="7.85546875" style="734" bestFit="1" customWidth="1"/>
    <col min="3333" max="3584" width="9.140625" style="734"/>
    <col min="3585" max="3585" width="19" style="734" bestFit="1" customWidth="1"/>
    <col min="3586" max="3586" width="11.28515625" style="734" bestFit="1" customWidth="1"/>
    <col min="3587" max="3587" width="7" style="734" bestFit="1" customWidth="1"/>
    <col min="3588" max="3588" width="7.85546875" style="734" bestFit="1" customWidth="1"/>
    <col min="3589" max="3840" width="9.140625" style="734"/>
    <col min="3841" max="3841" width="19" style="734" bestFit="1" customWidth="1"/>
    <col min="3842" max="3842" width="11.28515625" style="734" bestFit="1" customWidth="1"/>
    <col min="3843" max="3843" width="7" style="734" bestFit="1" customWidth="1"/>
    <col min="3844" max="3844" width="7.85546875" style="734" bestFit="1" customWidth="1"/>
    <col min="3845" max="4096" width="9.140625" style="734"/>
    <col min="4097" max="4097" width="19" style="734" bestFit="1" customWidth="1"/>
    <col min="4098" max="4098" width="11.28515625" style="734" bestFit="1" customWidth="1"/>
    <col min="4099" max="4099" width="7" style="734" bestFit="1" customWidth="1"/>
    <col min="4100" max="4100" width="7.85546875" style="734" bestFit="1" customWidth="1"/>
    <col min="4101" max="4352" width="9.140625" style="734"/>
    <col min="4353" max="4353" width="19" style="734" bestFit="1" customWidth="1"/>
    <col min="4354" max="4354" width="11.28515625" style="734" bestFit="1" customWidth="1"/>
    <col min="4355" max="4355" width="7" style="734" bestFit="1" customWidth="1"/>
    <col min="4356" max="4356" width="7.85546875" style="734" bestFit="1" customWidth="1"/>
    <col min="4357" max="4608" width="9.140625" style="734"/>
    <col min="4609" max="4609" width="19" style="734" bestFit="1" customWidth="1"/>
    <col min="4610" max="4610" width="11.28515625" style="734" bestFit="1" customWidth="1"/>
    <col min="4611" max="4611" width="7" style="734" bestFit="1" customWidth="1"/>
    <col min="4612" max="4612" width="7.85546875" style="734" bestFit="1" customWidth="1"/>
    <col min="4613" max="4864" width="9.140625" style="734"/>
    <col min="4865" max="4865" width="19" style="734" bestFit="1" customWidth="1"/>
    <col min="4866" max="4866" width="11.28515625" style="734" bestFit="1" customWidth="1"/>
    <col min="4867" max="4867" width="7" style="734" bestFit="1" customWidth="1"/>
    <col min="4868" max="4868" width="7.85546875" style="734" bestFit="1" customWidth="1"/>
    <col min="4869" max="5120" width="9.140625" style="734"/>
    <col min="5121" max="5121" width="19" style="734" bestFit="1" customWidth="1"/>
    <col min="5122" max="5122" width="11.28515625" style="734" bestFit="1" customWidth="1"/>
    <col min="5123" max="5123" width="7" style="734" bestFit="1" customWidth="1"/>
    <col min="5124" max="5124" width="7.85546875" style="734" bestFit="1" customWidth="1"/>
    <col min="5125" max="5376" width="9.140625" style="734"/>
    <col min="5377" max="5377" width="19" style="734" bestFit="1" customWidth="1"/>
    <col min="5378" max="5378" width="11.28515625" style="734" bestFit="1" customWidth="1"/>
    <col min="5379" max="5379" width="7" style="734" bestFit="1" customWidth="1"/>
    <col min="5380" max="5380" width="7.85546875" style="734" bestFit="1" customWidth="1"/>
    <col min="5381" max="5632" width="9.140625" style="734"/>
    <col min="5633" max="5633" width="19" style="734" bestFit="1" customWidth="1"/>
    <col min="5634" max="5634" width="11.28515625" style="734" bestFit="1" customWidth="1"/>
    <col min="5635" max="5635" width="7" style="734" bestFit="1" customWidth="1"/>
    <col min="5636" max="5636" width="7.85546875" style="734" bestFit="1" customWidth="1"/>
    <col min="5637" max="5888" width="9.140625" style="734"/>
    <col min="5889" max="5889" width="19" style="734" bestFit="1" customWidth="1"/>
    <col min="5890" max="5890" width="11.28515625" style="734" bestFit="1" customWidth="1"/>
    <col min="5891" max="5891" width="7" style="734" bestFit="1" customWidth="1"/>
    <col min="5892" max="5892" width="7.85546875" style="734" bestFit="1" customWidth="1"/>
    <col min="5893" max="6144" width="9.140625" style="734"/>
    <col min="6145" max="6145" width="19" style="734" bestFit="1" customWidth="1"/>
    <col min="6146" max="6146" width="11.28515625" style="734" bestFit="1" customWidth="1"/>
    <col min="6147" max="6147" width="7" style="734" bestFit="1" customWidth="1"/>
    <col min="6148" max="6148" width="7.85546875" style="734" bestFit="1" customWidth="1"/>
    <col min="6149" max="6400" width="9.140625" style="734"/>
    <col min="6401" max="6401" width="19" style="734" bestFit="1" customWidth="1"/>
    <col min="6402" max="6402" width="11.28515625" style="734" bestFit="1" customWidth="1"/>
    <col min="6403" max="6403" width="7" style="734" bestFit="1" customWidth="1"/>
    <col min="6404" max="6404" width="7.85546875" style="734" bestFit="1" customWidth="1"/>
    <col min="6405" max="6656" width="9.140625" style="734"/>
    <col min="6657" max="6657" width="19" style="734" bestFit="1" customWidth="1"/>
    <col min="6658" max="6658" width="11.28515625" style="734" bestFit="1" customWidth="1"/>
    <col min="6659" max="6659" width="7" style="734" bestFit="1" customWidth="1"/>
    <col min="6660" max="6660" width="7.85546875" style="734" bestFit="1" customWidth="1"/>
    <col min="6661" max="6912" width="9.140625" style="734"/>
    <col min="6913" max="6913" width="19" style="734" bestFit="1" customWidth="1"/>
    <col min="6914" max="6914" width="11.28515625" style="734" bestFit="1" customWidth="1"/>
    <col min="6915" max="6915" width="7" style="734" bestFit="1" customWidth="1"/>
    <col min="6916" max="6916" width="7.85546875" style="734" bestFit="1" customWidth="1"/>
    <col min="6917" max="7168" width="9.140625" style="734"/>
    <col min="7169" max="7169" width="19" style="734" bestFit="1" customWidth="1"/>
    <col min="7170" max="7170" width="11.28515625" style="734" bestFit="1" customWidth="1"/>
    <col min="7171" max="7171" width="7" style="734" bestFit="1" customWidth="1"/>
    <col min="7172" max="7172" width="7.85546875" style="734" bestFit="1" customWidth="1"/>
    <col min="7173" max="7424" width="9.140625" style="734"/>
    <col min="7425" max="7425" width="19" style="734" bestFit="1" customWidth="1"/>
    <col min="7426" max="7426" width="11.28515625" style="734" bestFit="1" customWidth="1"/>
    <col min="7427" max="7427" width="7" style="734" bestFit="1" customWidth="1"/>
    <col min="7428" max="7428" width="7.85546875" style="734" bestFit="1" customWidth="1"/>
    <col min="7429" max="7680" width="9.140625" style="734"/>
    <col min="7681" max="7681" width="19" style="734" bestFit="1" customWidth="1"/>
    <col min="7682" max="7682" width="11.28515625" style="734" bestFit="1" customWidth="1"/>
    <col min="7683" max="7683" width="7" style="734" bestFit="1" customWidth="1"/>
    <col min="7684" max="7684" width="7.85546875" style="734" bestFit="1" customWidth="1"/>
    <col min="7685" max="7936" width="9.140625" style="734"/>
    <col min="7937" max="7937" width="19" style="734" bestFit="1" customWidth="1"/>
    <col min="7938" max="7938" width="11.28515625" style="734" bestFit="1" customWidth="1"/>
    <col min="7939" max="7939" width="7" style="734" bestFit="1" customWidth="1"/>
    <col min="7940" max="7940" width="7.85546875" style="734" bestFit="1" customWidth="1"/>
    <col min="7941" max="8192" width="9.140625" style="734"/>
    <col min="8193" max="8193" width="19" style="734" bestFit="1" customWidth="1"/>
    <col min="8194" max="8194" width="11.28515625" style="734" bestFit="1" customWidth="1"/>
    <col min="8195" max="8195" width="7" style="734" bestFit="1" customWidth="1"/>
    <col min="8196" max="8196" width="7.85546875" style="734" bestFit="1" customWidth="1"/>
    <col min="8197" max="8448" width="9.140625" style="734"/>
    <col min="8449" max="8449" width="19" style="734" bestFit="1" customWidth="1"/>
    <col min="8450" max="8450" width="11.28515625" style="734" bestFit="1" customWidth="1"/>
    <col min="8451" max="8451" width="7" style="734" bestFit="1" customWidth="1"/>
    <col min="8452" max="8452" width="7.85546875" style="734" bestFit="1" customWidth="1"/>
    <col min="8453" max="8704" width="9.140625" style="734"/>
    <col min="8705" max="8705" width="19" style="734" bestFit="1" customWidth="1"/>
    <col min="8706" max="8706" width="11.28515625" style="734" bestFit="1" customWidth="1"/>
    <col min="8707" max="8707" width="7" style="734" bestFit="1" customWidth="1"/>
    <col min="8708" max="8708" width="7.85546875" style="734" bestFit="1" customWidth="1"/>
    <col min="8709" max="8960" width="9.140625" style="734"/>
    <col min="8961" max="8961" width="19" style="734" bestFit="1" customWidth="1"/>
    <col min="8962" max="8962" width="11.28515625" style="734" bestFit="1" customWidth="1"/>
    <col min="8963" max="8963" width="7" style="734" bestFit="1" customWidth="1"/>
    <col min="8964" max="8964" width="7.85546875" style="734" bestFit="1" customWidth="1"/>
    <col min="8965" max="9216" width="9.140625" style="734"/>
    <col min="9217" max="9217" width="19" style="734" bestFit="1" customWidth="1"/>
    <col min="9218" max="9218" width="11.28515625" style="734" bestFit="1" customWidth="1"/>
    <col min="9219" max="9219" width="7" style="734" bestFit="1" customWidth="1"/>
    <col min="9220" max="9220" width="7.85546875" style="734" bestFit="1" customWidth="1"/>
    <col min="9221" max="9472" width="9.140625" style="734"/>
    <col min="9473" max="9473" width="19" style="734" bestFit="1" customWidth="1"/>
    <col min="9474" max="9474" width="11.28515625" style="734" bestFit="1" customWidth="1"/>
    <col min="9475" max="9475" width="7" style="734" bestFit="1" customWidth="1"/>
    <col min="9476" max="9476" width="7.85546875" style="734" bestFit="1" customWidth="1"/>
    <col min="9477" max="9728" width="9.140625" style="734"/>
    <col min="9729" max="9729" width="19" style="734" bestFit="1" customWidth="1"/>
    <col min="9730" max="9730" width="11.28515625" style="734" bestFit="1" customWidth="1"/>
    <col min="9731" max="9731" width="7" style="734" bestFit="1" customWidth="1"/>
    <col min="9732" max="9732" width="7.85546875" style="734" bestFit="1" customWidth="1"/>
    <col min="9733" max="9984" width="9.140625" style="734"/>
    <col min="9985" max="9985" width="19" style="734" bestFit="1" customWidth="1"/>
    <col min="9986" max="9986" width="11.28515625" style="734" bestFit="1" customWidth="1"/>
    <col min="9987" max="9987" width="7" style="734" bestFit="1" customWidth="1"/>
    <col min="9988" max="9988" width="7.85546875" style="734" bestFit="1" customWidth="1"/>
    <col min="9989" max="10240" width="9.140625" style="734"/>
    <col min="10241" max="10241" width="19" style="734" bestFit="1" customWidth="1"/>
    <col min="10242" max="10242" width="11.28515625" style="734" bestFit="1" customWidth="1"/>
    <col min="10243" max="10243" width="7" style="734" bestFit="1" customWidth="1"/>
    <col min="10244" max="10244" width="7.85546875" style="734" bestFit="1" customWidth="1"/>
    <col min="10245" max="10496" width="9.140625" style="734"/>
    <col min="10497" max="10497" width="19" style="734" bestFit="1" customWidth="1"/>
    <col min="10498" max="10498" width="11.28515625" style="734" bestFit="1" customWidth="1"/>
    <col min="10499" max="10499" width="7" style="734" bestFit="1" customWidth="1"/>
    <col min="10500" max="10500" width="7.85546875" style="734" bestFit="1" customWidth="1"/>
    <col min="10501" max="10752" width="9.140625" style="734"/>
    <col min="10753" max="10753" width="19" style="734" bestFit="1" customWidth="1"/>
    <col min="10754" max="10754" width="11.28515625" style="734" bestFit="1" customWidth="1"/>
    <col min="10755" max="10755" width="7" style="734" bestFit="1" customWidth="1"/>
    <col min="10756" max="10756" width="7.85546875" style="734" bestFit="1" customWidth="1"/>
    <col min="10757" max="11008" width="9.140625" style="734"/>
    <col min="11009" max="11009" width="19" style="734" bestFit="1" customWidth="1"/>
    <col min="11010" max="11010" width="11.28515625" style="734" bestFit="1" customWidth="1"/>
    <col min="11011" max="11011" width="7" style="734" bestFit="1" customWidth="1"/>
    <col min="11012" max="11012" width="7.85546875" style="734" bestFit="1" customWidth="1"/>
    <col min="11013" max="11264" width="9.140625" style="734"/>
    <col min="11265" max="11265" width="19" style="734" bestFit="1" customWidth="1"/>
    <col min="11266" max="11266" width="11.28515625" style="734" bestFit="1" customWidth="1"/>
    <col min="11267" max="11267" width="7" style="734" bestFit="1" customWidth="1"/>
    <col min="11268" max="11268" width="7.85546875" style="734" bestFit="1" customWidth="1"/>
    <col min="11269" max="11520" width="9.140625" style="734"/>
    <col min="11521" max="11521" width="19" style="734" bestFit="1" customWidth="1"/>
    <col min="11522" max="11522" width="11.28515625" style="734" bestFit="1" customWidth="1"/>
    <col min="11523" max="11523" width="7" style="734" bestFit="1" customWidth="1"/>
    <col min="11524" max="11524" width="7.85546875" style="734" bestFit="1" customWidth="1"/>
    <col min="11525" max="11776" width="9.140625" style="734"/>
    <col min="11777" max="11777" width="19" style="734" bestFit="1" customWidth="1"/>
    <col min="11778" max="11778" width="11.28515625" style="734" bestFit="1" customWidth="1"/>
    <col min="11779" max="11779" width="7" style="734" bestFit="1" customWidth="1"/>
    <col min="11780" max="11780" width="7.85546875" style="734" bestFit="1" customWidth="1"/>
    <col min="11781" max="12032" width="9.140625" style="734"/>
    <col min="12033" max="12033" width="19" style="734" bestFit="1" customWidth="1"/>
    <col min="12034" max="12034" width="11.28515625" style="734" bestFit="1" customWidth="1"/>
    <col min="12035" max="12035" width="7" style="734" bestFit="1" customWidth="1"/>
    <col min="12036" max="12036" width="7.85546875" style="734" bestFit="1" customWidth="1"/>
    <col min="12037" max="12288" width="9.140625" style="734"/>
    <col min="12289" max="12289" width="19" style="734" bestFit="1" customWidth="1"/>
    <col min="12290" max="12290" width="11.28515625" style="734" bestFit="1" customWidth="1"/>
    <col min="12291" max="12291" width="7" style="734" bestFit="1" customWidth="1"/>
    <col min="12292" max="12292" width="7.85546875" style="734" bestFit="1" customWidth="1"/>
    <col min="12293" max="12544" width="9.140625" style="734"/>
    <col min="12545" max="12545" width="19" style="734" bestFit="1" customWidth="1"/>
    <col min="12546" max="12546" width="11.28515625" style="734" bestFit="1" customWidth="1"/>
    <col min="12547" max="12547" width="7" style="734" bestFit="1" customWidth="1"/>
    <col min="12548" max="12548" width="7.85546875" style="734" bestFit="1" customWidth="1"/>
    <col min="12549" max="12800" width="9.140625" style="734"/>
    <col min="12801" max="12801" width="19" style="734" bestFit="1" customWidth="1"/>
    <col min="12802" max="12802" width="11.28515625" style="734" bestFit="1" customWidth="1"/>
    <col min="12803" max="12803" width="7" style="734" bestFit="1" customWidth="1"/>
    <col min="12804" max="12804" width="7.85546875" style="734" bestFit="1" customWidth="1"/>
    <col min="12805" max="13056" width="9.140625" style="734"/>
    <col min="13057" max="13057" width="19" style="734" bestFit="1" customWidth="1"/>
    <col min="13058" max="13058" width="11.28515625" style="734" bestFit="1" customWidth="1"/>
    <col min="13059" max="13059" width="7" style="734" bestFit="1" customWidth="1"/>
    <col min="13060" max="13060" width="7.85546875" style="734" bestFit="1" customWidth="1"/>
    <col min="13061" max="13312" width="9.140625" style="734"/>
    <col min="13313" max="13313" width="19" style="734" bestFit="1" customWidth="1"/>
    <col min="13314" max="13314" width="11.28515625" style="734" bestFit="1" customWidth="1"/>
    <col min="13315" max="13315" width="7" style="734" bestFit="1" customWidth="1"/>
    <col min="13316" max="13316" width="7.85546875" style="734" bestFit="1" customWidth="1"/>
    <col min="13317" max="13568" width="9.140625" style="734"/>
    <col min="13569" max="13569" width="19" style="734" bestFit="1" customWidth="1"/>
    <col min="13570" max="13570" width="11.28515625" style="734" bestFit="1" customWidth="1"/>
    <col min="13571" max="13571" width="7" style="734" bestFit="1" customWidth="1"/>
    <col min="13572" max="13572" width="7.85546875" style="734" bestFit="1" customWidth="1"/>
    <col min="13573" max="13824" width="9.140625" style="734"/>
    <col min="13825" max="13825" width="19" style="734" bestFit="1" customWidth="1"/>
    <col min="13826" max="13826" width="11.28515625" style="734" bestFit="1" customWidth="1"/>
    <col min="13827" max="13827" width="7" style="734" bestFit="1" customWidth="1"/>
    <col min="13828" max="13828" width="7.85546875" style="734" bestFit="1" customWidth="1"/>
    <col min="13829" max="14080" width="9.140625" style="734"/>
    <col min="14081" max="14081" width="19" style="734" bestFit="1" customWidth="1"/>
    <col min="14082" max="14082" width="11.28515625" style="734" bestFit="1" customWidth="1"/>
    <col min="14083" max="14083" width="7" style="734" bestFit="1" customWidth="1"/>
    <col min="14084" max="14084" width="7.85546875" style="734" bestFit="1" customWidth="1"/>
    <col min="14085" max="14336" width="9.140625" style="734"/>
    <col min="14337" max="14337" width="19" style="734" bestFit="1" customWidth="1"/>
    <col min="14338" max="14338" width="11.28515625" style="734" bestFit="1" customWidth="1"/>
    <col min="14339" max="14339" width="7" style="734" bestFit="1" customWidth="1"/>
    <col min="14340" max="14340" width="7.85546875" style="734" bestFit="1" customWidth="1"/>
    <col min="14341" max="14592" width="9.140625" style="734"/>
    <col min="14593" max="14593" width="19" style="734" bestFit="1" customWidth="1"/>
    <col min="14594" max="14594" width="11.28515625" style="734" bestFit="1" customWidth="1"/>
    <col min="14595" max="14595" width="7" style="734" bestFit="1" customWidth="1"/>
    <col min="14596" max="14596" width="7.85546875" style="734" bestFit="1" customWidth="1"/>
    <col min="14597" max="14848" width="9.140625" style="734"/>
    <col min="14849" max="14849" width="19" style="734" bestFit="1" customWidth="1"/>
    <col min="14850" max="14850" width="11.28515625" style="734" bestFit="1" customWidth="1"/>
    <col min="14851" max="14851" width="7" style="734" bestFit="1" customWidth="1"/>
    <col min="14852" max="14852" width="7.85546875" style="734" bestFit="1" customWidth="1"/>
    <col min="14853" max="15104" width="9.140625" style="734"/>
    <col min="15105" max="15105" width="19" style="734" bestFit="1" customWidth="1"/>
    <col min="15106" max="15106" width="11.28515625" style="734" bestFit="1" customWidth="1"/>
    <col min="15107" max="15107" width="7" style="734" bestFit="1" customWidth="1"/>
    <col min="15108" max="15108" width="7.85546875" style="734" bestFit="1" customWidth="1"/>
    <col min="15109" max="15360" width="9.140625" style="734"/>
    <col min="15361" max="15361" width="19" style="734" bestFit="1" customWidth="1"/>
    <col min="15362" max="15362" width="11.28515625" style="734" bestFit="1" customWidth="1"/>
    <col min="15363" max="15363" width="7" style="734" bestFit="1" customWidth="1"/>
    <col min="15364" max="15364" width="7.85546875" style="734" bestFit="1" customWidth="1"/>
    <col min="15365" max="15616" width="9.140625" style="734"/>
    <col min="15617" max="15617" width="19" style="734" bestFit="1" customWidth="1"/>
    <col min="15618" max="15618" width="11.28515625" style="734" bestFit="1" customWidth="1"/>
    <col min="15619" max="15619" width="7" style="734" bestFit="1" customWidth="1"/>
    <col min="15620" max="15620" width="7.85546875" style="734" bestFit="1" customWidth="1"/>
    <col min="15621" max="15872" width="9.140625" style="734"/>
    <col min="15873" max="15873" width="19" style="734" bestFit="1" customWidth="1"/>
    <col min="15874" max="15874" width="11.28515625" style="734" bestFit="1" customWidth="1"/>
    <col min="15875" max="15875" width="7" style="734" bestFit="1" customWidth="1"/>
    <col min="15876" max="15876" width="7.85546875" style="734" bestFit="1" customWidth="1"/>
    <col min="15877" max="16128" width="9.140625" style="734"/>
    <col min="16129" max="16129" width="19" style="734" bestFit="1" customWidth="1"/>
    <col min="16130" max="16130" width="11.28515625" style="734" bestFit="1" customWidth="1"/>
    <col min="16131" max="16131" width="7" style="734" bestFit="1" customWidth="1"/>
    <col min="16132" max="16132" width="7.85546875" style="734" bestFit="1" customWidth="1"/>
    <col min="16133" max="16384" width="9.140625" style="734"/>
  </cols>
  <sheetData>
    <row r="1" spans="1:4" ht="59.25" customHeight="1" x14ac:dyDescent="0.25">
      <c r="A1" s="1395" t="s">
        <v>1107</v>
      </c>
      <c r="B1" s="1395"/>
      <c r="C1" s="1395"/>
      <c r="D1" s="1395"/>
    </row>
    <row r="3" spans="1:4" x14ac:dyDescent="0.25">
      <c r="A3" s="766" t="s">
        <v>188</v>
      </c>
      <c r="B3" s="767" t="s">
        <v>7</v>
      </c>
      <c r="C3" s="768" t="s">
        <v>711</v>
      </c>
      <c r="D3" s="767" t="s">
        <v>712</v>
      </c>
    </row>
    <row r="4" spans="1:4" x14ac:dyDescent="0.25">
      <c r="A4" s="734" t="s">
        <v>242</v>
      </c>
      <c r="B4" s="754">
        <v>53740.232969999968</v>
      </c>
      <c r="C4" s="753">
        <v>924.99980000000005</v>
      </c>
      <c r="D4" s="754">
        <f t="shared" ref="D4:D9" si="0">B4/$B$10*100</f>
        <v>38.910093588012153</v>
      </c>
    </row>
    <row r="5" spans="1:4" x14ac:dyDescent="0.25">
      <c r="A5" s="734" t="s">
        <v>243</v>
      </c>
      <c r="B5" s="754">
        <v>5496.8720000000003</v>
      </c>
      <c r="C5" s="753">
        <v>8</v>
      </c>
      <c r="D5" s="754">
        <f t="shared" si="0"/>
        <v>3.9799567687159518</v>
      </c>
    </row>
    <row r="6" spans="1:4" x14ac:dyDescent="0.25">
      <c r="A6" s="734" t="s">
        <v>244</v>
      </c>
      <c r="B6" s="754">
        <v>58767.845710000009</v>
      </c>
      <c r="C6" s="753">
        <v>461</v>
      </c>
      <c r="D6" s="754">
        <f t="shared" si="0"/>
        <v>42.550287748444795</v>
      </c>
    </row>
    <row r="7" spans="1:4" x14ac:dyDescent="0.25">
      <c r="A7" s="734" t="s">
        <v>245</v>
      </c>
      <c r="B7" s="754">
        <v>3060.64311</v>
      </c>
      <c r="C7" s="753">
        <v>23</v>
      </c>
      <c r="D7" s="754">
        <f t="shared" si="0"/>
        <v>2.2160289092175227</v>
      </c>
    </row>
    <row r="8" spans="1:4" x14ac:dyDescent="0.25">
      <c r="A8" s="734" t="s">
        <v>246</v>
      </c>
      <c r="B8" s="754">
        <v>16622.304230000009</v>
      </c>
      <c r="C8" s="753">
        <v>3576</v>
      </c>
      <c r="D8" s="754">
        <f t="shared" si="0"/>
        <v>12.035217889709699</v>
      </c>
    </row>
    <row r="9" spans="1:4" x14ac:dyDescent="0.25">
      <c r="A9" s="734" t="s">
        <v>143</v>
      </c>
      <c r="B9" s="754">
        <v>425.964</v>
      </c>
      <c r="C9" s="753">
        <v>5</v>
      </c>
      <c r="D9" s="754">
        <f t="shared" si="0"/>
        <v>0.30841509589987204</v>
      </c>
    </row>
    <row r="10" spans="1:4" x14ac:dyDescent="0.25">
      <c r="A10" s="766" t="s">
        <v>29</v>
      </c>
      <c r="B10" s="772">
        <f>SUM(B4:B9)</f>
        <v>138113.86202</v>
      </c>
      <c r="C10" s="773">
        <f>SUM(C2:C9)</f>
        <v>4997.9997999999996</v>
      </c>
      <c r="D10" s="772">
        <f>SUM(D2:D9)</f>
        <v>100</v>
      </c>
    </row>
  </sheetData>
  <sheetProtection password="9C8D" sheet="1" objects="1" scenarios="1"/>
  <mergeCells count="1">
    <mergeCell ref="A1:D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indowProtection="1" showGridLines="0" workbookViewId="0">
      <selection activeCell="D6" sqref="D6"/>
    </sheetView>
  </sheetViews>
  <sheetFormatPr defaultRowHeight="12.75" x14ac:dyDescent="0.2"/>
  <cols>
    <col min="1" max="1" width="37.85546875" style="110" customWidth="1"/>
    <col min="2" max="2" width="16.7109375" style="110" customWidth="1"/>
    <col min="3" max="3" width="15" style="110" customWidth="1"/>
    <col min="4" max="4" width="12" style="110" customWidth="1"/>
    <col min="5" max="5" width="9.140625" style="110"/>
    <col min="6" max="6" width="15.28515625" style="110" customWidth="1"/>
    <col min="7" max="16384" width="9.140625" style="110"/>
  </cols>
  <sheetData>
    <row r="1" spans="1:6" ht="15.75" x14ac:dyDescent="0.2">
      <c r="A1" s="1219" t="s">
        <v>314</v>
      </c>
      <c r="B1" s="1219"/>
      <c r="C1" s="1219"/>
    </row>
    <row r="2" spans="1:6" ht="18" x14ac:dyDescent="0.2">
      <c r="A2" s="1220" t="s">
        <v>315</v>
      </c>
      <c r="B2" s="1220"/>
      <c r="C2" s="1220"/>
    </row>
    <row r="3" spans="1:6" ht="15" x14ac:dyDescent="0.2">
      <c r="A3" s="1221" t="str">
        <f>[5]Dados!A18</f>
        <v>Exercício de 2015</v>
      </c>
      <c r="B3" s="1221"/>
      <c r="C3" s="1221"/>
    </row>
    <row r="4" spans="1:6" ht="15" x14ac:dyDescent="0.2">
      <c r="A4" s="290"/>
      <c r="B4" s="290"/>
      <c r="C4" s="290"/>
    </row>
    <row r="5" spans="1:6" x14ac:dyDescent="0.2">
      <c r="A5" s="1222" t="s">
        <v>1</v>
      </c>
      <c r="B5" s="1222"/>
      <c r="C5" s="1222"/>
    </row>
    <row r="6" spans="1:6" ht="34.5" customHeight="1" x14ac:dyDescent="0.2">
      <c r="A6" s="289" t="s">
        <v>87</v>
      </c>
      <c r="B6" s="289" t="s">
        <v>7</v>
      </c>
      <c r="C6" s="289" t="s">
        <v>8</v>
      </c>
      <c r="D6" s="292"/>
      <c r="E6" s="112"/>
    </row>
    <row r="7" spans="1:6" ht="18" customHeight="1" x14ac:dyDescent="0.2">
      <c r="A7" s="113" t="s">
        <v>88</v>
      </c>
      <c r="B7" s="403">
        <v>160024</v>
      </c>
      <c r="C7" s="404">
        <f>IF($B$18=0,0,ROUND(B7/$B$18*100,2))</f>
        <v>2.9</v>
      </c>
      <c r="D7" s="233"/>
      <c r="E7" s="405"/>
      <c r="F7" s="264"/>
    </row>
    <row r="8" spans="1:6" ht="18" customHeight="1" x14ac:dyDescent="0.2">
      <c r="A8" s="113" t="s">
        <v>89</v>
      </c>
      <c r="B8" s="118">
        <f>1877832-1</f>
        <v>1877831</v>
      </c>
      <c r="C8" s="404">
        <v>33.9</v>
      </c>
      <c r="D8" s="233"/>
      <c r="E8" s="405"/>
      <c r="F8" s="264"/>
    </row>
    <row r="9" spans="1:6" ht="18" customHeight="1" x14ac:dyDescent="0.2">
      <c r="A9" s="113" t="s">
        <v>90</v>
      </c>
      <c r="B9" s="118">
        <v>443606</v>
      </c>
      <c r="C9" s="404">
        <f t="shared" ref="C9:C17" si="0">IF($B$18=0,0,ROUND(B9/$B$18*100,2))</f>
        <v>8.0500000000000007</v>
      </c>
      <c r="D9" s="233"/>
      <c r="E9" s="405"/>
      <c r="F9" s="264"/>
    </row>
    <row r="10" spans="1:6" ht="18" customHeight="1" x14ac:dyDescent="0.2">
      <c r="A10" s="113" t="s">
        <v>91</v>
      </c>
      <c r="B10" s="118">
        <v>52664</v>
      </c>
      <c r="C10" s="404">
        <f t="shared" si="0"/>
        <v>0.96</v>
      </c>
      <c r="D10" s="233"/>
      <c r="E10" s="405"/>
      <c r="F10" s="264"/>
    </row>
    <row r="11" spans="1:6" ht="18" customHeight="1" x14ac:dyDescent="0.2">
      <c r="A11" s="113" t="s">
        <v>92</v>
      </c>
      <c r="B11" s="118">
        <v>836819</v>
      </c>
      <c r="C11" s="404">
        <f t="shared" si="0"/>
        <v>15.19</v>
      </c>
      <c r="D11" s="233"/>
      <c r="E11" s="405"/>
      <c r="F11" s="264"/>
    </row>
    <row r="12" spans="1:6" ht="18" customHeight="1" x14ac:dyDescent="0.2">
      <c r="A12" s="113" t="s">
        <v>93</v>
      </c>
      <c r="B12" s="118">
        <v>409311</v>
      </c>
      <c r="C12" s="404">
        <f t="shared" si="0"/>
        <v>7.43</v>
      </c>
      <c r="D12" s="233"/>
      <c r="E12" s="405"/>
      <c r="F12" s="264"/>
    </row>
    <row r="13" spans="1:6" ht="18" customHeight="1" x14ac:dyDescent="0.2">
      <c r="A13" s="113" t="s">
        <v>94</v>
      </c>
      <c r="B13" s="118">
        <v>267017</v>
      </c>
      <c r="C13" s="404">
        <f t="shared" si="0"/>
        <v>4.8499999999999996</v>
      </c>
      <c r="D13" s="233"/>
      <c r="E13" s="405"/>
      <c r="F13" s="264"/>
    </row>
    <row r="14" spans="1:6" ht="18" customHeight="1" x14ac:dyDescent="0.2">
      <c r="A14" s="113" t="s">
        <v>95</v>
      </c>
      <c r="B14" s="118">
        <v>377926</v>
      </c>
      <c r="C14" s="404">
        <f t="shared" si="0"/>
        <v>6.86</v>
      </c>
      <c r="D14" s="233"/>
      <c r="E14" s="405"/>
      <c r="F14" s="264"/>
    </row>
    <row r="15" spans="1:6" ht="18" customHeight="1" x14ac:dyDescent="0.2">
      <c r="A15" s="113" t="s">
        <v>96</v>
      </c>
      <c r="B15" s="118">
        <v>711333</v>
      </c>
      <c r="C15" s="404">
        <f t="shared" si="0"/>
        <v>12.91</v>
      </c>
      <c r="D15" s="233"/>
      <c r="E15" s="405"/>
      <c r="F15" s="264"/>
    </row>
    <row r="16" spans="1:6" ht="18" customHeight="1" x14ac:dyDescent="0.2">
      <c r="A16" s="113" t="s">
        <v>97</v>
      </c>
      <c r="B16" s="118">
        <v>192610</v>
      </c>
      <c r="C16" s="404">
        <f t="shared" si="0"/>
        <v>3.5</v>
      </c>
      <c r="D16" s="233"/>
      <c r="E16" s="405"/>
      <c r="F16" s="264"/>
    </row>
    <row r="17" spans="1:8" ht="18" customHeight="1" x14ac:dyDescent="0.2">
      <c r="A17" s="113" t="s">
        <v>98</v>
      </c>
      <c r="B17" s="118">
        <v>180938</v>
      </c>
      <c r="C17" s="404">
        <f t="shared" si="0"/>
        <v>3.28</v>
      </c>
      <c r="D17" s="233"/>
      <c r="E17" s="405"/>
      <c r="F17" s="264"/>
    </row>
    <row r="18" spans="1:8" ht="27" customHeight="1" x14ac:dyDescent="0.2">
      <c r="A18" s="120" t="s">
        <v>29</v>
      </c>
      <c r="B18" s="121">
        <f>SUM(B7:B17)</f>
        <v>5510079</v>
      </c>
      <c r="C18" s="406">
        <v>100</v>
      </c>
      <c r="D18" s="204"/>
      <c r="E18" s="405"/>
      <c r="F18" s="264"/>
    </row>
    <row r="19" spans="1:8" x14ac:dyDescent="0.2">
      <c r="A19" s="1223" t="s">
        <v>99</v>
      </c>
      <c r="B19" s="1223"/>
      <c r="C19" s="123"/>
      <c r="D19" s="250"/>
      <c r="E19" s="407"/>
      <c r="F19" s="250"/>
      <c r="G19" s="250"/>
      <c r="H19" s="256"/>
    </row>
    <row r="20" spans="1:8" ht="12.75" customHeight="1" x14ac:dyDescent="0.2">
      <c r="A20" s="1217" t="s">
        <v>316</v>
      </c>
      <c r="B20" s="1218"/>
      <c r="C20" s="1218"/>
      <c r="E20" s="408"/>
      <c r="F20" s="408"/>
    </row>
    <row r="21" spans="1:8" x14ac:dyDescent="0.2">
      <c r="A21" s="1218"/>
      <c r="B21" s="1218"/>
      <c r="C21" s="1218"/>
    </row>
    <row r="22" spans="1:8" x14ac:dyDescent="0.2">
      <c r="B22" s="117"/>
    </row>
    <row r="23" spans="1:8" x14ac:dyDescent="0.2">
      <c r="A23" s="112"/>
      <c r="B23" s="409"/>
    </row>
  </sheetData>
  <sheetProtection password="9C8D" sheet="1" objects="1" scenarios="1"/>
  <mergeCells count="6">
    <mergeCell ref="A20:C21"/>
    <mergeCell ref="A1:C1"/>
    <mergeCell ref="A2:C2"/>
    <mergeCell ref="A3:C3"/>
    <mergeCell ref="A5:C5"/>
    <mergeCell ref="A19:B19"/>
  </mergeCells>
  <pageMargins left="0.78740157499999996" right="0.78740157499999996" top="0.984251969" bottom="0.984251969" header="0.49212598499999999" footer="0.49212598499999999"/>
  <pageSetup paperSize="9" orientation="portrait"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indowProtection="1" workbookViewId="0">
      <selection activeCell="A2" sqref="A2:XFD2"/>
    </sheetView>
  </sheetViews>
  <sheetFormatPr defaultRowHeight="15" x14ac:dyDescent="0.25"/>
  <cols>
    <col min="1" max="1" width="22.7109375" style="734" bestFit="1" customWidth="1"/>
    <col min="2" max="2" width="10.28515625" style="734" bestFit="1" customWidth="1"/>
    <col min="3" max="256" width="9.140625" style="734"/>
    <col min="257" max="257" width="22.7109375" style="734" bestFit="1" customWidth="1"/>
    <col min="258" max="258" width="10.28515625" style="734" bestFit="1" customWidth="1"/>
    <col min="259" max="512" width="9.140625" style="734"/>
    <col min="513" max="513" width="22.7109375" style="734" bestFit="1" customWidth="1"/>
    <col min="514" max="514" width="10.28515625" style="734" bestFit="1" customWidth="1"/>
    <col min="515" max="768" width="9.140625" style="734"/>
    <col min="769" max="769" width="22.7109375" style="734" bestFit="1" customWidth="1"/>
    <col min="770" max="770" width="10.28515625" style="734" bestFit="1" customWidth="1"/>
    <col min="771" max="1024" width="9.140625" style="734"/>
    <col min="1025" max="1025" width="22.7109375" style="734" bestFit="1" customWidth="1"/>
    <col min="1026" max="1026" width="10.28515625" style="734" bestFit="1" customWidth="1"/>
    <col min="1027" max="1280" width="9.140625" style="734"/>
    <col min="1281" max="1281" width="22.7109375" style="734" bestFit="1" customWidth="1"/>
    <col min="1282" max="1282" width="10.28515625" style="734" bestFit="1" customWidth="1"/>
    <col min="1283" max="1536" width="9.140625" style="734"/>
    <col min="1537" max="1537" width="22.7109375" style="734" bestFit="1" customWidth="1"/>
    <col min="1538" max="1538" width="10.28515625" style="734" bestFit="1" customWidth="1"/>
    <col min="1539" max="1792" width="9.140625" style="734"/>
    <col min="1793" max="1793" width="22.7109375" style="734" bestFit="1" customWidth="1"/>
    <col min="1794" max="1794" width="10.28515625" style="734" bestFit="1" customWidth="1"/>
    <col min="1795" max="2048" width="9.140625" style="734"/>
    <col min="2049" max="2049" width="22.7109375" style="734" bestFit="1" customWidth="1"/>
    <col min="2050" max="2050" width="10.28515625" style="734" bestFit="1" customWidth="1"/>
    <col min="2051" max="2304" width="9.140625" style="734"/>
    <col min="2305" max="2305" width="22.7109375" style="734" bestFit="1" customWidth="1"/>
    <col min="2306" max="2306" width="10.28515625" style="734" bestFit="1" customWidth="1"/>
    <col min="2307" max="2560" width="9.140625" style="734"/>
    <col min="2561" max="2561" width="22.7109375" style="734" bestFit="1" customWidth="1"/>
    <col min="2562" max="2562" width="10.28515625" style="734" bestFit="1" customWidth="1"/>
    <col min="2563" max="2816" width="9.140625" style="734"/>
    <col min="2817" max="2817" width="22.7109375" style="734" bestFit="1" customWidth="1"/>
    <col min="2818" max="2818" width="10.28515625" style="734" bestFit="1" customWidth="1"/>
    <col min="2819" max="3072" width="9.140625" style="734"/>
    <col min="3073" max="3073" width="22.7109375" style="734" bestFit="1" customWidth="1"/>
    <col min="3074" max="3074" width="10.28515625" style="734" bestFit="1" customWidth="1"/>
    <col min="3075" max="3328" width="9.140625" style="734"/>
    <col min="3329" max="3329" width="22.7109375" style="734" bestFit="1" customWidth="1"/>
    <col min="3330" max="3330" width="10.28515625" style="734" bestFit="1" customWidth="1"/>
    <col min="3331" max="3584" width="9.140625" style="734"/>
    <col min="3585" max="3585" width="22.7109375" style="734" bestFit="1" customWidth="1"/>
    <col min="3586" max="3586" width="10.28515625" style="734" bestFit="1" customWidth="1"/>
    <col min="3587" max="3840" width="9.140625" style="734"/>
    <col min="3841" max="3841" width="22.7109375" style="734" bestFit="1" customWidth="1"/>
    <col min="3842" max="3842" width="10.28515625" style="734" bestFit="1" customWidth="1"/>
    <col min="3843" max="4096" width="9.140625" style="734"/>
    <col min="4097" max="4097" width="22.7109375" style="734" bestFit="1" customWidth="1"/>
    <col min="4098" max="4098" width="10.28515625" style="734" bestFit="1" customWidth="1"/>
    <col min="4099" max="4352" width="9.140625" style="734"/>
    <col min="4353" max="4353" width="22.7109375" style="734" bestFit="1" customWidth="1"/>
    <col min="4354" max="4354" width="10.28515625" style="734" bestFit="1" customWidth="1"/>
    <col min="4355" max="4608" width="9.140625" style="734"/>
    <col min="4609" max="4609" width="22.7109375" style="734" bestFit="1" customWidth="1"/>
    <col min="4610" max="4610" width="10.28515625" style="734" bestFit="1" customWidth="1"/>
    <col min="4611" max="4864" width="9.140625" style="734"/>
    <col min="4865" max="4865" width="22.7109375" style="734" bestFit="1" customWidth="1"/>
    <col min="4866" max="4866" width="10.28515625" style="734" bestFit="1" customWidth="1"/>
    <col min="4867" max="5120" width="9.140625" style="734"/>
    <col min="5121" max="5121" width="22.7109375" style="734" bestFit="1" customWidth="1"/>
    <col min="5122" max="5122" width="10.28515625" style="734" bestFit="1" customWidth="1"/>
    <col min="5123" max="5376" width="9.140625" style="734"/>
    <col min="5377" max="5377" width="22.7109375" style="734" bestFit="1" customWidth="1"/>
    <col min="5378" max="5378" width="10.28515625" style="734" bestFit="1" customWidth="1"/>
    <col min="5379" max="5632" width="9.140625" style="734"/>
    <col min="5633" max="5633" width="22.7109375" style="734" bestFit="1" customWidth="1"/>
    <col min="5634" max="5634" width="10.28515625" style="734" bestFit="1" customWidth="1"/>
    <col min="5635" max="5888" width="9.140625" style="734"/>
    <col min="5889" max="5889" width="22.7109375" style="734" bestFit="1" customWidth="1"/>
    <col min="5890" max="5890" width="10.28515625" style="734" bestFit="1" customWidth="1"/>
    <col min="5891" max="6144" width="9.140625" style="734"/>
    <col min="6145" max="6145" width="22.7109375" style="734" bestFit="1" customWidth="1"/>
    <col min="6146" max="6146" width="10.28515625" style="734" bestFit="1" customWidth="1"/>
    <col min="6147" max="6400" width="9.140625" style="734"/>
    <col min="6401" max="6401" width="22.7109375" style="734" bestFit="1" customWidth="1"/>
    <col min="6402" max="6402" width="10.28515625" style="734" bestFit="1" customWidth="1"/>
    <col min="6403" max="6656" width="9.140625" style="734"/>
    <col min="6657" max="6657" width="22.7109375" style="734" bestFit="1" customWidth="1"/>
    <col min="6658" max="6658" width="10.28515625" style="734" bestFit="1" customWidth="1"/>
    <col min="6659" max="6912" width="9.140625" style="734"/>
    <col min="6913" max="6913" width="22.7109375" style="734" bestFit="1" customWidth="1"/>
    <col min="6914" max="6914" width="10.28515625" style="734" bestFit="1" customWidth="1"/>
    <col min="6915" max="7168" width="9.140625" style="734"/>
    <col min="7169" max="7169" width="22.7109375" style="734" bestFit="1" customWidth="1"/>
    <col min="7170" max="7170" width="10.28515625" style="734" bestFit="1" customWidth="1"/>
    <col min="7171" max="7424" width="9.140625" style="734"/>
    <col min="7425" max="7425" width="22.7109375" style="734" bestFit="1" customWidth="1"/>
    <col min="7426" max="7426" width="10.28515625" style="734" bestFit="1" customWidth="1"/>
    <col min="7427" max="7680" width="9.140625" style="734"/>
    <col min="7681" max="7681" width="22.7109375" style="734" bestFit="1" customWidth="1"/>
    <col min="7682" max="7682" width="10.28515625" style="734" bestFit="1" customWidth="1"/>
    <col min="7683" max="7936" width="9.140625" style="734"/>
    <col min="7937" max="7937" width="22.7109375" style="734" bestFit="1" customWidth="1"/>
    <col min="7938" max="7938" width="10.28515625" style="734" bestFit="1" customWidth="1"/>
    <col min="7939" max="8192" width="9.140625" style="734"/>
    <col min="8193" max="8193" width="22.7109375" style="734" bestFit="1" customWidth="1"/>
    <col min="8194" max="8194" width="10.28515625" style="734" bestFit="1" customWidth="1"/>
    <col min="8195" max="8448" width="9.140625" style="734"/>
    <col min="8449" max="8449" width="22.7109375" style="734" bestFit="1" customWidth="1"/>
    <col min="8450" max="8450" width="10.28515625" style="734" bestFit="1" customWidth="1"/>
    <col min="8451" max="8704" width="9.140625" style="734"/>
    <col min="8705" max="8705" width="22.7109375" style="734" bestFit="1" customWidth="1"/>
    <col min="8706" max="8706" width="10.28515625" style="734" bestFit="1" customWidth="1"/>
    <col min="8707" max="8960" width="9.140625" style="734"/>
    <col min="8961" max="8961" width="22.7109375" style="734" bestFit="1" customWidth="1"/>
    <col min="8962" max="8962" width="10.28515625" style="734" bestFit="1" customWidth="1"/>
    <col min="8963" max="9216" width="9.140625" style="734"/>
    <col min="9217" max="9217" width="22.7109375" style="734" bestFit="1" customWidth="1"/>
    <col min="9218" max="9218" width="10.28515625" style="734" bestFit="1" customWidth="1"/>
    <col min="9219" max="9472" width="9.140625" style="734"/>
    <col min="9473" max="9473" width="22.7109375" style="734" bestFit="1" customWidth="1"/>
    <col min="9474" max="9474" width="10.28515625" style="734" bestFit="1" customWidth="1"/>
    <col min="9475" max="9728" width="9.140625" style="734"/>
    <col min="9729" max="9729" width="22.7109375" style="734" bestFit="1" customWidth="1"/>
    <col min="9730" max="9730" width="10.28515625" style="734" bestFit="1" customWidth="1"/>
    <col min="9731" max="9984" width="9.140625" style="734"/>
    <col min="9985" max="9985" width="22.7109375" style="734" bestFit="1" customWidth="1"/>
    <col min="9986" max="9986" width="10.28515625" style="734" bestFit="1" customWidth="1"/>
    <col min="9987" max="10240" width="9.140625" style="734"/>
    <col min="10241" max="10241" width="22.7109375" style="734" bestFit="1" customWidth="1"/>
    <col min="10242" max="10242" width="10.28515625" style="734" bestFit="1" customWidth="1"/>
    <col min="10243" max="10496" width="9.140625" style="734"/>
    <col min="10497" max="10497" width="22.7109375" style="734" bestFit="1" customWidth="1"/>
    <col min="10498" max="10498" width="10.28515625" style="734" bestFit="1" customWidth="1"/>
    <col min="10499" max="10752" width="9.140625" style="734"/>
    <col min="10753" max="10753" width="22.7109375" style="734" bestFit="1" customWidth="1"/>
    <col min="10754" max="10754" width="10.28515625" style="734" bestFit="1" customWidth="1"/>
    <col min="10755" max="11008" width="9.140625" style="734"/>
    <col min="11009" max="11009" width="22.7109375" style="734" bestFit="1" customWidth="1"/>
    <col min="11010" max="11010" width="10.28515625" style="734" bestFit="1" customWidth="1"/>
    <col min="11011" max="11264" width="9.140625" style="734"/>
    <col min="11265" max="11265" width="22.7109375" style="734" bestFit="1" customWidth="1"/>
    <col min="11266" max="11266" width="10.28515625" style="734" bestFit="1" customWidth="1"/>
    <col min="11267" max="11520" width="9.140625" style="734"/>
    <col min="11521" max="11521" width="22.7109375" style="734" bestFit="1" customWidth="1"/>
    <col min="11522" max="11522" width="10.28515625" style="734" bestFit="1" customWidth="1"/>
    <col min="11523" max="11776" width="9.140625" style="734"/>
    <col min="11777" max="11777" width="22.7109375" style="734" bestFit="1" customWidth="1"/>
    <col min="11778" max="11778" width="10.28515625" style="734" bestFit="1" customWidth="1"/>
    <col min="11779" max="12032" width="9.140625" style="734"/>
    <col min="12033" max="12033" width="22.7109375" style="734" bestFit="1" customWidth="1"/>
    <col min="12034" max="12034" width="10.28515625" style="734" bestFit="1" customWidth="1"/>
    <col min="12035" max="12288" width="9.140625" style="734"/>
    <col min="12289" max="12289" width="22.7109375" style="734" bestFit="1" customWidth="1"/>
    <col min="12290" max="12290" width="10.28515625" style="734" bestFit="1" customWidth="1"/>
    <col min="12291" max="12544" width="9.140625" style="734"/>
    <col min="12545" max="12545" width="22.7109375" style="734" bestFit="1" customWidth="1"/>
    <col min="12546" max="12546" width="10.28515625" style="734" bestFit="1" customWidth="1"/>
    <col min="12547" max="12800" width="9.140625" style="734"/>
    <col min="12801" max="12801" width="22.7109375" style="734" bestFit="1" customWidth="1"/>
    <col min="12802" max="12802" width="10.28515625" style="734" bestFit="1" customWidth="1"/>
    <col min="12803" max="13056" width="9.140625" style="734"/>
    <col min="13057" max="13057" width="22.7109375" style="734" bestFit="1" customWidth="1"/>
    <col min="13058" max="13058" width="10.28515625" style="734" bestFit="1" customWidth="1"/>
    <col min="13059" max="13312" width="9.140625" style="734"/>
    <col min="13313" max="13313" width="22.7109375" style="734" bestFit="1" customWidth="1"/>
    <col min="13314" max="13314" width="10.28515625" style="734" bestFit="1" customWidth="1"/>
    <col min="13315" max="13568" width="9.140625" style="734"/>
    <col min="13569" max="13569" width="22.7109375" style="734" bestFit="1" customWidth="1"/>
    <col min="13570" max="13570" width="10.28515625" style="734" bestFit="1" customWidth="1"/>
    <col min="13571" max="13824" width="9.140625" style="734"/>
    <col min="13825" max="13825" width="22.7109375" style="734" bestFit="1" customWidth="1"/>
    <col min="13826" max="13826" width="10.28515625" style="734" bestFit="1" customWidth="1"/>
    <col min="13827" max="14080" width="9.140625" style="734"/>
    <col min="14081" max="14081" width="22.7109375" style="734" bestFit="1" customWidth="1"/>
    <col min="14082" max="14082" width="10.28515625" style="734" bestFit="1" customWidth="1"/>
    <col min="14083" max="14336" width="9.140625" style="734"/>
    <col min="14337" max="14337" width="22.7109375" style="734" bestFit="1" customWidth="1"/>
    <col min="14338" max="14338" width="10.28515625" style="734" bestFit="1" customWidth="1"/>
    <col min="14339" max="14592" width="9.140625" style="734"/>
    <col min="14593" max="14593" width="22.7109375" style="734" bestFit="1" customWidth="1"/>
    <col min="14594" max="14594" width="10.28515625" style="734" bestFit="1" customWidth="1"/>
    <col min="14595" max="14848" width="9.140625" style="734"/>
    <col min="14849" max="14849" width="22.7109375" style="734" bestFit="1" customWidth="1"/>
    <col min="14850" max="14850" width="10.28515625" style="734" bestFit="1" customWidth="1"/>
    <col min="14851" max="15104" width="9.140625" style="734"/>
    <col min="15105" max="15105" width="22.7109375" style="734" bestFit="1" customWidth="1"/>
    <col min="15106" max="15106" width="10.28515625" style="734" bestFit="1" customWidth="1"/>
    <col min="15107" max="15360" width="9.140625" style="734"/>
    <col min="15361" max="15361" width="22.7109375" style="734" bestFit="1" customWidth="1"/>
    <col min="15362" max="15362" width="10.28515625" style="734" bestFit="1" customWidth="1"/>
    <col min="15363" max="15616" width="9.140625" style="734"/>
    <col min="15617" max="15617" width="22.7109375" style="734" bestFit="1" customWidth="1"/>
    <col min="15618" max="15618" width="10.28515625" style="734" bestFit="1" customWidth="1"/>
    <col min="15619" max="15872" width="9.140625" style="734"/>
    <col min="15873" max="15873" width="22.7109375" style="734" bestFit="1" customWidth="1"/>
    <col min="15874" max="15874" width="10.28515625" style="734" bestFit="1" customWidth="1"/>
    <col min="15875" max="16128" width="9.140625" style="734"/>
    <col min="16129" max="16129" width="22.7109375" style="734" bestFit="1" customWidth="1"/>
    <col min="16130" max="16130" width="10.28515625" style="734" bestFit="1" customWidth="1"/>
    <col min="16131" max="16384" width="9.140625" style="734"/>
  </cols>
  <sheetData>
    <row r="1" spans="1:4" ht="45" customHeight="1" x14ac:dyDescent="0.25">
      <c r="A1" s="1394" t="s">
        <v>1108</v>
      </c>
      <c r="B1" s="1394"/>
      <c r="C1" s="1394"/>
      <c r="D1" s="1394"/>
    </row>
    <row r="2" spans="1:4" x14ac:dyDescent="0.25">
      <c r="A2" s="745"/>
      <c r="B2" s="748"/>
      <c r="C2" s="745"/>
      <c r="D2" s="748"/>
    </row>
    <row r="3" spans="1:4" x14ac:dyDescent="0.25">
      <c r="A3" s="766" t="s">
        <v>710</v>
      </c>
      <c r="B3" s="767" t="s">
        <v>7</v>
      </c>
      <c r="C3" s="768" t="s">
        <v>711</v>
      </c>
      <c r="D3" s="767" t="s">
        <v>712</v>
      </c>
    </row>
    <row r="4" spans="1:4" s="774" customFormat="1" x14ac:dyDescent="0.25">
      <c r="A4" s="734" t="s">
        <v>266</v>
      </c>
      <c r="B4" s="747">
        <v>7498.8117400000001</v>
      </c>
      <c r="C4" s="753">
        <v>552</v>
      </c>
      <c r="D4" s="771">
        <f>B4/$B$19*100</f>
        <v>3.107517103919359</v>
      </c>
    </row>
    <row r="5" spans="1:4" s="774" customFormat="1" x14ac:dyDescent="0.25">
      <c r="A5" s="734" t="s">
        <v>267</v>
      </c>
      <c r="B5" s="747">
        <v>1566.94605</v>
      </c>
      <c r="C5" s="753">
        <v>242</v>
      </c>
      <c r="D5" s="771">
        <f t="shared" ref="D5:D18" si="0">B5/$B$19*100</f>
        <v>0.64934443217451399</v>
      </c>
    </row>
    <row r="6" spans="1:4" s="774" customFormat="1" x14ac:dyDescent="0.25">
      <c r="A6" s="734" t="s">
        <v>268</v>
      </c>
      <c r="B6" s="747">
        <v>497.53348999999997</v>
      </c>
      <c r="C6" s="753">
        <v>102</v>
      </c>
      <c r="D6" s="771">
        <f t="shared" si="0"/>
        <v>0.20617850981650213</v>
      </c>
    </row>
    <row r="7" spans="1:4" s="774" customFormat="1" x14ac:dyDescent="0.25">
      <c r="A7" s="734" t="s">
        <v>269</v>
      </c>
      <c r="B7" s="747">
        <v>846.46264999999994</v>
      </c>
      <c r="C7" s="753">
        <v>72</v>
      </c>
      <c r="D7" s="771">
        <f t="shared" si="0"/>
        <v>0.35077519664520951</v>
      </c>
    </row>
    <row r="8" spans="1:4" s="774" customFormat="1" x14ac:dyDescent="0.25">
      <c r="A8" s="734" t="s">
        <v>270</v>
      </c>
      <c r="B8" s="747">
        <v>522.53599999999994</v>
      </c>
      <c r="C8" s="753">
        <v>79</v>
      </c>
      <c r="D8" s="771">
        <f t="shared" si="0"/>
        <v>0.21653958169826062</v>
      </c>
    </row>
    <row r="9" spans="1:4" s="774" customFormat="1" x14ac:dyDescent="0.25">
      <c r="A9" s="734" t="s">
        <v>271</v>
      </c>
      <c r="B9" s="747">
        <v>1782.4028899999996</v>
      </c>
      <c r="C9" s="753">
        <v>265</v>
      </c>
      <c r="D9" s="771">
        <f t="shared" si="0"/>
        <v>0.73863002016774115</v>
      </c>
    </row>
    <row r="10" spans="1:4" s="774" customFormat="1" x14ac:dyDescent="0.25">
      <c r="A10" s="734" t="s">
        <v>272</v>
      </c>
      <c r="B10" s="747">
        <v>2059.4799800000001</v>
      </c>
      <c r="C10" s="753">
        <v>178</v>
      </c>
      <c r="D10" s="771">
        <f t="shared" si="0"/>
        <v>0.8534511179806602</v>
      </c>
    </row>
    <row r="11" spans="1:4" x14ac:dyDescent="0.25">
      <c r="A11" s="734" t="s">
        <v>273</v>
      </c>
      <c r="B11" s="747">
        <v>1372.9424399999998</v>
      </c>
      <c r="C11" s="753">
        <v>55</v>
      </c>
      <c r="D11" s="771">
        <f t="shared" si="0"/>
        <v>0.56894908992564963</v>
      </c>
    </row>
    <row r="12" spans="1:4" x14ac:dyDescent="0.25">
      <c r="A12" s="734" t="s">
        <v>274</v>
      </c>
      <c r="B12" s="747">
        <v>89.89</v>
      </c>
      <c r="C12" s="753">
        <v>19</v>
      </c>
      <c r="D12" s="771">
        <f t="shared" si="0"/>
        <v>3.7250530104828476E-2</v>
      </c>
    </row>
    <row r="13" spans="1:4" x14ac:dyDescent="0.25">
      <c r="A13" s="734" t="s">
        <v>275</v>
      </c>
      <c r="B13" s="747">
        <v>1164.42624</v>
      </c>
      <c r="C13" s="753">
        <v>106</v>
      </c>
      <c r="D13" s="771">
        <f t="shared" si="0"/>
        <v>0.48253971195875206</v>
      </c>
    </row>
    <row r="14" spans="1:4" x14ac:dyDescent="0.25">
      <c r="A14" s="734" t="s">
        <v>276</v>
      </c>
      <c r="B14" s="747">
        <v>439.45549999999997</v>
      </c>
      <c r="C14" s="753">
        <v>78</v>
      </c>
      <c r="D14" s="771">
        <f t="shared" si="0"/>
        <v>0.18211091703729501</v>
      </c>
    </row>
    <row r="15" spans="1:4" x14ac:dyDescent="0.25">
      <c r="A15" s="734" t="s">
        <v>277</v>
      </c>
      <c r="B15" s="747">
        <v>1065.7381400000002</v>
      </c>
      <c r="C15" s="753">
        <v>173</v>
      </c>
      <c r="D15" s="771">
        <f t="shared" si="0"/>
        <v>0.441643238045766</v>
      </c>
    </row>
    <row r="16" spans="1:4" x14ac:dyDescent="0.25">
      <c r="A16" s="734" t="s">
        <v>260</v>
      </c>
      <c r="B16" s="747">
        <v>182991.84514000005</v>
      </c>
      <c r="C16" s="753">
        <v>1078</v>
      </c>
      <c r="D16" s="771">
        <f t="shared" si="0"/>
        <v>75.832052912734255</v>
      </c>
    </row>
    <row r="17" spans="1:4" x14ac:dyDescent="0.25">
      <c r="A17" s="734" t="s">
        <v>259</v>
      </c>
      <c r="B17" s="747">
        <v>34068.712740000003</v>
      </c>
      <c r="C17" s="753">
        <v>744</v>
      </c>
      <c r="D17" s="771">
        <f t="shared" si="0"/>
        <v>14.118117805697223</v>
      </c>
    </row>
    <row r="18" spans="1:4" x14ac:dyDescent="0.25">
      <c r="A18" s="734" t="s">
        <v>278</v>
      </c>
      <c r="B18" s="747">
        <v>5344.8191299999999</v>
      </c>
      <c r="C18" s="753">
        <v>352</v>
      </c>
      <c r="D18" s="771">
        <f t="shared" si="0"/>
        <v>2.214899832093983</v>
      </c>
    </row>
    <row r="19" spans="1:4" x14ac:dyDescent="0.25">
      <c r="A19" s="766" t="s">
        <v>29</v>
      </c>
      <c r="B19" s="772">
        <f>SUM(B4:B18)</f>
        <v>241312.00213000007</v>
      </c>
      <c r="C19" s="773">
        <f>SUM(C11:C18)</f>
        <v>2605</v>
      </c>
      <c r="D19" s="772">
        <f>SUM(D4:D18)</f>
        <v>100</v>
      </c>
    </row>
  </sheetData>
  <sheetProtection password="9C8D" sheet="1" objects="1" scenarios="1"/>
  <mergeCells count="1">
    <mergeCell ref="A1:D1"/>
  </mergeCells>
  <pageMargins left="0.511811024" right="0.511811024" top="0.78740157499999996" bottom="0.78740157499999996" header="0.31496062000000002" footer="0.3149606200000000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indowProtection="1" workbookViewId="0">
      <selection activeCell="A17" sqref="A17"/>
    </sheetView>
  </sheetViews>
  <sheetFormatPr defaultRowHeight="15" x14ac:dyDescent="0.25"/>
  <cols>
    <col min="1" max="1" width="23.42578125" style="602" customWidth="1"/>
    <col min="2" max="2" width="10.28515625" style="602" bestFit="1" customWidth="1"/>
    <col min="3" max="256" width="9.140625" style="602"/>
    <col min="257" max="257" width="23.42578125" style="602" customWidth="1"/>
    <col min="258" max="258" width="10.28515625" style="602" bestFit="1" customWidth="1"/>
    <col min="259" max="512" width="9.140625" style="602"/>
    <col min="513" max="513" width="23.42578125" style="602" customWidth="1"/>
    <col min="514" max="514" width="10.28515625" style="602" bestFit="1" customWidth="1"/>
    <col min="515" max="768" width="9.140625" style="602"/>
    <col min="769" max="769" width="23.42578125" style="602" customWidth="1"/>
    <col min="770" max="770" width="10.28515625" style="602" bestFit="1" customWidth="1"/>
    <col min="771" max="1024" width="9.140625" style="602"/>
    <col min="1025" max="1025" width="23.42578125" style="602" customWidth="1"/>
    <col min="1026" max="1026" width="10.28515625" style="602" bestFit="1" customWidth="1"/>
    <col min="1027" max="1280" width="9.140625" style="602"/>
    <col min="1281" max="1281" width="23.42578125" style="602" customWidth="1"/>
    <col min="1282" max="1282" width="10.28515625" style="602" bestFit="1" customWidth="1"/>
    <col min="1283" max="1536" width="9.140625" style="602"/>
    <col min="1537" max="1537" width="23.42578125" style="602" customWidth="1"/>
    <col min="1538" max="1538" width="10.28515625" style="602" bestFit="1" customWidth="1"/>
    <col min="1539" max="1792" width="9.140625" style="602"/>
    <col min="1793" max="1793" width="23.42578125" style="602" customWidth="1"/>
    <col min="1794" max="1794" width="10.28515625" style="602" bestFit="1" customWidth="1"/>
    <col min="1795" max="2048" width="9.140625" style="602"/>
    <col min="2049" max="2049" width="23.42578125" style="602" customWidth="1"/>
    <col min="2050" max="2050" width="10.28515625" style="602" bestFit="1" customWidth="1"/>
    <col min="2051" max="2304" width="9.140625" style="602"/>
    <col min="2305" max="2305" width="23.42578125" style="602" customWidth="1"/>
    <col min="2306" max="2306" width="10.28515625" style="602" bestFit="1" customWidth="1"/>
    <col min="2307" max="2560" width="9.140625" style="602"/>
    <col min="2561" max="2561" width="23.42578125" style="602" customWidth="1"/>
    <col min="2562" max="2562" width="10.28515625" style="602" bestFit="1" customWidth="1"/>
    <col min="2563" max="2816" width="9.140625" style="602"/>
    <col min="2817" max="2817" width="23.42578125" style="602" customWidth="1"/>
    <col min="2818" max="2818" width="10.28515625" style="602" bestFit="1" customWidth="1"/>
    <col min="2819" max="3072" width="9.140625" style="602"/>
    <col min="3073" max="3073" width="23.42578125" style="602" customWidth="1"/>
    <col min="3074" max="3074" width="10.28515625" style="602" bestFit="1" customWidth="1"/>
    <col min="3075" max="3328" width="9.140625" style="602"/>
    <col min="3329" max="3329" width="23.42578125" style="602" customWidth="1"/>
    <col min="3330" max="3330" width="10.28515625" style="602" bestFit="1" customWidth="1"/>
    <col min="3331" max="3584" width="9.140625" style="602"/>
    <col min="3585" max="3585" width="23.42578125" style="602" customWidth="1"/>
    <col min="3586" max="3586" width="10.28515625" style="602" bestFit="1" customWidth="1"/>
    <col min="3587" max="3840" width="9.140625" style="602"/>
    <col min="3841" max="3841" width="23.42578125" style="602" customWidth="1"/>
    <col min="3842" max="3842" width="10.28515625" style="602" bestFit="1" customWidth="1"/>
    <col min="3843" max="4096" width="9.140625" style="602"/>
    <col min="4097" max="4097" width="23.42578125" style="602" customWidth="1"/>
    <col min="4098" max="4098" width="10.28515625" style="602" bestFit="1" customWidth="1"/>
    <col min="4099" max="4352" width="9.140625" style="602"/>
    <col min="4353" max="4353" width="23.42578125" style="602" customWidth="1"/>
    <col min="4354" max="4354" width="10.28515625" style="602" bestFit="1" customWidth="1"/>
    <col min="4355" max="4608" width="9.140625" style="602"/>
    <col min="4609" max="4609" width="23.42578125" style="602" customWidth="1"/>
    <col min="4610" max="4610" width="10.28515625" style="602" bestFit="1" customWidth="1"/>
    <col min="4611" max="4864" width="9.140625" style="602"/>
    <col min="4865" max="4865" width="23.42578125" style="602" customWidth="1"/>
    <col min="4866" max="4866" width="10.28515625" style="602" bestFit="1" customWidth="1"/>
    <col min="4867" max="5120" width="9.140625" style="602"/>
    <col min="5121" max="5121" width="23.42578125" style="602" customWidth="1"/>
    <col min="5122" max="5122" width="10.28515625" style="602" bestFit="1" customWidth="1"/>
    <col min="5123" max="5376" width="9.140625" style="602"/>
    <col min="5377" max="5377" width="23.42578125" style="602" customWidth="1"/>
    <col min="5378" max="5378" width="10.28515625" style="602" bestFit="1" customWidth="1"/>
    <col min="5379" max="5632" width="9.140625" style="602"/>
    <col min="5633" max="5633" width="23.42578125" style="602" customWidth="1"/>
    <col min="5634" max="5634" width="10.28515625" style="602" bestFit="1" customWidth="1"/>
    <col min="5635" max="5888" width="9.140625" style="602"/>
    <col min="5889" max="5889" width="23.42578125" style="602" customWidth="1"/>
    <col min="5890" max="5890" width="10.28515625" style="602" bestFit="1" customWidth="1"/>
    <col min="5891" max="6144" width="9.140625" style="602"/>
    <col min="6145" max="6145" width="23.42578125" style="602" customWidth="1"/>
    <col min="6146" max="6146" width="10.28515625" style="602" bestFit="1" customWidth="1"/>
    <col min="6147" max="6400" width="9.140625" style="602"/>
    <col min="6401" max="6401" width="23.42578125" style="602" customWidth="1"/>
    <col min="6402" max="6402" width="10.28515625" style="602" bestFit="1" customWidth="1"/>
    <col min="6403" max="6656" width="9.140625" style="602"/>
    <col min="6657" max="6657" width="23.42578125" style="602" customWidth="1"/>
    <col min="6658" max="6658" width="10.28515625" style="602" bestFit="1" customWidth="1"/>
    <col min="6659" max="6912" width="9.140625" style="602"/>
    <col min="6913" max="6913" width="23.42578125" style="602" customWidth="1"/>
    <col min="6914" max="6914" width="10.28515625" style="602" bestFit="1" customWidth="1"/>
    <col min="6915" max="7168" width="9.140625" style="602"/>
    <col min="7169" max="7169" width="23.42578125" style="602" customWidth="1"/>
    <col min="7170" max="7170" width="10.28515625" style="602" bestFit="1" customWidth="1"/>
    <col min="7171" max="7424" width="9.140625" style="602"/>
    <col min="7425" max="7425" width="23.42578125" style="602" customWidth="1"/>
    <col min="7426" max="7426" width="10.28515625" style="602" bestFit="1" customWidth="1"/>
    <col min="7427" max="7680" width="9.140625" style="602"/>
    <col min="7681" max="7681" width="23.42578125" style="602" customWidth="1"/>
    <col min="7682" max="7682" width="10.28515625" style="602" bestFit="1" customWidth="1"/>
    <col min="7683" max="7936" width="9.140625" style="602"/>
    <col min="7937" max="7937" width="23.42578125" style="602" customWidth="1"/>
    <col min="7938" max="7938" width="10.28515625" style="602" bestFit="1" customWidth="1"/>
    <col min="7939" max="8192" width="9.140625" style="602"/>
    <col min="8193" max="8193" width="23.42578125" style="602" customWidth="1"/>
    <col min="8194" max="8194" width="10.28515625" style="602" bestFit="1" customWidth="1"/>
    <col min="8195" max="8448" width="9.140625" style="602"/>
    <col min="8449" max="8449" width="23.42578125" style="602" customWidth="1"/>
    <col min="8450" max="8450" width="10.28515625" style="602" bestFit="1" customWidth="1"/>
    <col min="8451" max="8704" width="9.140625" style="602"/>
    <col min="8705" max="8705" width="23.42578125" style="602" customWidth="1"/>
    <col min="8706" max="8706" width="10.28515625" style="602" bestFit="1" customWidth="1"/>
    <col min="8707" max="8960" width="9.140625" style="602"/>
    <col min="8961" max="8961" width="23.42578125" style="602" customWidth="1"/>
    <col min="8962" max="8962" width="10.28515625" style="602" bestFit="1" customWidth="1"/>
    <col min="8963" max="9216" width="9.140625" style="602"/>
    <col min="9217" max="9217" width="23.42578125" style="602" customWidth="1"/>
    <col min="9218" max="9218" width="10.28515625" style="602" bestFit="1" customWidth="1"/>
    <col min="9219" max="9472" width="9.140625" style="602"/>
    <col min="9473" max="9473" width="23.42578125" style="602" customWidth="1"/>
    <col min="9474" max="9474" width="10.28515625" style="602" bestFit="1" customWidth="1"/>
    <col min="9475" max="9728" width="9.140625" style="602"/>
    <col min="9729" max="9729" width="23.42578125" style="602" customWidth="1"/>
    <col min="9730" max="9730" width="10.28515625" style="602" bestFit="1" customWidth="1"/>
    <col min="9731" max="9984" width="9.140625" style="602"/>
    <col min="9985" max="9985" width="23.42578125" style="602" customWidth="1"/>
    <col min="9986" max="9986" width="10.28515625" style="602" bestFit="1" customWidth="1"/>
    <col min="9987" max="10240" width="9.140625" style="602"/>
    <col min="10241" max="10241" width="23.42578125" style="602" customWidth="1"/>
    <col min="10242" max="10242" width="10.28515625" style="602" bestFit="1" customWidth="1"/>
    <col min="10243" max="10496" width="9.140625" style="602"/>
    <col min="10497" max="10497" width="23.42578125" style="602" customWidth="1"/>
    <col min="10498" max="10498" width="10.28515625" style="602" bestFit="1" customWidth="1"/>
    <col min="10499" max="10752" width="9.140625" style="602"/>
    <col min="10753" max="10753" width="23.42578125" style="602" customWidth="1"/>
    <col min="10754" max="10754" width="10.28515625" style="602" bestFit="1" customWidth="1"/>
    <col min="10755" max="11008" width="9.140625" style="602"/>
    <col min="11009" max="11009" width="23.42578125" style="602" customWidth="1"/>
    <col min="11010" max="11010" width="10.28515625" style="602" bestFit="1" customWidth="1"/>
    <col min="11011" max="11264" width="9.140625" style="602"/>
    <col min="11265" max="11265" width="23.42578125" style="602" customWidth="1"/>
    <col min="11266" max="11266" width="10.28515625" style="602" bestFit="1" customWidth="1"/>
    <col min="11267" max="11520" width="9.140625" style="602"/>
    <col min="11521" max="11521" width="23.42578125" style="602" customWidth="1"/>
    <col min="11522" max="11522" width="10.28515625" style="602" bestFit="1" customWidth="1"/>
    <col min="11523" max="11776" width="9.140625" style="602"/>
    <col min="11777" max="11777" width="23.42578125" style="602" customWidth="1"/>
    <col min="11778" max="11778" width="10.28515625" style="602" bestFit="1" customWidth="1"/>
    <col min="11779" max="12032" width="9.140625" style="602"/>
    <col min="12033" max="12033" width="23.42578125" style="602" customWidth="1"/>
    <col min="12034" max="12034" width="10.28515625" style="602" bestFit="1" customWidth="1"/>
    <col min="12035" max="12288" width="9.140625" style="602"/>
    <col min="12289" max="12289" width="23.42578125" style="602" customWidth="1"/>
    <col min="12290" max="12290" width="10.28515625" style="602" bestFit="1" customWidth="1"/>
    <col min="12291" max="12544" width="9.140625" style="602"/>
    <col min="12545" max="12545" width="23.42578125" style="602" customWidth="1"/>
    <col min="12546" max="12546" width="10.28515625" style="602" bestFit="1" customWidth="1"/>
    <col min="12547" max="12800" width="9.140625" style="602"/>
    <col min="12801" max="12801" width="23.42578125" style="602" customWidth="1"/>
    <col min="12802" max="12802" width="10.28515625" style="602" bestFit="1" customWidth="1"/>
    <col min="12803" max="13056" width="9.140625" style="602"/>
    <col min="13057" max="13057" width="23.42578125" style="602" customWidth="1"/>
    <col min="13058" max="13058" width="10.28515625" style="602" bestFit="1" customWidth="1"/>
    <col min="13059" max="13312" width="9.140625" style="602"/>
    <col min="13313" max="13313" width="23.42578125" style="602" customWidth="1"/>
    <col min="13314" max="13314" width="10.28515625" style="602" bestFit="1" customWidth="1"/>
    <col min="13315" max="13568" width="9.140625" style="602"/>
    <col min="13569" max="13569" width="23.42578125" style="602" customWidth="1"/>
    <col min="13570" max="13570" width="10.28515625" style="602" bestFit="1" customWidth="1"/>
    <col min="13571" max="13824" width="9.140625" style="602"/>
    <col min="13825" max="13825" width="23.42578125" style="602" customWidth="1"/>
    <col min="13826" max="13826" width="10.28515625" style="602" bestFit="1" customWidth="1"/>
    <col min="13827" max="14080" width="9.140625" style="602"/>
    <col min="14081" max="14081" width="23.42578125" style="602" customWidth="1"/>
    <col min="14082" max="14082" width="10.28515625" style="602" bestFit="1" customWidth="1"/>
    <col min="14083" max="14336" width="9.140625" style="602"/>
    <col min="14337" max="14337" width="23.42578125" style="602" customWidth="1"/>
    <col min="14338" max="14338" width="10.28515625" style="602" bestFit="1" customWidth="1"/>
    <col min="14339" max="14592" width="9.140625" style="602"/>
    <col min="14593" max="14593" width="23.42578125" style="602" customWidth="1"/>
    <col min="14594" max="14594" width="10.28515625" style="602" bestFit="1" customWidth="1"/>
    <col min="14595" max="14848" width="9.140625" style="602"/>
    <col min="14849" max="14849" width="23.42578125" style="602" customWidth="1"/>
    <col min="14850" max="14850" width="10.28515625" style="602" bestFit="1" customWidth="1"/>
    <col min="14851" max="15104" width="9.140625" style="602"/>
    <col min="15105" max="15105" width="23.42578125" style="602" customWidth="1"/>
    <col min="15106" max="15106" width="10.28515625" style="602" bestFit="1" customWidth="1"/>
    <col min="15107" max="15360" width="9.140625" style="602"/>
    <col min="15361" max="15361" width="23.42578125" style="602" customWidth="1"/>
    <col min="15362" max="15362" width="10.28515625" style="602" bestFit="1" customWidth="1"/>
    <col min="15363" max="15616" width="9.140625" style="602"/>
    <col min="15617" max="15617" width="23.42578125" style="602" customWidth="1"/>
    <col min="15618" max="15618" width="10.28515625" style="602" bestFit="1" customWidth="1"/>
    <col min="15619" max="15872" width="9.140625" style="602"/>
    <col min="15873" max="15873" width="23.42578125" style="602" customWidth="1"/>
    <col min="15874" max="15874" width="10.28515625" style="602" bestFit="1" customWidth="1"/>
    <col min="15875" max="16128" width="9.140625" style="602"/>
    <col min="16129" max="16129" width="23.42578125" style="602" customWidth="1"/>
    <col min="16130" max="16130" width="10.28515625" style="602" bestFit="1" customWidth="1"/>
    <col min="16131" max="16384" width="9.140625" style="602"/>
  </cols>
  <sheetData>
    <row r="1" spans="1:4" ht="43.5" customHeight="1" x14ac:dyDescent="0.25">
      <c r="A1" s="1395" t="s">
        <v>1109</v>
      </c>
      <c r="B1" s="1395"/>
      <c r="C1" s="1395"/>
      <c r="D1" s="1395"/>
    </row>
    <row r="2" spans="1:4" x14ac:dyDescent="0.25">
      <c r="A2" s="734"/>
      <c r="B2" s="754"/>
      <c r="C2" s="734"/>
      <c r="D2" s="754"/>
    </row>
    <row r="3" spans="1:4" x14ac:dyDescent="0.25">
      <c r="A3" s="766" t="s">
        <v>188</v>
      </c>
      <c r="B3" s="767" t="s">
        <v>7</v>
      </c>
      <c r="C3" s="768" t="s">
        <v>711</v>
      </c>
      <c r="D3" s="767" t="s">
        <v>712</v>
      </c>
    </row>
    <row r="4" spans="1:4" x14ac:dyDescent="0.25">
      <c r="A4" s="734" t="s">
        <v>242</v>
      </c>
      <c r="B4" s="754">
        <v>3888.0158000000001</v>
      </c>
      <c r="C4" s="775">
        <v>136</v>
      </c>
      <c r="D4" s="754">
        <f t="shared" ref="D4:D9" si="0">B4/$B$10*100</f>
        <v>1.6111986829007534</v>
      </c>
    </row>
    <row r="5" spans="1:4" x14ac:dyDescent="0.25">
      <c r="A5" s="734" t="s">
        <v>243</v>
      </c>
      <c r="B5" s="754">
        <v>396.55</v>
      </c>
      <c r="C5" s="776">
        <v>8</v>
      </c>
      <c r="D5" s="754">
        <f t="shared" si="0"/>
        <v>0.16433082337378715</v>
      </c>
    </row>
    <row r="6" spans="1:4" x14ac:dyDescent="0.25">
      <c r="A6" s="734" t="s">
        <v>244</v>
      </c>
      <c r="B6" s="754">
        <v>183890.8319800001</v>
      </c>
      <c r="C6" s="776">
        <v>514</v>
      </c>
      <c r="D6" s="754">
        <f t="shared" si="0"/>
        <v>76.204594200388769</v>
      </c>
    </row>
    <row r="7" spans="1:4" x14ac:dyDescent="0.25">
      <c r="A7" s="734" t="s">
        <v>245</v>
      </c>
      <c r="B7" s="754">
        <v>29137.847530000003</v>
      </c>
      <c r="C7" s="776">
        <v>91</v>
      </c>
      <c r="D7" s="754">
        <f t="shared" si="0"/>
        <v>12.074761003517263</v>
      </c>
    </row>
    <row r="8" spans="1:4" x14ac:dyDescent="0.25">
      <c r="A8" s="734" t="s">
        <v>246</v>
      </c>
      <c r="B8" s="754">
        <v>20867.69182</v>
      </c>
      <c r="C8" s="776">
        <v>3328</v>
      </c>
      <c r="D8" s="754">
        <f t="shared" si="0"/>
        <v>8.6475979792990625</v>
      </c>
    </row>
    <row r="9" spans="1:4" x14ac:dyDescent="0.25">
      <c r="A9" s="734" t="s">
        <v>143</v>
      </c>
      <c r="B9" s="754">
        <v>3131.0650000000005</v>
      </c>
      <c r="C9" s="776">
        <v>18</v>
      </c>
      <c r="D9" s="754">
        <f t="shared" si="0"/>
        <v>1.2975173105203555</v>
      </c>
    </row>
    <row r="10" spans="1:4" x14ac:dyDescent="0.25">
      <c r="A10" s="766" t="s">
        <v>29</v>
      </c>
      <c r="B10" s="772">
        <f>SUM(B4:B9)</f>
        <v>241312.00213000012</v>
      </c>
      <c r="C10" s="773">
        <f>SUM(C2:C9)</f>
        <v>4095</v>
      </c>
      <c r="D10" s="772">
        <f>SUM(D2:D9)</f>
        <v>100</v>
      </c>
    </row>
  </sheetData>
  <sheetProtection password="9C8D" sheet="1" objects="1" scenarios="1"/>
  <mergeCells count="1">
    <mergeCell ref="A1:D1"/>
  </mergeCells>
  <pageMargins left="0.511811024" right="0.511811024" top="0.78740157499999996" bottom="0.78740157499999996" header="0.31496062000000002" footer="0.3149606200000000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indowProtection="1" showGridLines="0" workbookViewId="0">
      <selection activeCell="E24" sqref="E24"/>
    </sheetView>
  </sheetViews>
  <sheetFormatPr defaultRowHeight="15" x14ac:dyDescent="0.3"/>
  <cols>
    <col min="1" max="1" width="24.140625" style="1005" customWidth="1"/>
    <col min="2" max="2" width="17.7109375" style="1005" bestFit="1" customWidth="1"/>
    <col min="3" max="3" width="17.7109375" style="1005" customWidth="1"/>
    <col min="4" max="4" width="16.28515625" style="1005" customWidth="1"/>
    <col min="5" max="6" width="15" style="1005" customWidth="1"/>
    <col min="7" max="7" width="14" style="1005" bestFit="1" customWidth="1"/>
    <col min="8" max="16384" width="9.140625" style="1005"/>
  </cols>
  <sheetData>
    <row r="1" spans="1:8" ht="20.100000000000001" customHeight="1" x14ac:dyDescent="0.3">
      <c r="A1" s="1193" t="s">
        <v>198</v>
      </c>
      <c r="B1" s="1193"/>
      <c r="C1" s="1193"/>
      <c r="D1" s="1193"/>
      <c r="E1" s="1193"/>
      <c r="F1" s="1193"/>
      <c r="G1" s="1051"/>
    </row>
    <row r="2" spans="1:8" ht="20.100000000000001" customHeight="1" x14ac:dyDescent="0.3">
      <c r="A2" s="1397" t="s">
        <v>1110</v>
      </c>
      <c r="B2" s="1397"/>
      <c r="C2" s="1397"/>
      <c r="D2" s="1397"/>
      <c r="E2" s="1397"/>
      <c r="F2" s="1397"/>
    </row>
    <row r="3" spans="1:8" ht="20.100000000000001" customHeight="1" x14ac:dyDescent="0.3">
      <c r="A3" s="1195" t="str">
        <f>+[2]Dados!A14</f>
        <v>Posição: 31.12.2015</v>
      </c>
      <c r="B3" s="1195"/>
      <c r="C3" s="1195"/>
      <c r="D3" s="1195"/>
      <c r="E3" s="1195"/>
      <c r="F3" s="1195"/>
      <c r="G3" s="1051"/>
    </row>
    <row r="4" spans="1:8" x14ac:dyDescent="0.3">
      <c r="A4" s="1007"/>
      <c r="B4" s="1094"/>
      <c r="C4" s="1007"/>
      <c r="D4" s="1007"/>
      <c r="E4" s="1007"/>
      <c r="F4" s="1007"/>
      <c r="G4" s="1051"/>
    </row>
    <row r="5" spans="1:8" x14ac:dyDescent="0.3">
      <c r="A5" s="1197" t="s">
        <v>1</v>
      </c>
      <c r="B5" s="1197"/>
      <c r="C5" s="1197"/>
      <c r="D5" s="1197"/>
      <c r="E5" s="1197"/>
      <c r="F5" s="1197"/>
      <c r="G5" s="1051"/>
    </row>
    <row r="6" spans="1:8" ht="49.5" customHeight="1" x14ac:dyDescent="0.3">
      <c r="A6" s="1095" t="s">
        <v>216</v>
      </c>
      <c r="B6" s="1095" t="s">
        <v>1111</v>
      </c>
      <c r="C6" s="1095" t="s">
        <v>747</v>
      </c>
      <c r="D6" s="1095" t="s">
        <v>748</v>
      </c>
      <c r="E6" s="1095" t="s">
        <v>749</v>
      </c>
      <c r="F6" s="1095" t="s">
        <v>1112</v>
      </c>
      <c r="G6" s="1051"/>
    </row>
    <row r="7" spans="1:8" ht="18" customHeight="1" x14ac:dyDescent="0.3">
      <c r="A7" s="1096" t="s">
        <v>551</v>
      </c>
      <c r="B7" s="1097">
        <v>212923</v>
      </c>
      <c r="C7" s="1098">
        <f t="shared" ref="C7:C12" si="0">ROUND(B7/$B$13*100,1)</f>
        <v>0.4</v>
      </c>
      <c r="D7" s="1097">
        <v>35129</v>
      </c>
      <c r="E7" s="1099">
        <f>ROUND(D7/$B$13*100,1)</f>
        <v>0.1</v>
      </c>
      <c r="F7" s="1099">
        <f t="shared" ref="F7:F12" si="1">ROUND(D7/B7*100,1)</f>
        <v>16.5</v>
      </c>
      <c r="G7" s="1051"/>
      <c r="H7" s="1046"/>
    </row>
    <row r="8" spans="1:8" ht="18" customHeight="1" x14ac:dyDescent="0.3">
      <c r="A8" s="1096" t="s">
        <v>761</v>
      </c>
      <c r="B8" s="1097">
        <v>11108598</v>
      </c>
      <c r="C8" s="1099">
        <f t="shared" si="0"/>
        <v>23.2</v>
      </c>
      <c r="D8" s="1097">
        <v>537092</v>
      </c>
      <c r="E8" s="1099">
        <f>ROUND(D8/$B$13*100,1)</f>
        <v>1.1000000000000001</v>
      </c>
      <c r="F8" s="1099">
        <f t="shared" si="1"/>
        <v>4.8</v>
      </c>
      <c r="G8" s="1051"/>
      <c r="H8" s="1046"/>
    </row>
    <row r="9" spans="1:8" ht="18" customHeight="1" x14ac:dyDescent="0.3">
      <c r="A9" s="1096" t="s">
        <v>150</v>
      </c>
      <c r="B9" s="1097">
        <v>6874051</v>
      </c>
      <c r="C9" s="1099">
        <f t="shared" si="0"/>
        <v>14.4</v>
      </c>
      <c r="D9" s="1097">
        <v>353849</v>
      </c>
      <c r="E9" s="1099">
        <f>ROUND(D9/$B$13*100,1)</f>
        <v>0.7</v>
      </c>
      <c r="F9" s="1099">
        <f t="shared" si="1"/>
        <v>5.0999999999999996</v>
      </c>
      <c r="G9" s="1051"/>
      <c r="H9" s="1046"/>
    </row>
    <row r="10" spans="1:8" ht="18" customHeight="1" x14ac:dyDescent="0.3">
      <c r="A10" s="1096" t="s">
        <v>762</v>
      </c>
      <c r="B10" s="1097">
        <v>2223842</v>
      </c>
      <c r="C10" s="1099">
        <f t="shared" si="0"/>
        <v>4.5999999999999996</v>
      </c>
      <c r="D10" s="1097">
        <v>67795</v>
      </c>
      <c r="E10" s="1099">
        <f>ROUND(D10/$B$13*100,1)+0.05</f>
        <v>0.15000000000000002</v>
      </c>
      <c r="F10" s="1099">
        <f t="shared" si="1"/>
        <v>3</v>
      </c>
      <c r="G10" s="1051"/>
      <c r="H10" s="1046"/>
    </row>
    <row r="11" spans="1:8" ht="18" customHeight="1" x14ac:dyDescent="0.3">
      <c r="A11" s="1096" t="s">
        <v>152</v>
      </c>
      <c r="B11" s="1097">
        <f>6750640-523</f>
        <v>6750117</v>
      </c>
      <c r="C11" s="1099">
        <f t="shared" si="0"/>
        <v>14.1</v>
      </c>
      <c r="D11" s="1097">
        <f>282585-523</f>
        <v>282062</v>
      </c>
      <c r="E11" s="1099">
        <f>ROUND(D11/$B$13*100,1)</f>
        <v>0.6</v>
      </c>
      <c r="F11" s="1099">
        <f t="shared" si="1"/>
        <v>4.2</v>
      </c>
      <c r="G11" s="1051"/>
      <c r="H11" s="1046"/>
    </row>
    <row r="12" spans="1:8" ht="18" customHeight="1" x14ac:dyDescent="0.3">
      <c r="A12" s="1100" t="s">
        <v>153</v>
      </c>
      <c r="B12" s="1097">
        <f>20691945</f>
        <v>20691945</v>
      </c>
      <c r="C12" s="1099">
        <f t="shared" si="0"/>
        <v>43.2</v>
      </c>
      <c r="D12" s="1097">
        <f>337680</f>
        <v>337680</v>
      </c>
      <c r="E12" s="1099">
        <f>ROUND(D12/$B$13*100,1)</f>
        <v>0.7</v>
      </c>
      <c r="F12" s="1099">
        <f t="shared" si="1"/>
        <v>1.6</v>
      </c>
      <c r="G12" s="1051"/>
      <c r="H12" s="1046"/>
    </row>
    <row r="13" spans="1:8" ht="26.25" customHeight="1" x14ac:dyDescent="0.3">
      <c r="A13" s="1101" t="s">
        <v>29</v>
      </c>
      <c r="B13" s="1102">
        <f>SUM(B7:B12)</f>
        <v>47861476</v>
      </c>
      <c r="C13" s="1103">
        <f>SUM(C7:C12)</f>
        <v>99.9</v>
      </c>
      <c r="D13" s="1102">
        <f>SUM(D7:D12)</f>
        <v>1613607</v>
      </c>
      <c r="E13" s="1103">
        <f>SUM(E7:E12)</f>
        <v>3.3500000000000005</v>
      </c>
      <c r="F13" s="1103">
        <f>ROUND(D13/B13*100,3)</f>
        <v>3.371</v>
      </c>
      <c r="G13" s="1051"/>
      <c r="H13" s="1046"/>
    </row>
    <row r="14" spans="1:8" x14ac:dyDescent="0.3">
      <c r="A14" s="1398" t="s">
        <v>751</v>
      </c>
      <c r="B14" s="1398"/>
      <c r="C14" s="1398"/>
      <c r="D14" s="1398"/>
      <c r="E14" s="1398"/>
      <c r="F14" s="1398"/>
    </row>
    <row r="15" spans="1:8" ht="42" customHeight="1" x14ac:dyDescent="0.3">
      <c r="A15" s="1396" t="s">
        <v>1113</v>
      </c>
      <c r="B15" s="1396"/>
      <c r="C15" s="1396"/>
      <c r="D15" s="1396"/>
      <c r="E15" s="1396"/>
      <c r="F15" s="1396"/>
    </row>
    <row r="16" spans="1:8" x14ac:dyDescent="0.3">
      <c r="B16" s="1051"/>
      <c r="C16" s="1104"/>
      <c r="D16" s="1016"/>
      <c r="E16" s="1105"/>
      <c r="F16" s="1104"/>
    </row>
    <row r="17" spans="2:4" x14ac:dyDescent="0.3">
      <c r="B17" s="1051"/>
      <c r="C17" s="1016"/>
      <c r="D17" s="1051"/>
    </row>
    <row r="18" spans="2:4" x14ac:dyDescent="0.3">
      <c r="B18" s="1051"/>
      <c r="C18" s="1016"/>
    </row>
    <row r="19" spans="2:4" x14ac:dyDescent="0.3">
      <c r="B19" s="1051"/>
      <c r="C19" s="1016"/>
    </row>
    <row r="20" spans="2:4" x14ac:dyDescent="0.3">
      <c r="B20" s="1051"/>
      <c r="C20" s="1016"/>
    </row>
    <row r="21" spans="2:4" x14ac:dyDescent="0.3">
      <c r="B21" s="1051"/>
      <c r="C21" s="1016"/>
    </row>
    <row r="22" spans="2:4" x14ac:dyDescent="0.3">
      <c r="B22" s="1046"/>
      <c r="C22" s="1016"/>
    </row>
    <row r="23" spans="2:4" x14ac:dyDescent="0.3">
      <c r="B23" s="1046"/>
    </row>
    <row r="24" spans="2:4" x14ac:dyDescent="0.3">
      <c r="B24" s="1046"/>
      <c r="C24" s="1016"/>
    </row>
  </sheetData>
  <sheetProtection password="9C8D" sheet="1" objects="1" scenarios="1"/>
  <mergeCells count="6">
    <mergeCell ref="A15:F15"/>
    <mergeCell ref="A1:F1"/>
    <mergeCell ref="A2:F2"/>
    <mergeCell ref="A3:F3"/>
    <mergeCell ref="A5:F5"/>
    <mergeCell ref="A14:F14"/>
  </mergeCells>
  <pageMargins left="0.78740157499999996" right="0.78740157499999996" top="0.984251969" bottom="0.984251969" header="0.49212598499999999" footer="0.49212598499999999"/>
  <pageSetup orientation="landscape" horizontalDpi="4294967293"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windowProtection="1" showGridLines="0" workbookViewId="0">
      <selection activeCell="A2" sqref="A2:F2"/>
    </sheetView>
  </sheetViews>
  <sheetFormatPr defaultRowHeight="15" x14ac:dyDescent="0.3"/>
  <cols>
    <col min="1" max="1" width="20.140625" style="1005" customWidth="1"/>
    <col min="2" max="2" width="21.28515625" style="1005" customWidth="1"/>
    <col min="3" max="3" width="22.28515625" style="1005" customWidth="1"/>
    <col min="4" max="4" width="16.28515625" style="1005" customWidth="1"/>
    <col min="5" max="5" width="15" style="1005" customWidth="1"/>
    <col min="6" max="6" width="19.7109375" style="1005" customWidth="1"/>
    <col min="7" max="7" width="9.28515625" style="1005" bestFit="1" customWidth="1"/>
    <col min="8" max="16384" width="9.140625" style="1005"/>
  </cols>
  <sheetData>
    <row r="1" spans="1:7" ht="20.100000000000001" customHeight="1" x14ac:dyDescent="0.3">
      <c r="A1" s="1193" t="s">
        <v>201</v>
      </c>
      <c r="B1" s="1193"/>
      <c r="C1" s="1193"/>
      <c r="D1" s="1193"/>
      <c r="E1" s="1193"/>
      <c r="F1" s="1193"/>
    </row>
    <row r="2" spans="1:7" ht="20.100000000000001" customHeight="1" x14ac:dyDescent="0.3">
      <c r="A2" s="1397" t="s">
        <v>1114</v>
      </c>
      <c r="B2" s="1397"/>
      <c r="C2" s="1397"/>
      <c r="D2" s="1397"/>
      <c r="E2" s="1397"/>
      <c r="F2" s="1397"/>
    </row>
    <row r="3" spans="1:7" ht="20.100000000000001" customHeight="1" x14ac:dyDescent="0.3">
      <c r="A3" s="1195" t="str">
        <f>+[2]Dados!A14</f>
        <v>Posição: 31.12.2015</v>
      </c>
      <c r="B3" s="1195"/>
      <c r="C3" s="1195"/>
      <c r="D3" s="1195"/>
      <c r="E3" s="1195"/>
      <c r="F3" s="1195"/>
    </row>
    <row r="4" spans="1:7" x14ac:dyDescent="0.3">
      <c r="A4" s="1007"/>
      <c r="B4" s="1094"/>
      <c r="C4" s="1007"/>
      <c r="D4" s="1007"/>
      <c r="E4" s="1007"/>
      <c r="F4" s="1007"/>
    </row>
    <row r="5" spans="1:7" x14ac:dyDescent="0.3">
      <c r="A5" s="1007"/>
      <c r="B5" s="1106"/>
      <c r="C5" s="1106"/>
      <c r="D5" s="1107"/>
      <c r="E5" s="1106"/>
      <c r="F5" s="1106" t="s">
        <v>1</v>
      </c>
    </row>
    <row r="6" spans="1:7" ht="49.5" customHeight="1" x14ac:dyDescent="0.3">
      <c r="A6" s="1108" t="s">
        <v>135</v>
      </c>
      <c r="B6" s="1024" t="s">
        <v>1111</v>
      </c>
      <c r="C6" s="1024" t="s">
        <v>747</v>
      </c>
      <c r="D6" s="1024" t="s">
        <v>748</v>
      </c>
      <c r="E6" s="1024" t="s">
        <v>749</v>
      </c>
      <c r="F6" s="1024" t="s">
        <v>1112</v>
      </c>
    </row>
    <row r="7" spans="1:7" ht="18" customHeight="1" x14ac:dyDescent="0.3">
      <c r="A7" s="1096" t="s">
        <v>138</v>
      </c>
      <c r="B7" s="1110">
        <f>19033831+197</f>
        <v>19034028</v>
      </c>
      <c r="C7" s="1109">
        <f t="shared" ref="C7:C12" si="0">ROUND(B7/$B$13*100,1)</f>
        <v>39.799999999999997</v>
      </c>
      <c r="D7" s="1110">
        <v>958548</v>
      </c>
      <c r="E7" s="1109">
        <f>ROUND(D7/$B$13*100,1)</f>
        <v>2</v>
      </c>
      <c r="F7" s="1109">
        <f t="shared" ref="F7:F13" si="1">ROUND(D7/B7*100,1)</f>
        <v>5</v>
      </c>
      <c r="G7" s="1021"/>
    </row>
    <row r="8" spans="1:7" ht="18" customHeight="1" x14ac:dyDescent="0.3">
      <c r="A8" s="1096" t="s">
        <v>139</v>
      </c>
      <c r="B8" s="1110">
        <f>993276-522</f>
        <v>992754</v>
      </c>
      <c r="C8" s="1109">
        <f t="shared" si="0"/>
        <v>2.1</v>
      </c>
      <c r="D8" s="1110">
        <f>79454-523</f>
        <v>78931</v>
      </c>
      <c r="E8" s="1109">
        <f>ROUND(D8/$B$13*100,1)</f>
        <v>0.2</v>
      </c>
      <c r="F8" s="1109">
        <f t="shared" si="1"/>
        <v>8</v>
      </c>
      <c r="G8" s="1111"/>
    </row>
    <row r="9" spans="1:7" ht="18" customHeight="1" x14ac:dyDescent="0.3">
      <c r="A9" s="1096" t="s">
        <v>302</v>
      </c>
      <c r="B9" s="1110">
        <f>12839366+242064</f>
        <v>13081430</v>
      </c>
      <c r="C9" s="1109">
        <f t="shared" si="0"/>
        <v>27.3</v>
      </c>
      <c r="D9" s="1110">
        <v>180837</v>
      </c>
      <c r="E9" s="1109">
        <f t="shared" ref="E9:E10" si="2">ROUND(D9/$B$13*100,3)</f>
        <v>0.378</v>
      </c>
      <c r="F9" s="1109">
        <f t="shared" si="1"/>
        <v>1.4</v>
      </c>
      <c r="G9" s="1112"/>
    </row>
    <row r="10" spans="1:7" ht="18" customHeight="1" x14ac:dyDescent="0.3">
      <c r="A10" s="1096" t="s">
        <v>141</v>
      </c>
      <c r="B10" s="1110">
        <v>4951147</v>
      </c>
      <c r="C10" s="1109">
        <f t="shared" si="0"/>
        <v>10.3</v>
      </c>
      <c r="D10" s="1110">
        <v>0</v>
      </c>
      <c r="E10" s="1113">
        <f t="shared" si="2"/>
        <v>0</v>
      </c>
      <c r="F10" s="1114">
        <f t="shared" si="1"/>
        <v>0</v>
      </c>
      <c r="G10" s="1111"/>
    </row>
    <row r="11" spans="1:7" ht="18" customHeight="1" x14ac:dyDescent="0.3">
      <c r="A11" s="1100" t="s">
        <v>191</v>
      </c>
      <c r="B11" s="1110">
        <f>9956313-242262</f>
        <v>9714051</v>
      </c>
      <c r="C11" s="1109">
        <f t="shared" si="0"/>
        <v>20.3</v>
      </c>
      <c r="D11" s="1110">
        <v>374369</v>
      </c>
      <c r="E11" s="1109">
        <f>ROUND(D11/$B$13*100,1)</f>
        <v>0.8</v>
      </c>
      <c r="F11" s="1109">
        <f t="shared" si="1"/>
        <v>3.9</v>
      </c>
      <c r="G11" s="1111"/>
    </row>
    <row r="12" spans="1:7" ht="18" customHeight="1" x14ac:dyDescent="0.3">
      <c r="A12" s="1100" t="s">
        <v>756</v>
      </c>
      <c r="B12" s="1115">
        <v>88066</v>
      </c>
      <c r="C12" s="1109">
        <f t="shared" si="0"/>
        <v>0.2</v>
      </c>
      <c r="D12" s="1110">
        <v>20922</v>
      </c>
      <c r="E12" s="1113">
        <f>ROUND(D12/$B$13*100,1)</f>
        <v>0</v>
      </c>
      <c r="F12" s="1109">
        <f t="shared" si="1"/>
        <v>23.8</v>
      </c>
      <c r="G12" s="1021"/>
    </row>
    <row r="13" spans="1:7" ht="26.25" customHeight="1" x14ac:dyDescent="0.3">
      <c r="A13" s="1116" t="s">
        <v>29</v>
      </c>
      <c r="B13" s="1102">
        <f>SUM(B7:B12)</f>
        <v>47861476</v>
      </c>
      <c r="C13" s="1103">
        <f>SUM(C7:C12)</f>
        <v>100</v>
      </c>
      <c r="D13" s="1102">
        <f>SUM(D7:D12)</f>
        <v>1613607</v>
      </c>
      <c r="E13" s="1103">
        <f>SUM(E7:E12)</f>
        <v>3.3780000000000001</v>
      </c>
      <c r="F13" s="1103">
        <f t="shared" si="1"/>
        <v>3.4</v>
      </c>
      <c r="G13" s="1021"/>
    </row>
    <row r="14" spans="1:7" x14ac:dyDescent="0.3">
      <c r="A14" s="1398" t="s">
        <v>751</v>
      </c>
      <c r="B14" s="1398"/>
      <c r="C14" s="1398"/>
      <c r="D14" s="1398"/>
      <c r="E14" s="1398"/>
      <c r="F14" s="1398"/>
    </row>
    <row r="15" spans="1:7" ht="41.25" customHeight="1" x14ac:dyDescent="0.3">
      <c r="A15" s="1396" t="s">
        <v>1113</v>
      </c>
      <c r="B15" s="1396"/>
      <c r="C15" s="1396"/>
      <c r="D15" s="1396"/>
      <c r="E15" s="1396"/>
      <c r="F15" s="1396"/>
    </row>
    <row r="16" spans="1:7" x14ac:dyDescent="0.3">
      <c r="B16" s="1051"/>
    </row>
    <row r="17" spans="2:4" x14ac:dyDescent="0.3">
      <c r="B17" s="1117">
        <f>+B13-'[2]11'!B13</f>
        <v>0</v>
      </c>
      <c r="D17" s="1117">
        <f>+D13-'[2]11'!D13</f>
        <v>0</v>
      </c>
    </row>
    <row r="18" spans="2:4" x14ac:dyDescent="0.3">
      <c r="B18" s="1117"/>
    </row>
    <row r="19" spans="2:4" x14ac:dyDescent="0.3">
      <c r="B19" s="1117"/>
    </row>
    <row r="20" spans="2:4" x14ac:dyDescent="0.3">
      <c r="B20" s="1117"/>
    </row>
    <row r="21" spans="2:4" x14ac:dyDescent="0.3">
      <c r="B21" s="1117"/>
    </row>
    <row r="22" spans="2:4" x14ac:dyDescent="0.3">
      <c r="B22" s="1117"/>
    </row>
    <row r="23" spans="2:4" x14ac:dyDescent="0.3">
      <c r="B23" s="1117"/>
    </row>
    <row r="30" spans="2:4" x14ac:dyDescent="0.3">
      <c r="B30" s="1117"/>
    </row>
  </sheetData>
  <sheetProtection password="9C8D" sheet="1" objects="1" scenarios="1"/>
  <mergeCells count="5">
    <mergeCell ref="A1:F1"/>
    <mergeCell ref="A2:F2"/>
    <mergeCell ref="A3:F3"/>
    <mergeCell ref="A14:F14"/>
    <mergeCell ref="A15:F15"/>
  </mergeCells>
  <pageMargins left="0.78740157499999996" right="0.78740157499999996" top="0.984251969" bottom="0.984251969" header="0.49212598499999999" footer="0.49212598499999999"/>
  <pageSetup paperSize="9" orientation="landscape"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indowProtection="1" showGridLines="0" workbookViewId="0">
      <selection activeCell="A11" sqref="A11:F11"/>
    </sheetView>
  </sheetViews>
  <sheetFormatPr defaultRowHeight="15" x14ac:dyDescent="0.3"/>
  <cols>
    <col min="1" max="1" width="22.85546875" style="1005" customWidth="1"/>
    <col min="2" max="2" width="17" style="1005" customWidth="1"/>
    <col min="3" max="3" width="10.5703125" style="1005" customWidth="1"/>
    <col min="4" max="4" width="17.7109375" style="1005" customWidth="1"/>
    <col min="5" max="5" width="15.28515625" style="1005" customWidth="1"/>
    <col min="6" max="6" width="16.42578125" style="1005" customWidth="1"/>
    <col min="7" max="16384" width="9.140625" style="1005"/>
  </cols>
  <sheetData>
    <row r="1" spans="1:6" x14ac:dyDescent="0.3">
      <c r="A1" s="1399" t="s">
        <v>202</v>
      </c>
      <c r="B1" s="1400"/>
      <c r="C1" s="1400"/>
      <c r="D1" s="1400"/>
      <c r="E1" s="1400"/>
      <c r="F1" s="1400"/>
    </row>
    <row r="2" spans="1:6" ht="24" customHeight="1" x14ac:dyDescent="0.3">
      <c r="A2" s="1401" t="s">
        <v>1115</v>
      </c>
      <c r="B2" s="1400"/>
      <c r="C2" s="1400"/>
      <c r="D2" s="1400"/>
      <c r="E2" s="1400"/>
      <c r="F2" s="1400"/>
    </row>
    <row r="3" spans="1:6" x14ac:dyDescent="0.3">
      <c r="A3" s="1401" t="str">
        <f>+[2]Dados!A14</f>
        <v>Posição: 31.12.2015</v>
      </c>
      <c r="B3" s="1400"/>
      <c r="C3" s="1400"/>
      <c r="D3" s="1400"/>
      <c r="E3" s="1400"/>
      <c r="F3" s="1400"/>
    </row>
    <row r="4" spans="1:6" ht="18" x14ac:dyDescent="0.3">
      <c r="A4" s="1118"/>
      <c r="B4" s="1119"/>
      <c r="C4" s="1119"/>
      <c r="D4" s="1119"/>
      <c r="E4" s="1119"/>
      <c r="F4" s="1119"/>
    </row>
    <row r="5" spans="1:6" x14ac:dyDescent="0.3">
      <c r="A5" s="1402" t="s">
        <v>1116</v>
      </c>
      <c r="B5" s="1402"/>
      <c r="C5" s="1402"/>
      <c r="D5" s="1402"/>
      <c r="E5" s="1402"/>
      <c r="F5" s="1402"/>
    </row>
    <row r="6" spans="1:6" ht="51" x14ac:dyDescent="0.3">
      <c r="A6" s="1095" t="s">
        <v>1117</v>
      </c>
      <c r="B6" s="1095" t="s">
        <v>1111</v>
      </c>
      <c r="C6" s="1095" t="s">
        <v>1118</v>
      </c>
      <c r="D6" s="1095" t="s">
        <v>748</v>
      </c>
      <c r="E6" s="1095" t="s">
        <v>1119</v>
      </c>
      <c r="F6" s="1095" t="s">
        <v>1112</v>
      </c>
    </row>
    <row r="7" spans="1:6" ht="20.100000000000001" customHeight="1" x14ac:dyDescent="0.3">
      <c r="A7" s="1029" t="s">
        <v>1120</v>
      </c>
      <c r="B7" s="1120">
        <v>7868691</v>
      </c>
      <c r="C7" s="1121">
        <f>ROUND(B7/B$9*100,1)</f>
        <v>16.399999999999999</v>
      </c>
      <c r="D7" s="1122">
        <v>357122</v>
      </c>
      <c r="E7" s="1121">
        <f>ROUND(D7/B$9*100,1)+0.1</f>
        <v>0.79999999999999993</v>
      </c>
      <c r="F7" s="1123">
        <f>ROUND(D7/B7*100,1)</f>
        <v>4.5</v>
      </c>
    </row>
    <row r="8" spans="1:6" ht="20.100000000000001" customHeight="1" x14ac:dyDescent="0.3">
      <c r="A8" s="1124" t="s">
        <v>1121</v>
      </c>
      <c r="B8" s="1127">
        <f>39993309-524</f>
        <v>39992785</v>
      </c>
      <c r="C8" s="1121">
        <f>ROUND(B8/B$9*100,1)</f>
        <v>83.6</v>
      </c>
      <c r="D8" s="1122">
        <f>1257008-523</f>
        <v>1256485</v>
      </c>
      <c r="E8" s="1121">
        <f>ROUND(D8/B$9*100,1)</f>
        <v>2.6</v>
      </c>
      <c r="F8" s="1123">
        <f>ROUND(D8/B8*100,1)</f>
        <v>3.1</v>
      </c>
    </row>
    <row r="9" spans="1:6" ht="21" customHeight="1" x14ac:dyDescent="0.3">
      <c r="A9" s="1101" t="s">
        <v>29</v>
      </c>
      <c r="B9" s="1102">
        <f>B7+B8</f>
        <v>47861476</v>
      </c>
      <c r="C9" s="1125">
        <f>+C7+C8</f>
        <v>100</v>
      </c>
      <c r="D9" s="1102">
        <f>+D7+D8</f>
        <v>1613607</v>
      </c>
      <c r="E9" s="1125">
        <f>E7+E8</f>
        <v>3.4</v>
      </c>
      <c r="F9" s="1125">
        <f>ROUND(D9/B9*100,1)</f>
        <v>3.4</v>
      </c>
    </row>
    <row r="10" spans="1:6" ht="15.75" x14ac:dyDescent="0.35">
      <c r="A10" s="1403" t="s">
        <v>792</v>
      </c>
      <c r="B10" s="1403"/>
      <c r="C10" s="1403"/>
      <c r="D10" s="1403"/>
      <c r="E10" s="1403"/>
      <c r="F10" s="1403"/>
    </row>
    <row r="11" spans="1:6" ht="70.5" customHeight="1" x14ac:dyDescent="0.3">
      <c r="A11" s="1396" t="s">
        <v>1122</v>
      </c>
      <c r="B11" s="1396"/>
      <c r="C11" s="1396"/>
      <c r="D11" s="1396"/>
      <c r="E11" s="1396"/>
      <c r="F11" s="1396"/>
    </row>
    <row r="12" spans="1:6" x14ac:dyDescent="0.3">
      <c r="B12" s="1126">
        <f>+B9-'[2]11'!B13</f>
        <v>0</v>
      </c>
      <c r="C12" s="1126"/>
      <c r="D12" s="1126">
        <f>+D9-'[2]11'!D13</f>
        <v>0</v>
      </c>
    </row>
    <row r="13" spans="1:6" x14ac:dyDescent="0.3">
      <c r="B13" s="1016"/>
    </row>
  </sheetData>
  <sheetProtection password="9C8D" sheet="1" objects="1" scenarios="1"/>
  <mergeCells count="6">
    <mergeCell ref="A11:F11"/>
    <mergeCell ref="A1:F1"/>
    <mergeCell ref="A2:F2"/>
    <mergeCell ref="A3:F3"/>
    <mergeCell ref="A5:F5"/>
    <mergeCell ref="A10:F10"/>
  </mergeCells>
  <pageMargins left="0.511811024" right="0.511811024" top="0.78740157499999996" bottom="0.78740157499999996" header="0.31496062000000002" footer="0.31496062000000002"/>
  <pageSetup paperSize="9" orientation="portrait"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windowProtection="1" showGridLines="0" workbookViewId="0">
      <selection activeCell="H24" sqref="H24"/>
    </sheetView>
  </sheetViews>
  <sheetFormatPr defaultRowHeight="15" x14ac:dyDescent="0.3"/>
  <cols>
    <col min="1" max="1" width="18.85546875" style="1005" customWidth="1"/>
    <col min="2" max="2" width="18.7109375" style="1005" bestFit="1" customWidth="1"/>
    <col min="3" max="3" width="17.85546875" style="1005" customWidth="1"/>
    <col min="4" max="4" width="17.7109375" style="1005" customWidth="1"/>
    <col min="5" max="5" width="15.7109375" style="1005" customWidth="1"/>
    <col min="6" max="9" width="16" style="1005" customWidth="1"/>
    <col min="10" max="10" width="13.140625" style="1005" customWidth="1"/>
    <col min="11" max="12" width="11.85546875" style="1005" bestFit="1" customWidth="1"/>
    <col min="13" max="13" width="7.140625" style="1005" bestFit="1" customWidth="1"/>
    <col min="14" max="15" width="11.85546875" style="1005" bestFit="1" customWidth="1"/>
    <col min="16" max="16384" width="9.140625" style="1005"/>
  </cols>
  <sheetData>
    <row r="1" spans="1:15" ht="20.100000000000001" customHeight="1" x14ac:dyDescent="0.3">
      <c r="A1" s="1193" t="s">
        <v>481</v>
      </c>
      <c r="B1" s="1193"/>
      <c r="C1" s="1193"/>
      <c r="D1" s="1193"/>
      <c r="E1" s="1193"/>
    </row>
    <row r="2" spans="1:15" ht="20.100000000000001" customHeight="1" x14ac:dyDescent="0.3">
      <c r="A2" s="1397" t="s">
        <v>1123</v>
      </c>
      <c r="B2" s="1397"/>
      <c r="C2" s="1397"/>
      <c r="D2" s="1397"/>
      <c r="E2" s="1397"/>
    </row>
    <row r="3" spans="1:15" ht="20.100000000000001" customHeight="1" x14ac:dyDescent="0.3">
      <c r="A3" s="1195" t="str">
        <f>+[2]Dados!A13</f>
        <v>Exercício de 2015</v>
      </c>
      <c r="B3" s="1195"/>
      <c r="C3" s="1195"/>
      <c r="D3" s="1195"/>
      <c r="E3" s="1195"/>
    </row>
    <row r="4" spans="1:15" x14ac:dyDescent="0.3">
      <c r="A4" s="1007"/>
      <c r="B4" s="1007"/>
      <c r="C4" s="1007"/>
      <c r="D4" s="1007"/>
      <c r="E4" s="1007"/>
    </row>
    <row r="5" spans="1:15" x14ac:dyDescent="0.3">
      <c r="A5" s="1197" t="s">
        <v>1</v>
      </c>
      <c r="B5" s="1197"/>
      <c r="C5" s="1197"/>
      <c r="D5" s="1197"/>
      <c r="E5" s="1197"/>
    </row>
    <row r="6" spans="1:15" ht="48" customHeight="1" x14ac:dyDescent="0.3">
      <c r="A6" s="1024" t="s">
        <v>87</v>
      </c>
      <c r="B6" s="1024" t="s">
        <v>404</v>
      </c>
      <c r="C6" s="1024" t="s">
        <v>1124</v>
      </c>
      <c r="D6" s="1024" t="s">
        <v>1125</v>
      </c>
      <c r="E6" s="1024" t="s">
        <v>1126</v>
      </c>
      <c r="F6" s="1128"/>
      <c r="G6" s="1404" t="s">
        <v>1127</v>
      </c>
      <c r="H6" s="1404"/>
      <c r="I6" s="1404"/>
      <c r="J6" s="1404" t="s">
        <v>1128</v>
      </c>
      <c r="K6" s="1404"/>
      <c r="L6" s="1404"/>
      <c r="M6" s="1404" t="s">
        <v>574</v>
      </c>
      <c r="N6" s="1404"/>
      <c r="O6" s="1404"/>
    </row>
    <row r="7" spans="1:15" ht="20.100000000000001" customHeight="1" x14ac:dyDescent="0.3">
      <c r="A7" s="1129" t="s">
        <v>88</v>
      </c>
      <c r="B7" s="1130">
        <f t="shared" ref="B7:B17" si="0">+M7</f>
        <v>1330</v>
      </c>
      <c r="C7" s="1130">
        <f>ROUND(N7/1000,0)</f>
        <v>1114</v>
      </c>
      <c r="D7" s="1130">
        <f>ROUND(O7/1000,0)</f>
        <v>39163</v>
      </c>
      <c r="E7" s="1130">
        <f>C7+D7</f>
        <v>40277</v>
      </c>
      <c r="G7" s="1051">
        <v>532</v>
      </c>
      <c r="H7" s="1131">
        <v>106317.36</v>
      </c>
      <c r="I7" s="1131">
        <v>6815114.71</v>
      </c>
      <c r="J7" s="1131">
        <v>798</v>
      </c>
      <c r="K7" s="1051">
        <v>1007903.87</v>
      </c>
      <c r="L7" s="1051">
        <v>32347900.620000001</v>
      </c>
      <c r="M7" s="1117">
        <f>+G7+J7</f>
        <v>1330</v>
      </c>
      <c r="N7" s="1117">
        <f t="shared" ref="N7:O17" si="1">+H7+K7</f>
        <v>1114221.23</v>
      </c>
      <c r="O7" s="1117">
        <f t="shared" si="1"/>
        <v>39163015.329999998</v>
      </c>
    </row>
    <row r="8" spans="1:15" ht="20.100000000000001" customHeight="1" x14ac:dyDescent="0.3">
      <c r="A8" s="1129" t="s">
        <v>107</v>
      </c>
      <c r="B8" s="1130">
        <f t="shared" si="0"/>
        <v>6396</v>
      </c>
      <c r="C8" s="1130">
        <f>ROUND(N8/1000,0)+1</f>
        <v>12922</v>
      </c>
      <c r="D8" s="1130">
        <f>ROUND(O8/1000,0)+1</f>
        <v>80348</v>
      </c>
      <c r="E8" s="1130">
        <f t="shared" ref="E8:E17" si="2">C8+D8</f>
        <v>93270</v>
      </c>
      <c r="G8" s="1051">
        <v>2183</v>
      </c>
      <c r="H8" s="1131">
        <v>305676.93</v>
      </c>
      <c r="I8" s="1131">
        <v>16063055.27</v>
      </c>
      <c r="J8" s="1131">
        <v>4213</v>
      </c>
      <c r="K8" s="1051">
        <v>12615190.300000001</v>
      </c>
      <c r="L8" s="1051">
        <v>64283849.100000001</v>
      </c>
      <c r="M8" s="1117">
        <f t="shared" ref="M8:M17" si="3">+G8+J8</f>
        <v>6396</v>
      </c>
      <c r="N8" s="1117">
        <f t="shared" si="1"/>
        <v>12920867.23</v>
      </c>
      <c r="O8" s="1117">
        <f t="shared" si="1"/>
        <v>80346904.370000005</v>
      </c>
    </row>
    <row r="9" spans="1:15" ht="20.100000000000001" customHeight="1" x14ac:dyDescent="0.3">
      <c r="A9" s="1129" t="s">
        <v>90</v>
      </c>
      <c r="B9" s="1130">
        <f t="shared" si="0"/>
        <v>9496</v>
      </c>
      <c r="C9" s="1130">
        <f t="shared" ref="C9:C17" si="4">ROUND(N9/1000,0)</f>
        <v>6080</v>
      </c>
      <c r="D9" s="1130">
        <f t="shared" ref="D9:D17" si="5">ROUND(O9/1000,0)</f>
        <v>50161</v>
      </c>
      <c r="E9" s="1130">
        <f t="shared" si="2"/>
        <v>56241</v>
      </c>
      <c r="G9" s="1051">
        <v>2858</v>
      </c>
      <c r="H9" s="1131">
        <v>3763566.83</v>
      </c>
      <c r="I9" s="1131">
        <v>13378071.460000001</v>
      </c>
      <c r="J9" s="1131">
        <v>6638</v>
      </c>
      <c r="K9" s="1051">
        <v>2316315.92</v>
      </c>
      <c r="L9" s="1051">
        <v>36782913.200000003</v>
      </c>
      <c r="M9" s="1117">
        <f t="shared" si="3"/>
        <v>9496</v>
      </c>
      <c r="N9" s="1117">
        <f t="shared" si="1"/>
        <v>6079882.75</v>
      </c>
      <c r="O9" s="1117">
        <f t="shared" si="1"/>
        <v>50160984.660000004</v>
      </c>
    </row>
    <row r="10" spans="1:15" ht="20.100000000000001" customHeight="1" x14ac:dyDescent="0.3">
      <c r="A10" s="1132" t="s">
        <v>91</v>
      </c>
      <c r="B10" s="1130">
        <f t="shared" si="0"/>
        <v>86</v>
      </c>
      <c r="C10" s="1130">
        <f t="shared" si="4"/>
        <v>1070</v>
      </c>
      <c r="D10" s="1130">
        <f t="shared" si="5"/>
        <v>13110</v>
      </c>
      <c r="E10" s="1130">
        <f t="shared" si="2"/>
        <v>14180</v>
      </c>
      <c r="G10" s="1051">
        <v>28</v>
      </c>
      <c r="H10" s="1131">
        <v>92739.61</v>
      </c>
      <c r="I10" s="1131">
        <v>1097266.44</v>
      </c>
      <c r="J10" s="1131">
        <v>58</v>
      </c>
      <c r="K10" s="1051">
        <v>976831.71</v>
      </c>
      <c r="L10" s="1051">
        <v>12012788.369999999</v>
      </c>
      <c r="M10" s="1117">
        <f t="shared" si="3"/>
        <v>86</v>
      </c>
      <c r="N10" s="1117">
        <f t="shared" si="1"/>
        <v>1069571.32</v>
      </c>
      <c r="O10" s="1117">
        <f t="shared" si="1"/>
        <v>13110054.809999999</v>
      </c>
    </row>
    <row r="11" spans="1:15" ht="20.100000000000001" customHeight="1" x14ac:dyDescent="0.3">
      <c r="A11" s="1129" t="s">
        <v>92</v>
      </c>
      <c r="B11" s="1130">
        <f t="shared" si="0"/>
        <v>1823</v>
      </c>
      <c r="C11" s="1130">
        <f t="shared" si="4"/>
        <v>6211</v>
      </c>
      <c r="D11" s="1130">
        <f t="shared" si="5"/>
        <v>30955</v>
      </c>
      <c r="E11" s="1130">
        <f t="shared" si="2"/>
        <v>37166</v>
      </c>
      <c r="G11" s="1051">
        <v>448</v>
      </c>
      <c r="H11" s="1131">
        <v>2199555.9900000002</v>
      </c>
      <c r="I11" s="1131">
        <v>6549953.6799999997</v>
      </c>
      <c r="J11" s="1131">
        <v>1375</v>
      </c>
      <c r="K11" s="1051">
        <v>4011369.1</v>
      </c>
      <c r="L11" s="1051">
        <v>24405486.699999999</v>
      </c>
      <c r="M11" s="1117">
        <f t="shared" si="3"/>
        <v>1823</v>
      </c>
      <c r="N11" s="1117">
        <f t="shared" si="1"/>
        <v>6210925.0899999999</v>
      </c>
      <c r="O11" s="1117">
        <f t="shared" si="1"/>
        <v>30955440.379999999</v>
      </c>
    </row>
    <row r="12" spans="1:15" ht="20.100000000000001" customHeight="1" x14ac:dyDescent="0.3">
      <c r="A12" s="1129" t="s">
        <v>93</v>
      </c>
      <c r="B12" s="1130">
        <f t="shared" si="0"/>
        <v>925</v>
      </c>
      <c r="C12" s="1130">
        <f t="shared" si="4"/>
        <v>1829</v>
      </c>
      <c r="D12" s="1130">
        <f t="shared" si="5"/>
        <v>16291</v>
      </c>
      <c r="E12" s="1130">
        <f t="shared" si="2"/>
        <v>18120</v>
      </c>
      <c r="G12" s="1051">
        <v>367</v>
      </c>
      <c r="H12" s="1131">
        <v>168855.39</v>
      </c>
      <c r="I12" s="1131">
        <v>2562357.69</v>
      </c>
      <c r="J12" s="1131">
        <v>558</v>
      </c>
      <c r="K12" s="1051">
        <v>1659981.59</v>
      </c>
      <c r="L12" s="1051">
        <v>13728942.439999999</v>
      </c>
      <c r="M12" s="1117">
        <f t="shared" si="3"/>
        <v>925</v>
      </c>
      <c r="N12" s="1117">
        <f t="shared" si="1"/>
        <v>1828836.98</v>
      </c>
      <c r="O12" s="1117">
        <f t="shared" si="1"/>
        <v>16291300.129999999</v>
      </c>
    </row>
    <row r="13" spans="1:15" ht="20.100000000000001" customHeight="1" x14ac:dyDescent="0.3">
      <c r="A13" s="1129" t="s">
        <v>94</v>
      </c>
      <c r="B13" s="1130">
        <f t="shared" si="0"/>
        <v>3521</v>
      </c>
      <c r="C13" s="1130">
        <f t="shared" si="4"/>
        <v>884</v>
      </c>
      <c r="D13" s="1130">
        <f t="shared" si="5"/>
        <v>8363</v>
      </c>
      <c r="E13" s="1130">
        <f t="shared" si="2"/>
        <v>9247</v>
      </c>
      <c r="G13" s="1051">
        <v>997</v>
      </c>
      <c r="H13" s="1131">
        <v>254177.9</v>
      </c>
      <c r="I13" s="1131">
        <v>3308500.52</v>
      </c>
      <c r="J13" s="1131">
        <v>2524</v>
      </c>
      <c r="K13" s="1051">
        <v>630146.32999999996</v>
      </c>
      <c r="L13" s="1051">
        <v>5054787.83</v>
      </c>
      <c r="M13" s="1117">
        <f t="shared" si="3"/>
        <v>3521</v>
      </c>
      <c r="N13" s="1117">
        <f t="shared" si="1"/>
        <v>884324.23</v>
      </c>
      <c r="O13" s="1117">
        <f t="shared" si="1"/>
        <v>8363288.3499999996</v>
      </c>
    </row>
    <row r="14" spans="1:15" ht="20.100000000000001" customHeight="1" x14ac:dyDescent="0.3">
      <c r="A14" s="1129" t="s">
        <v>95</v>
      </c>
      <c r="B14" s="1130">
        <f t="shared" si="0"/>
        <v>9664</v>
      </c>
      <c r="C14" s="1130">
        <f t="shared" si="4"/>
        <v>13080</v>
      </c>
      <c r="D14" s="1130">
        <f t="shared" si="5"/>
        <v>63867</v>
      </c>
      <c r="E14" s="1130">
        <f t="shared" si="2"/>
        <v>76947</v>
      </c>
      <c r="G14" s="1051">
        <v>2451</v>
      </c>
      <c r="H14" s="1131">
        <v>361276.66</v>
      </c>
      <c r="I14" s="1131">
        <v>8105537.6900000004</v>
      </c>
      <c r="J14" s="1131">
        <v>7213</v>
      </c>
      <c r="K14" s="1051">
        <v>12719217.710000001</v>
      </c>
      <c r="L14" s="1051">
        <v>55761203.189999998</v>
      </c>
      <c r="M14" s="1117">
        <f t="shared" si="3"/>
        <v>9664</v>
      </c>
      <c r="N14" s="1117">
        <f t="shared" si="1"/>
        <v>13080494.370000001</v>
      </c>
      <c r="O14" s="1117">
        <f t="shared" si="1"/>
        <v>63866740.879999995</v>
      </c>
    </row>
    <row r="15" spans="1:15" ht="20.100000000000001" customHeight="1" x14ac:dyDescent="0.3">
      <c r="A15" s="1129" t="s">
        <v>96</v>
      </c>
      <c r="B15" s="1130">
        <f t="shared" si="0"/>
        <v>2586</v>
      </c>
      <c r="C15" s="1130">
        <f t="shared" si="4"/>
        <v>3621</v>
      </c>
      <c r="D15" s="1130">
        <f t="shared" si="5"/>
        <v>20220</v>
      </c>
      <c r="E15" s="1130">
        <f t="shared" si="2"/>
        <v>23841</v>
      </c>
      <c r="G15" s="1051">
        <v>490</v>
      </c>
      <c r="H15" s="1131">
        <v>263678.61</v>
      </c>
      <c r="I15" s="1131">
        <v>5627878.3399999999</v>
      </c>
      <c r="J15" s="1131">
        <v>2096</v>
      </c>
      <c r="K15" s="1051">
        <v>3357661.12</v>
      </c>
      <c r="L15" s="1051">
        <v>14591708.4</v>
      </c>
      <c r="M15" s="1117">
        <f t="shared" si="3"/>
        <v>2586</v>
      </c>
      <c r="N15" s="1117">
        <f t="shared" si="1"/>
        <v>3621339.73</v>
      </c>
      <c r="O15" s="1117">
        <f t="shared" si="1"/>
        <v>20219586.740000002</v>
      </c>
    </row>
    <row r="16" spans="1:15" ht="20.100000000000001" customHeight="1" x14ac:dyDescent="0.3">
      <c r="A16" s="1129" t="s">
        <v>97</v>
      </c>
      <c r="B16" s="1130">
        <f t="shared" si="0"/>
        <v>5567</v>
      </c>
      <c r="C16" s="1130">
        <f t="shared" si="4"/>
        <v>4486</v>
      </c>
      <c r="D16" s="1130">
        <f t="shared" si="5"/>
        <v>24519</v>
      </c>
      <c r="E16" s="1130">
        <f t="shared" si="2"/>
        <v>29005</v>
      </c>
      <c r="G16" s="1051">
        <v>1296</v>
      </c>
      <c r="H16" s="1131">
        <v>2523780.63</v>
      </c>
      <c r="I16" s="1131">
        <v>15399070.029999999</v>
      </c>
      <c r="J16" s="1131">
        <v>4271</v>
      </c>
      <c r="K16" s="1051">
        <v>1962543.28</v>
      </c>
      <c r="L16" s="1051">
        <v>9120388.3800000008</v>
      </c>
      <c r="M16" s="1117">
        <f t="shared" si="3"/>
        <v>5567</v>
      </c>
      <c r="N16" s="1117">
        <f t="shared" si="1"/>
        <v>4486323.91</v>
      </c>
      <c r="O16" s="1117">
        <f t="shared" si="1"/>
        <v>24519458.41</v>
      </c>
    </row>
    <row r="17" spans="1:15" ht="20.100000000000001" customHeight="1" x14ac:dyDescent="0.3">
      <c r="A17" s="1129" t="s">
        <v>98</v>
      </c>
      <c r="B17" s="1130">
        <f t="shared" si="0"/>
        <v>559</v>
      </c>
      <c r="C17" s="1130">
        <f t="shared" si="4"/>
        <v>897</v>
      </c>
      <c r="D17" s="1130">
        <f t="shared" si="5"/>
        <v>5219</v>
      </c>
      <c r="E17" s="1130">
        <f t="shared" si="2"/>
        <v>6116</v>
      </c>
      <c r="G17" s="1051">
        <v>247</v>
      </c>
      <c r="H17" s="1131">
        <v>255081</v>
      </c>
      <c r="I17" s="1131">
        <v>1768522.37</v>
      </c>
      <c r="J17" s="1131">
        <v>312</v>
      </c>
      <c r="K17" s="1051">
        <v>642274.65</v>
      </c>
      <c r="L17" s="1051">
        <v>3450627.17</v>
      </c>
      <c r="M17" s="1117">
        <f t="shared" si="3"/>
        <v>559</v>
      </c>
      <c r="N17" s="1117">
        <f t="shared" si="1"/>
        <v>897355.65</v>
      </c>
      <c r="O17" s="1117">
        <f t="shared" si="1"/>
        <v>5219149.54</v>
      </c>
    </row>
    <row r="18" spans="1:15" ht="24.95" customHeight="1" x14ac:dyDescent="0.3">
      <c r="A18" s="1095" t="s">
        <v>29</v>
      </c>
      <c r="B18" s="1133">
        <f>SUM(B7:B17)</f>
        <v>41953</v>
      </c>
      <c r="C18" s="1133">
        <f>SUM(C7:C17)</f>
        <v>52194</v>
      </c>
      <c r="D18" s="1133">
        <f>SUM(D7:D17)</f>
        <v>352216</v>
      </c>
      <c r="E18" s="1133">
        <f>SUM(E7:E17)</f>
        <v>404410</v>
      </c>
    </row>
    <row r="19" spans="1:15" x14ac:dyDescent="0.3">
      <c r="A19" s="1405" t="s">
        <v>751</v>
      </c>
      <c r="B19" s="1405"/>
      <c r="C19" s="1405"/>
      <c r="D19" s="1405"/>
      <c r="E19" s="1405"/>
    </row>
    <row r="20" spans="1:15" ht="27.75" customHeight="1" x14ac:dyDescent="0.3">
      <c r="A20" s="1406" t="s">
        <v>1129</v>
      </c>
      <c r="B20" s="1407"/>
      <c r="C20" s="1407"/>
      <c r="D20" s="1407"/>
      <c r="E20" s="1407"/>
    </row>
    <row r="21" spans="1:15" x14ac:dyDescent="0.3">
      <c r="A21" s="1408"/>
      <c r="B21" s="1408"/>
      <c r="C21" s="1408"/>
      <c r="D21" s="1408"/>
      <c r="E21" s="1408"/>
    </row>
    <row r="23" spans="1:15" x14ac:dyDescent="0.3">
      <c r="A23" s="1019"/>
      <c r="B23" s="1051"/>
      <c r="C23" s="1051"/>
      <c r="D23" s="1051"/>
    </row>
    <row r="24" spans="1:15" x14ac:dyDescent="0.3">
      <c r="B24" s="1051"/>
      <c r="C24" s="1051"/>
      <c r="D24" s="1051"/>
    </row>
    <row r="25" spans="1:15" x14ac:dyDescent="0.3">
      <c r="B25" s="1051"/>
      <c r="C25" s="1051"/>
      <c r="D25" s="1051"/>
    </row>
    <row r="26" spans="1:15" x14ac:dyDescent="0.3">
      <c r="B26" s="1051"/>
      <c r="C26" s="1051"/>
      <c r="D26" s="1051"/>
    </row>
    <row r="27" spans="1:15" x14ac:dyDescent="0.3">
      <c r="B27" s="1051"/>
      <c r="C27" s="1051"/>
      <c r="D27" s="1051"/>
    </row>
    <row r="28" spans="1:15" x14ac:dyDescent="0.3">
      <c r="B28" s="1051"/>
      <c r="C28" s="1051"/>
      <c r="D28" s="1051"/>
    </row>
    <row r="29" spans="1:15" x14ac:dyDescent="0.3">
      <c r="B29" s="1051"/>
      <c r="C29" s="1051"/>
      <c r="D29" s="1051"/>
    </row>
    <row r="30" spans="1:15" x14ac:dyDescent="0.3">
      <c r="B30" s="1051"/>
      <c r="C30" s="1051"/>
      <c r="D30" s="1051"/>
    </row>
    <row r="31" spans="1:15" x14ac:dyDescent="0.3">
      <c r="B31" s="1051"/>
      <c r="C31" s="1051"/>
      <c r="D31" s="1051"/>
    </row>
    <row r="32" spans="1:15" x14ac:dyDescent="0.3">
      <c r="B32" s="1051"/>
      <c r="C32" s="1051"/>
      <c r="D32" s="1051"/>
    </row>
    <row r="33" spans="2:4" x14ac:dyDescent="0.3">
      <c r="B33" s="1051"/>
      <c r="C33" s="1051"/>
      <c r="D33" s="1051"/>
    </row>
    <row r="35" spans="2:4" x14ac:dyDescent="0.3">
      <c r="B35" s="1051"/>
      <c r="C35" s="1046"/>
      <c r="D35" s="1046"/>
    </row>
    <row r="36" spans="2:4" x14ac:dyDescent="0.3">
      <c r="B36" s="1051"/>
      <c r="C36" s="1046"/>
      <c r="D36" s="1046"/>
    </row>
    <row r="37" spans="2:4" x14ac:dyDescent="0.3">
      <c r="B37" s="1051"/>
      <c r="C37" s="1046"/>
      <c r="D37" s="1046"/>
    </row>
    <row r="38" spans="2:4" x14ac:dyDescent="0.3">
      <c r="B38" s="1051"/>
      <c r="C38" s="1046"/>
      <c r="D38" s="1046"/>
    </row>
    <row r="39" spans="2:4" x14ac:dyDescent="0.3">
      <c r="B39" s="1051"/>
      <c r="C39" s="1046"/>
      <c r="D39" s="1046"/>
    </row>
    <row r="40" spans="2:4" x14ac:dyDescent="0.3">
      <c r="B40" s="1051"/>
      <c r="C40" s="1046"/>
      <c r="D40" s="1046"/>
    </row>
    <row r="41" spans="2:4" x14ac:dyDescent="0.3">
      <c r="B41" s="1051"/>
      <c r="C41" s="1046"/>
      <c r="D41" s="1046"/>
    </row>
    <row r="42" spans="2:4" x14ac:dyDescent="0.3">
      <c r="B42" s="1051"/>
      <c r="C42" s="1046"/>
      <c r="D42" s="1046"/>
    </row>
    <row r="43" spans="2:4" x14ac:dyDescent="0.3">
      <c r="B43" s="1051"/>
      <c r="C43" s="1046"/>
      <c r="D43" s="1046"/>
    </row>
    <row r="44" spans="2:4" x14ac:dyDescent="0.3">
      <c r="B44" s="1051"/>
      <c r="C44" s="1046"/>
      <c r="D44" s="1046"/>
    </row>
    <row r="45" spans="2:4" x14ac:dyDescent="0.3">
      <c r="B45" s="1051"/>
      <c r="C45" s="1046"/>
      <c r="D45" s="1046"/>
    </row>
    <row r="47" spans="2:4" x14ac:dyDescent="0.3">
      <c r="B47" s="1117"/>
      <c r="C47" s="1117"/>
      <c r="D47" s="1117"/>
    </row>
    <row r="48" spans="2:4" x14ac:dyDescent="0.3">
      <c r="B48" s="1117"/>
      <c r="C48" s="1117"/>
      <c r="D48" s="1117"/>
    </row>
    <row r="49" spans="2:4" x14ac:dyDescent="0.3">
      <c r="B49" s="1117"/>
      <c r="C49" s="1117"/>
      <c r="D49" s="1117"/>
    </row>
    <row r="50" spans="2:4" x14ac:dyDescent="0.3">
      <c r="B50" s="1117"/>
      <c r="C50" s="1117"/>
      <c r="D50" s="1117"/>
    </row>
    <row r="51" spans="2:4" x14ac:dyDescent="0.3">
      <c r="B51" s="1117"/>
      <c r="C51" s="1117"/>
      <c r="D51" s="1117"/>
    </row>
    <row r="52" spans="2:4" x14ac:dyDescent="0.3">
      <c r="B52" s="1117"/>
      <c r="C52" s="1117"/>
      <c r="D52" s="1117"/>
    </row>
    <row r="53" spans="2:4" x14ac:dyDescent="0.3">
      <c r="B53" s="1117"/>
      <c r="C53" s="1117"/>
      <c r="D53" s="1117"/>
    </row>
    <row r="54" spans="2:4" x14ac:dyDescent="0.3">
      <c r="B54" s="1117"/>
      <c r="C54" s="1117"/>
      <c r="D54" s="1117"/>
    </row>
    <row r="55" spans="2:4" x14ac:dyDescent="0.3">
      <c r="B55" s="1117"/>
      <c r="C55" s="1117"/>
      <c r="D55" s="1117"/>
    </row>
    <row r="56" spans="2:4" x14ac:dyDescent="0.3">
      <c r="B56" s="1117"/>
      <c r="C56" s="1117"/>
      <c r="D56" s="1117"/>
    </row>
    <row r="57" spans="2:4" x14ac:dyDescent="0.3">
      <c r="B57" s="1117">
        <f>+B45+E33</f>
        <v>0</v>
      </c>
      <c r="C57" s="1117" t="e">
        <f>+C45+#REF!</f>
        <v>#REF!</v>
      </c>
      <c r="D57" s="1117">
        <f>+D45+J33</f>
        <v>0</v>
      </c>
    </row>
    <row r="58" spans="2:4" x14ac:dyDescent="0.3">
      <c r="B58" s="1117"/>
    </row>
    <row r="59" spans="2:4" x14ac:dyDescent="0.3">
      <c r="B59" s="1117"/>
    </row>
  </sheetData>
  <sheetProtection password="9C8D" sheet="1" objects="1" scenarios="1"/>
  <mergeCells count="10">
    <mergeCell ref="A19:E19"/>
    <mergeCell ref="A20:E20"/>
    <mergeCell ref="A21:E21"/>
    <mergeCell ref="J6:L6"/>
    <mergeCell ref="G6:I6"/>
    <mergeCell ref="A1:E1"/>
    <mergeCell ref="A2:E2"/>
    <mergeCell ref="A3:E3"/>
    <mergeCell ref="A5:E5"/>
    <mergeCell ref="M6:O6"/>
  </mergeCells>
  <pageMargins left="0" right="0" top="0.98425196850393704" bottom="0.98425196850393704" header="0.51181102362204722" footer="0.51181102362204722"/>
  <pageSetup paperSize="9" orientation="portrait" r:id="rId1"/>
  <headerFooter alignWithMargins="0"/>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indowProtection="1" workbookViewId="0">
      <selection activeCell="A8" sqref="A8"/>
    </sheetView>
  </sheetViews>
  <sheetFormatPr defaultRowHeight="12.75" x14ac:dyDescent="0.2"/>
  <cols>
    <col min="1" max="1" width="17.28515625" customWidth="1"/>
    <col min="2" max="2" width="13.28515625" bestFit="1" customWidth="1"/>
    <col min="3" max="3" width="10.5703125" bestFit="1" customWidth="1"/>
    <col min="4" max="4" width="21.140625" bestFit="1" customWidth="1"/>
  </cols>
  <sheetData>
    <row r="1" spans="1:4" x14ac:dyDescent="0.2">
      <c r="A1" s="1370" t="s">
        <v>1135</v>
      </c>
      <c r="B1" s="1370"/>
      <c r="C1" s="1370"/>
      <c r="D1" s="1370"/>
    </row>
    <row r="2" spans="1:4" ht="24.75" customHeight="1" x14ac:dyDescent="0.2">
      <c r="A2" s="1369" t="s">
        <v>1137</v>
      </c>
      <c r="B2" s="1369"/>
      <c r="C2" s="1369"/>
      <c r="D2" s="1369"/>
    </row>
    <row r="3" spans="1:4" x14ac:dyDescent="0.2">
      <c r="A3" s="1369" t="s">
        <v>1136</v>
      </c>
      <c r="B3" s="1369"/>
      <c r="C3" s="1369"/>
      <c r="D3" s="1369"/>
    </row>
    <row r="4" spans="1:4" x14ac:dyDescent="0.2">
      <c r="A4" s="1409" t="s">
        <v>1</v>
      </c>
      <c r="B4" s="1409"/>
      <c r="C4" s="1409"/>
      <c r="D4" s="1409"/>
    </row>
    <row r="5" spans="1:4" x14ac:dyDescent="0.2">
      <c r="A5" s="1135" t="s">
        <v>1130</v>
      </c>
      <c r="B5" s="1135" t="s">
        <v>1131</v>
      </c>
      <c r="C5" s="1135" t="s">
        <v>1132</v>
      </c>
      <c r="D5" s="1135" t="s">
        <v>1133</v>
      </c>
    </row>
    <row r="6" spans="1:4" ht="13.5" thickBot="1" x14ac:dyDescent="0.25">
      <c r="A6" s="1136">
        <v>22</v>
      </c>
      <c r="B6" s="1136">
        <v>8</v>
      </c>
      <c r="C6" s="1137">
        <v>4087</v>
      </c>
      <c r="D6" s="1137">
        <v>16260</v>
      </c>
    </row>
    <row r="7" spans="1:4" x14ac:dyDescent="0.2">
      <c r="A7" s="1138" t="s">
        <v>1134</v>
      </c>
    </row>
  </sheetData>
  <sheetProtection password="9C8D" sheet="1" objects="1" scenarios="1"/>
  <mergeCells count="4">
    <mergeCell ref="A4:D4"/>
    <mergeCell ref="A1:D1"/>
    <mergeCell ref="A2:D2"/>
    <mergeCell ref="A3:D3"/>
  </mergeCells>
  <pageMargins left="0.511811024" right="0.511811024" top="0.78740157499999996" bottom="0.78740157499999996" header="0.31496062000000002" footer="0.3149606200000000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indowProtection="1" workbookViewId="0">
      <selection activeCell="E7" sqref="E7"/>
    </sheetView>
  </sheetViews>
  <sheetFormatPr defaultRowHeight="12.75" x14ac:dyDescent="0.2"/>
  <cols>
    <col min="1" max="1" width="17.7109375" customWidth="1"/>
    <col min="2" max="2" width="15.42578125" bestFit="1" customWidth="1"/>
    <col min="3" max="3" width="13.5703125" bestFit="1" customWidth="1"/>
    <col min="4" max="4" width="18.5703125" bestFit="1" customWidth="1"/>
  </cols>
  <sheetData>
    <row r="1" spans="1:5" x14ac:dyDescent="0.2">
      <c r="A1" s="1370" t="s">
        <v>1150</v>
      </c>
      <c r="B1" s="1370"/>
      <c r="C1" s="1370"/>
      <c r="D1" s="1370"/>
    </row>
    <row r="2" spans="1:5" ht="24.75" customHeight="1" x14ac:dyDescent="0.2">
      <c r="A2" s="1369" t="s">
        <v>1151</v>
      </c>
      <c r="B2" s="1369"/>
      <c r="C2" s="1369"/>
      <c r="D2" s="1369"/>
    </row>
    <row r="3" spans="1:5" x14ac:dyDescent="0.2">
      <c r="A3" s="1370" t="s">
        <v>1136</v>
      </c>
      <c r="B3" s="1370"/>
      <c r="C3" s="1370"/>
      <c r="D3" s="1370"/>
      <c r="E3" s="1142"/>
    </row>
    <row r="4" spans="1:5" x14ac:dyDescent="0.2">
      <c r="A4" s="1409" t="s">
        <v>1</v>
      </c>
      <c r="B4" s="1409"/>
      <c r="C4" s="1409"/>
      <c r="D4" s="1409"/>
      <c r="E4" s="1142"/>
    </row>
    <row r="5" spans="1:5" x14ac:dyDescent="0.2">
      <c r="A5" s="1135" t="s">
        <v>1138</v>
      </c>
      <c r="B5" s="1135" t="s">
        <v>1139</v>
      </c>
      <c r="C5" s="1135" t="s">
        <v>1140</v>
      </c>
      <c r="D5" s="1135" t="s">
        <v>1141</v>
      </c>
      <c r="E5" s="1142"/>
    </row>
    <row r="6" spans="1:5" x14ac:dyDescent="0.2">
      <c r="A6" s="1088" t="s">
        <v>1142</v>
      </c>
      <c r="B6" s="1139">
        <v>23826</v>
      </c>
      <c r="C6" s="1139">
        <v>16665</v>
      </c>
      <c r="D6" s="1139">
        <v>537366</v>
      </c>
      <c r="E6" s="1142"/>
    </row>
    <row r="7" spans="1:5" x14ac:dyDescent="0.2">
      <c r="A7" s="1088" t="s">
        <v>1143</v>
      </c>
      <c r="B7" s="1139">
        <v>3096</v>
      </c>
      <c r="C7" s="1139">
        <v>2086</v>
      </c>
      <c r="D7" s="1139">
        <v>77152</v>
      </c>
      <c r="E7" s="1142"/>
    </row>
    <row r="8" spans="1:5" x14ac:dyDescent="0.2">
      <c r="A8" s="1088" t="s">
        <v>1144</v>
      </c>
      <c r="B8" s="1139">
        <v>1518</v>
      </c>
      <c r="C8" s="1139">
        <v>1180</v>
      </c>
      <c r="D8" s="1139">
        <v>13842</v>
      </c>
      <c r="E8" s="1142"/>
    </row>
    <row r="9" spans="1:5" x14ac:dyDescent="0.2">
      <c r="A9" s="1088" t="s">
        <v>1145</v>
      </c>
      <c r="B9" s="1090">
        <v>49</v>
      </c>
      <c r="C9" s="1090">
        <v>46</v>
      </c>
      <c r="D9" s="1090">
        <v>90</v>
      </c>
      <c r="E9" s="1142"/>
    </row>
    <row r="10" spans="1:5" x14ac:dyDescent="0.2">
      <c r="A10" s="1088" t="s">
        <v>1146</v>
      </c>
      <c r="B10" s="1090">
        <v>95</v>
      </c>
      <c r="C10" s="1090">
        <v>79</v>
      </c>
      <c r="D10" s="1139">
        <v>52743</v>
      </c>
      <c r="E10" s="1142"/>
    </row>
    <row r="11" spans="1:5" x14ac:dyDescent="0.2">
      <c r="A11" s="1088" t="s">
        <v>1147</v>
      </c>
      <c r="B11" s="1090">
        <v>388</v>
      </c>
      <c r="C11" s="1090">
        <v>315</v>
      </c>
      <c r="D11" s="1139">
        <v>38838</v>
      </c>
      <c r="E11" s="1142"/>
    </row>
    <row r="12" spans="1:5" x14ac:dyDescent="0.2">
      <c r="A12" s="1088" t="s">
        <v>1148</v>
      </c>
      <c r="B12" s="1139">
        <v>3994</v>
      </c>
      <c r="C12" s="1139">
        <v>2545</v>
      </c>
      <c r="D12" s="1139">
        <v>96142</v>
      </c>
      <c r="E12" s="1142"/>
    </row>
    <row r="13" spans="1:5" x14ac:dyDescent="0.2">
      <c r="A13" s="1140" t="s">
        <v>29</v>
      </c>
      <c r="B13" s="1141">
        <v>32966</v>
      </c>
      <c r="C13" s="1141">
        <v>22916</v>
      </c>
      <c r="D13" s="1141">
        <v>816173</v>
      </c>
      <c r="E13" s="1142"/>
    </row>
    <row r="14" spans="1:5" x14ac:dyDescent="0.2">
      <c r="A14" s="1410" t="s">
        <v>1149</v>
      </c>
      <c r="B14" s="1410"/>
      <c r="C14" s="1410"/>
      <c r="D14" s="1410"/>
      <c r="E14" s="1142"/>
    </row>
  </sheetData>
  <sheetProtection password="9C8D" sheet="1" objects="1" scenarios="1"/>
  <mergeCells count="5">
    <mergeCell ref="A4:D4"/>
    <mergeCell ref="A3:D3"/>
    <mergeCell ref="A14:D14"/>
    <mergeCell ref="A1:D1"/>
    <mergeCell ref="A2:D2"/>
  </mergeCells>
  <pageMargins left="0.511811024" right="0.511811024" top="0.78740157499999996" bottom="0.78740157499999996" header="0.31496062000000002" footer="0.3149606200000000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indowProtection="1" workbookViewId="0">
      <selection activeCell="A8" sqref="A8"/>
    </sheetView>
  </sheetViews>
  <sheetFormatPr defaultRowHeight="12.75" x14ac:dyDescent="0.2"/>
  <cols>
    <col min="1" max="1" width="45.7109375" customWidth="1"/>
  </cols>
  <sheetData>
    <row r="1" spans="1:7" x14ac:dyDescent="0.2">
      <c r="A1" s="1370" t="s">
        <v>1198</v>
      </c>
      <c r="B1" s="1370"/>
      <c r="C1" s="1370"/>
      <c r="D1" s="1370"/>
      <c r="E1" s="1370"/>
      <c r="F1" s="1370"/>
      <c r="G1" s="1370"/>
    </row>
    <row r="2" spans="1:7" ht="27.75" customHeight="1" x14ac:dyDescent="0.2">
      <c r="A2" s="1369" t="s">
        <v>1199</v>
      </c>
      <c r="B2" s="1369"/>
      <c r="C2" s="1369"/>
      <c r="D2" s="1369"/>
      <c r="E2" s="1369"/>
      <c r="F2" s="1369"/>
      <c r="G2" s="1369"/>
    </row>
    <row r="3" spans="1:7" ht="16.5" thickBot="1" x14ac:dyDescent="0.25">
      <c r="A3" s="1055"/>
    </row>
    <row r="4" spans="1:7" ht="13.5" thickBot="1" x14ac:dyDescent="0.25">
      <c r="A4" s="1146"/>
      <c r="B4" s="1411" t="s">
        <v>1152</v>
      </c>
      <c r="C4" s="1412"/>
      <c r="D4" s="1411" t="s">
        <v>1153</v>
      </c>
      <c r="E4" s="1412"/>
      <c r="F4" s="1411" t="s">
        <v>1154</v>
      </c>
      <c r="G4" s="1412"/>
    </row>
    <row r="5" spans="1:7" x14ac:dyDescent="0.2">
      <c r="A5" s="1413" t="s">
        <v>1155</v>
      </c>
      <c r="B5" s="1415" t="s">
        <v>1156</v>
      </c>
      <c r="C5" s="1415" t="s">
        <v>1157</v>
      </c>
      <c r="D5" s="1417">
        <v>12284</v>
      </c>
      <c r="E5" s="1415" t="s">
        <v>1158</v>
      </c>
      <c r="F5" s="1417">
        <v>13188</v>
      </c>
      <c r="G5" s="1415" t="s">
        <v>1159</v>
      </c>
    </row>
    <row r="6" spans="1:7" ht="13.5" thickBot="1" x14ac:dyDescent="0.25">
      <c r="A6" s="1414"/>
      <c r="B6" s="1416"/>
      <c r="C6" s="1416"/>
      <c r="D6" s="1418"/>
      <c r="E6" s="1416"/>
      <c r="F6" s="1418"/>
      <c r="G6" s="1416"/>
    </row>
    <row r="7" spans="1:7" ht="26.25" thickBot="1" x14ac:dyDescent="0.25">
      <c r="A7" s="1143" t="s">
        <v>1160</v>
      </c>
      <c r="B7" s="1144" t="s">
        <v>1161</v>
      </c>
      <c r="C7" s="1145" t="s">
        <v>1162</v>
      </c>
      <c r="D7" s="1144" t="s">
        <v>1163</v>
      </c>
      <c r="E7" s="1144" t="s">
        <v>1164</v>
      </c>
      <c r="F7" s="1144" t="s">
        <v>1165</v>
      </c>
      <c r="G7" s="1144" t="s">
        <v>1164</v>
      </c>
    </row>
    <row r="8" spans="1:7" ht="39" thickBot="1" x14ac:dyDescent="0.25">
      <c r="A8" s="1143" t="s">
        <v>1166</v>
      </c>
      <c r="B8" s="1145" t="s">
        <v>1167</v>
      </c>
      <c r="C8" s="1145" t="s">
        <v>1168</v>
      </c>
      <c r="D8" s="1144" t="s">
        <v>1169</v>
      </c>
      <c r="E8" s="1144" t="s">
        <v>1170</v>
      </c>
      <c r="F8" s="1144" t="s">
        <v>1171</v>
      </c>
      <c r="G8" s="1144" t="s">
        <v>1172</v>
      </c>
    </row>
    <row r="9" spans="1:7" x14ac:dyDescent="0.2">
      <c r="A9" s="1413" t="s">
        <v>1173</v>
      </c>
      <c r="B9" s="1415" t="s">
        <v>1174</v>
      </c>
      <c r="C9" s="1415" t="s">
        <v>1175</v>
      </c>
      <c r="D9" s="1419" t="s">
        <v>1176</v>
      </c>
      <c r="E9" s="1419" t="s">
        <v>1177</v>
      </c>
      <c r="F9" s="1419" t="s">
        <v>1178</v>
      </c>
      <c r="G9" s="1419" t="s">
        <v>1179</v>
      </c>
    </row>
    <row r="10" spans="1:7" ht="13.5" thickBot="1" x14ac:dyDescent="0.25">
      <c r="A10" s="1414"/>
      <c r="B10" s="1416"/>
      <c r="C10" s="1416"/>
      <c r="D10" s="1420"/>
      <c r="E10" s="1420"/>
      <c r="F10" s="1420"/>
      <c r="G10" s="1420"/>
    </row>
    <row r="11" spans="1:7" x14ac:dyDescent="0.2">
      <c r="A11" s="1413" t="s">
        <v>1180</v>
      </c>
      <c r="B11" s="1415" t="s">
        <v>1181</v>
      </c>
      <c r="C11" s="1415" t="s">
        <v>1164</v>
      </c>
      <c r="D11" s="1419" t="s">
        <v>1182</v>
      </c>
      <c r="E11" s="1419" t="s">
        <v>1183</v>
      </c>
      <c r="F11" s="1419" t="s">
        <v>1184</v>
      </c>
      <c r="G11" s="1419" t="s">
        <v>1164</v>
      </c>
    </row>
    <row r="12" spans="1:7" ht="13.5" thickBot="1" x14ac:dyDescent="0.25">
      <c r="A12" s="1414"/>
      <c r="B12" s="1416"/>
      <c r="C12" s="1416"/>
      <c r="D12" s="1420"/>
      <c r="E12" s="1420"/>
      <c r="F12" s="1420"/>
      <c r="G12" s="1420"/>
    </row>
    <row r="13" spans="1:7" x14ac:dyDescent="0.2">
      <c r="A13" s="1413" t="s">
        <v>1185</v>
      </c>
      <c r="B13" s="1415" t="s">
        <v>1186</v>
      </c>
      <c r="C13" s="1415" t="s">
        <v>1187</v>
      </c>
      <c r="D13" s="1419" t="s">
        <v>1188</v>
      </c>
      <c r="E13" s="1419" t="s">
        <v>1189</v>
      </c>
      <c r="F13" s="1419" t="s">
        <v>1190</v>
      </c>
      <c r="G13" s="1419" t="s">
        <v>1191</v>
      </c>
    </row>
    <row r="14" spans="1:7" ht="13.5" thickBot="1" x14ac:dyDescent="0.25">
      <c r="A14" s="1414"/>
      <c r="B14" s="1416"/>
      <c r="C14" s="1416"/>
      <c r="D14" s="1420"/>
      <c r="E14" s="1420"/>
      <c r="F14" s="1420"/>
      <c r="G14" s="1420"/>
    </row>
    <row r="15" spans="1:7" x14ac:dyDescent="0.2">
      <c r="A15" s="1413" t="s">
        <v>1192</v>
      </c>
      <c r="B15" s="1415" t="s">
        <v>1193</v>
      </c>
      <c r="C15" s="1415" t="s">
        <v>1164</v>
      </c>
      <c r="D15" s="1419" t="s">
        <v>1194</v>
      </c>
      <c r="E15" s="1419" t="s">
        <v>1195</v>
      </c>
      <c r="F15" s="1419" t="s">
        <v>1196</v>
      </c>
      <c r="G15" s="1419" t="s">
        <v>1197</v>
      </c>
    </row>
    <row r="16" spans="1:7" ht="13.5" thickBot="1" x14ac:dyDescent="0.25">
      <c r="A16" s="1414"/>
      <c r="B16" s="1416"/>
      <c r="C16" s="1416"/>
      <c r="D16" s="1420"/>
      <c r="E16" s="1420"/>
      <c r="F16" s="1420"/>
      <c r="G16" s="1420"/>
    </row>
  </sheetData>
  <sheetProtection password="9C8D" sheet="1" objects="1" scenarios="1"/>
  <mergeCells count="40">
    <mergeCell ref="A1:G1"/>
    <mergeCell ref="A2:G2"/>
    <mergeCell ref="G13:G14"/>
    <mergeCell ref="A15:A16"/>
    <mergeCell ref="B15:B16"/>
    <mergeCell ref="C15:C16"/>
    <mergeCell ref="D15:D16"/>
    <mergeCell ref="E15:E16"/>
    <mergeCell ref="F15:F16"/>
    <mergeCell ref="G15:G16"/>
    <mergeCell ref="A13:A14"/>
    <mergeCell ref="B13:B14"/>
    <mergeCell ref="C13:C14"/>
    <mergeCell ref="D13:D14"/>
    <mergeCell ref="E13:E14"/>
    <mergeCell ref="F13:F14"/>
    <mergeCell ref="G9:G10"/>
    <mergeCell ref="A11:A12"/>
    <mergeCell ref="B11:B12"/>
    <mergeCell ref="C11:C12"/>
    <mergeCell ref="D11:D12"/>
    <mergeCell ref="E11:E12"/>
    <mergeCell ref="F11:F12"/>
    <mergeCell ref="G11:G12"/>
    <mergeCell ref="A9:A10"/>
    <mergeCell ref="B9:B10"/>
    <mergeCell ref="C9:C10"/>
    <mergeCell ref="D9:D10"/>
    <mergeCell ref="E9:E10"/>
    <mergeCell ref="F9:F10"/>
    <mergeCell ref="B4:C4"/>
    <mergeCell ref="D4:E4"/>
    <mergeCell ref="F4:G4"/>
    <mergeCell ref="A5:A6"/>
    <mergeCell ref="B5:B6"/>
    <mergeCell ref="C5:C6"/>
    <mergeCell ref="D5:D6"/>
    <mergeCell ref="E5:E6"/>
    <mergeCell ref="F5:F6"/>
    <mergeCell ref="G5:G6"/>
  </mergeCells>
  <pageMargins left="0.511811024" right="0.511811024" top="0.78740157499999996" bottom="0.78740157499999996" header="0.31496062000000002" footer="0.31496062000000002"/>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indowProtection="1" workbookViewId="0">
      <selection activeCell="A22" sqref="A22"/>
    </sheetView>
  </sheetViews>
  <sheetFormatPr defaultRowHeight="12.75" x14ac:dyDescent="0.2"/>
  <cols>
    <col min="1" max="1" width="69" customWidth="1"/>
    <col min="2" max="2" width="5.85546875" bestFit="1" customWidth="1"/>
  </cols>
  <sheetData>
    <row r="1" spans="1:2" x14ac:dyDescent="0.2">
      <c r="A1" s="1370" t="s">
        <v>1219</v>
      </c>
      <c r="B1" s="1370"/>
    </row>
    <row r="2" spans="1:2" x14ac:dyDescent="0.2">
      <c r="A2" s="1370" t="s">
        <v>1220</v>
      </c>
      <c r="B2" s="1370"/>
    </row>
    <row r="3" spans="1:2" x14ac:dyDescent="0.2">
      <c r="A3" s="1370" t="s">
        <v>1200</v>
      </c>
      <c r="B3" s="1370"/>
    </row>
    <row r="4" spans="1:2" x14ac:dyDescent="0.2">
      <c r="A4" s="1147" t="s">
        <v>867</v>
      </c>
      <c r="B4" s="1147" t="s">
        <v>7</v>
      </c>
    </row>
    <row r="5" spans="1:2" x14ac:dyDescent="0.2">
      <c r="A5" s="1148" t="s">
        <v>1201</v>
      </c>
      <c r="B5" s="1134">
        <v>24.7</v>
      </c>
    </row>
    <row r="6" spans="1:2" x14ac:dyDescent="0.2">
      <c r="A6" s="1088" t="s">
        <v>1202</v>
      </c>
      <c r="B6" s="1090">
        <v>7.9</v>
      </c>
    </row>
    <row r="7" spans="1:2" x14ac:dyDescent="0.2">
      <c r="A7" s="1088" t="s">
        <v>1203</v>
      </c>
      <c r="B7" s="1090">
        <v>7.2</v>
      </c>
    </row>
    <row r="8" spans="1:2" x14ac:dyDescent="0.2">
      <c r="A8" s="1088" t="s">
        <v>1204</v>
      </c>
      <c r="B8" s="1090">
        <v>8.3000000000000007</v>
      </c>
    </row>
    <row r="9" spans="1:2" x14ac:dyDescent="0.2">
      <c r="A9" s="1088" t="s">
        <v>1205</v>
      </c>
      <c r="B9" s="1090">
        <v>0.9</v>
      </c>
    </row>
    <row r="10" spans="1:2" ht="14.25" x14ac:dyDescent="0.2">
      <c r="A10" s="1088" t="s">
        <v>1206</v>
      </c>
      <c r="B10" s="1090">
        <v>0.1</v>
      </c>
    </row>
    <row r="11" spans="1:2" ht="14.25" x14ac:dyDescent="0.2">
      <c r="A11" s="1088" t="s">
        <v>1207</v>
      </c>
      <c r="B11" s="1090">
        <v>0.3</v>
      </c>
    </row>
    <row r="12" spans="1:2" x14ac:dyDescent="0.2">
      <c r="A12" s="1148" t="s">
        <v>1208</v>
      </c>
      <c r="B12" s="1134">
        <v>-3</v>
      </c>
    </row>
    <row r="13" spans="1:2" x14ac:dyDescent="0.2">
      <c r="A13" s="1088" t="s">
        <v>1209</v>
      </c>
      <c r="B13" s="1090">
        <v>-1.4</v>
      </c>
    </row>
    <row r="14" spans="1:2" x14ac:dyDescent="0.2">
      <c r="A14" s="1149" t="s">
        <v>1210</v>
      </c>
      <c r="B14" s="1090">
        <v>-1.3</v>
      </c>
    </row>
    <row r="15" spans="1:2" x14ac:dyDescent="0.2">
      <c r="A15" s="1088" t="s">
        <v>1211</v>
      </c>
      <c r="B15" s="1090">
        <v>-0.1</v>
      </c>
    </row>
    <row r="16" spans="1:2" ht="14.25" x14ac:dyDescent="0.2">
      <c r="A16" s="1088" t="s">
        <v>1212</v>
      </c>
      <c r="B16" s="1090">
        <v>0</v>
      </c>
    </row>
    <row r="17" spans="1:2" ht="14.25" x14ac:dyDescent="0.2">
      <c r="A17" s="1088" t="s">
        <v>1213</v>
      </c>
      <c r="B17" s="1090">
        <v>-0.2</v>
      </c>
    </row>
    <row r="18" spans="1:2" x14ac:dyDescent="0.2">
      <c r="A18" s="1148" t="s">
        <v>1214</v>
      </c>
      <c r="B18" s="1134">
        <v>21.7</v>
      </c>
    </row>
    <row r="19" spans="1:2" x14ac:dyDescent="0.2">
      <c r="A19" s="1148" t="s">
        <v>1215</v>
      </c>
      <c r="B19" s="1134">
        <v>-8.4</v>
      </c>
    </row>
    <row r="20" spans="1:2" x14ac:dyDescent="0.2">
      <c r="A20" s="1147" t="s">
        <v>1216</v>
      </c>
      <c r="B20" s="1150">
        <v>13.3</v>
      </c>
    </row>
    <row r="21" spans="1:2" x14ac:dyDescent="0.2">
      <c r="A21" s="1151" t="s">
        <v>1217</v>
      </c>
    </row>
    <row r="22" spans="1:2" ht="178.5" x14ac:dyDescent="0.2">
      <c r="A22" s="1151" t="s">
        <v>1218</v>
      </c>
    </row>
  </sheetData>
  <sheetProtection password="9C8D" sheet="1" objects="1" scenarios="1"/>
  <mergeCells count="3">
    <mergeCell ref="A1:B1"/>
    <mergeCell ref="A2:B2"/>
    <mergeCell ref="A3:B3"/>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indowProtection="1" showGridLines="0" workbookViewId="0">
      <selection activeCell="F6" sqref="F6"/>
    </sheetView>
  </sheetViews>
  <sheetFormatPr defaultRowHeight="12.75" x14ac:dyDescent="0.2"/>
  <cols>
    <col min="1" max="1" width="32.42578125" customWidth="1"/>
    <col min="2" max="2" width="15.85546875" customWidth="1"/>
    <col min="3" max="3" width="10" customWidth="1"/>
    <col min="4" max="4" width="12.5703125" customWidth="1"/>
    <col min="5" max="5" width="11.85546875" bestFit="1" customWidth="1"/>
    <col min="6" max="6" width="12.28515625" bestFit="1" customWidth="1"/>
    <col min="7" max="7" width="10.7109375" customWidth="1"/>
    <col min="8" max="8" width="10.28515625" bestFit="1" customWidth="1"/>
  </cols>
  <sheetData>
    <row r="1" spans="1:9" ht="15.75" x14ac:dyDescent="0.25">
      <c r="A1" s="1225" t="s">
        <v>539</v>
      </c>
      <c r="B1" s="1225"/>
      <c r="C1" s="1225"/>
      <c r="D1" s="1225"/>
      <c r="E1" s="1225"/>
    </row>
    <row r="2" spans="1:9" ht="18" x14ac:dyDescent="0.2">
      <c r="A2" s="1226" t="s">
        <v>1012</v>
      </c>
      <c r="B2" s="1226"/>
      <c r="C2" s="1226"/>
      <c r="D2" s="1226"/>
      <c r="E2" s="1226"/>
    </row>
    <row r="3" spans="1:9" ht="15" x14ac:dyDescent="0.2">
      <c r="A3" s="1226" t="str">
        <f>[1]Dados!$A18</f>
        <v>Exercício 2015</v>
      </c>
      <c r="B3" s="1226"/>
      <c r="C3" s="1226"/>
      <c r="D3" s="1226"/>
      <c r="E3" s="1226"/>
    </row>
    <row r="4" spans="1:9" x14ac:dyDescent="0.2">
      <c r="A4" s="99"/>
      <c r="B4" s="99"/>
      <c r="C4" s="99"/>
      <c r="D4" s="99"/>
      <c r="E4" s="99"/>
    </row>
    <row r="5" spans="1:9" x14ac:dyDescent="0.2">
      <c r="A5" s="1227" t="s">
        <v>1</v>
      </c>
      <c r="B5" s="1227"/>
      <c r="C5" s="1227"/>
      <c r="D5" s="1227"/>
      <c r="E5" s="1227"/>
    </row>
    <row r="6" spans="1:9" ht="37.5" customHeight="1" x14ac:dyDescent="0.2">
      <c r="A6" s="802" t="s">
        <v>184</v>
      </c>
      <c r="B6" s="802" t="s">
        <v>540</v>
      </c>
      <c r="C6" s="802" t="s">
        <v>8</v>
      </c>
      <c r="D6" s="802" t="s">
        <v>7</v>
      </c>
      <c r="E6" s="802" t="s">
        <v>8</v>
      </c>
      <c r="F6" s="803"/>
      <c r="G6" s="804"/>
    </row>
    <row r="7" spans="1:9" ht="20.100000000000001" customHeight="1" x14ac:dyDescent="0.2">
      <c r="A7" s="250" t="s">
        <v>541</v>
      </c>
      <c r="B7" s="520">
        <f>'[1]2'!C10</f>
        <v>13473</v>
      </c>
      <c r="C7" s="577">
        <f>ROUND(B7/$B$15*100,2)</f>
        <v>0.96</v>
      </c>
      <c r="D7" s="520">
        <f>'[1]2'!D10</f>
        <v>101488</v>
      </c>
      <c r="E7" s="577">
        <f>ROUND(D7/$D$15*100,2)</f>
        <v>4.3499999999999996</v>
      </c>
      <c r="F7" s="63"/>
      <c r="G7" s="63"/>
      <c r="H7" s="63"/>
    </row>
    <row r="8" spans="1:9" ht="20.100000000000001" customHeight="1" x14ac:dyDescent="0.2">
      <c r="A8" s="256" t="s">
        <v>542</v>
      </c>
      <c r="B8" s="520">
        <f>'[1]2'!C11+'[1]2'!C20</f>
        <v>1314429</v>
      </c>
      <c r="C8" s="577">
        <f t="shared" ref="C8:C14" si="0">ROUND(B8/$B$15*100,2)</f>
        <v>93.34</v>
      </c>
      <c r="D8" s="520">
        <f>'[1]2'!D11+'[1]2'!D20</f>
        <v>1703457</v>
      </c>
      <c r="E8" s="577">
        <f t="shared" ref="E8:E14" si="1">ROUND(D8/$D$15*100,2)</f>
        <v>72.94</v>
      </c>
      <c r="F8" s="63"/>
      <c r="G8" s="455"/>
      <c r="H8" s="63"/>
    </row>
    <row r="9" spans="1:9" ht="20.100000000000001" customHeight="1" x14ac:dyDescent="0.2">
      <c r="A9" s="256" t="s">
        <v>543</v>
      </c>
      <c r="B9" s="520">
        <f>261+1680</f>
        <v>1941</v>
      </c>
      <c r="C9" s="577">
        <f t="shared" si="0"/>
        <v>0.14000000000000001</v>
      </c>
      <c r="D9" s="520">
        <v>2903</v>
      </c>
      <c r="E9" s="577">
        <f t="shared" si="1"/>
        <v>0.12</v>
      </c>
      <c r="F9" s="63"/>
      <c r="G9" s="63"/>
      <c r="H9" s="63"/>
    </row>
    <row r="10" spans="1:9" ht="20.100000000000001" customHeight="1" x14ac:dyDescent="0.2">
      <c r="A10" s="250" t="s">
        <v>544</v>
      </c>
      <c r="B10" s="520">
        <f>28218+6</f>
        <v>28224</v>
      </c>
      <c r="C10" s="577">
        <f t="shared" si="0"/>
        <v>2</v>
      </c>
      <c r="D10" s="520">
        <v>151261</v>
      </c>
      <c r="E10" s="577">
        <f t="shared" si="1"/>
        <v>6.48</v>
      </c>
      <c r="F10" s="63"/>
      <c r="G10" s="63"/>
      <c r="H10" s="63"/>
    </row>
    <row r="11" spans="1:9" ht="20.100000000000001" customHeight="1" x14ac:dyDescent="0.2">
      <c r="A11" s="250" t="s">
        <v>545</v>
      </c>
      <c r="B11" s="520">
        <v>411</v>
      </c>
      <c r="C11" s="577">
        <f t="shared" si="0"/>
        <v>0.03</v>
      </c>
      <c r="D11" s="520">
        <v>3112</v>
      </c>
      <c r="E11" s="577">
        <f t="shared" si="1"/>
        <v>0.13</v>
      </c>
      <c r="F11" s="578"/>
      <c r="G11" s="63"/>
      <c r="H11" s="63"/>
    </row>
    <row r="12" spans="1:9" ht="20.100000000000001" customHeight="1" x14ac:dyDescent="0.2">
      <c r="A12" s="250" t="s">
        <v>546</v>
      </c>
      <c r="B12" s="520">
        <v>2388</v>
      </c>
      <c r="C12" s="577">
        <f t="shared" si="0"/>
        <v>0.17</v>
      </c>
      <c r="D12" s="520">
        <v>12363</v>
      </c>
      <c r="E12" s="577">
        <f t="shared" si="1"/>
        <v>0.53</v>
      </c>
      <c r="F12" s="578"/>
      <c r="G12" s="63"/>
      <c r="H12" s="63"/>
    </row>
    <row r="13" spans="1:9" ht="20.100000000000001" customHeight="1" x14ac:dyDescent="0.2">
      <c r="A13" s="250" t="s">
        <v>547</v>
      </c>
      <c r="B13" s="520">
        <f>31227+111</f>
        <v>31338</v>
      </c>
      <c r="C13" s="577">
        <f t="shared" si="0"/>
        <v>2.23</v>
      </c>
      <c r="D13" s="520">
        <v>287331</v>
      </c>
      <c r="E13" s="577">
        <f t="shared" si="1"/>
        <v>12.3</v>
      </c>
      <c r="F13" s="578"/>
      <c r="G13" s="63"/>
      <c r="H13" s="63"/>
    </row>
    <row r="14" spans="1:9" ht="20.100000000000001" customHeight="1" x14ac:dyDescent="0.2">
      <c r="A14" s="250" t="s">
        <v>548</v>
      </c>
      <c r="B14" s="520">
        <v>16011</v>
      </c>
      <c r="C14" s="577">
        <f t="shared" si="0"/>
        <v>1.1399999999999999</v>
      </c>
      <c r="D14" s="520">
        <v>73420</v>
      </c>
      <c r="E14" s="577">
        <f t="shared" si="1"/>
        <v>3.14</v>
      </c>
      <c r="F14" s="578"/>
      <c r="G14" s="63"/>
      <c r="H14" s="63"/>
    </row>
    <row r="15" spans="1:9" ht="27.75" customHeight="1" x14ac:dyDescent="0.2">
      <c r="A15" s="802" t="s">
        <v>29</v>
      </c>
      <c r="B15" s="259">
        <f>SUM(B7:B14)</f>
        <v>1408215</v>
      </c>
      <c r="C15" s="579">
        <f>SUM(C7:C14)</f>
        <v>100.01</v>
      </c>
      <c r="D15" s="226">
        <f>SUM(D7:D14)</f>
        <v>2335335</v>
      </c>
      <c r="E15" s="579">
        <f>SUM(E7:E14)</f>
        <v>99.99</v>
      </c>
      <c r="F15" s="260"/>
      <c r="G15" s="254"/>
      <c r="H15" s="254"/>
      <c r="I15" s="4"/>
    </row>
    <row r="16" spans="1:9" x14ac:dyDescent="0.2">
      <c r="A16" s="1228" t="s">
        <v>185</v>
      </c>
      <c r="B16" s="1228"/>
      <c r="C16" s="1228"/>
      <c r="D16" s="1228"/>
      <c r="E16" s="1228"/>
      <c r="F16" s="63"/>
      <c r="G16" s="254"/>
      <c r="H16" s="63"/>
    </row>
    <row r="17" spans="1:10" s="1003" customFormat="1" ht="40.5" customHeight="1" x14ac:dyDescent="0.2">
      <c r="A17" s="1224" t="s">
        <v>1013</v>
      </c>
      <c r="B17" s="1224"/>
      <c r="C17" s="1224"/>
      <c r="D17" s="1224"/>
      <c r="E17" s="1224"/>
      <c r="F17" s="1052"/>
      <c r="G17" s="1052"/>
      <c r="H17" s="1053"/>
    </row>
    <row r="18" spans="1:10" x14ac:dyDescent="0.2">
      <c r="A18" s="1054"/>
      <c r="B18" s="1054"/>
      <c r="C18" s="1054"/>
      <c r="D18" s="1054"/>
      <c r="E18" s="1054"/>
      <c r="F18" s="258"/>
      <c r="G18" s="254"/>
      <c r="H18" s="63"/>
    </row>
    <row r="19" spans="1:10" x14ac:dyDescent="0.2">
      <c r="B19" s="4"/>
      <c r="C19" s="4"/>
      <c r="D19" s="13"/>
      <c r="F19" s="258"/>
      <c r="G19" s="254"/>
      <c r="H19" s="63"/>
      <c r="J19" s="13"/>
    </row>
    <row r="20" spans="1:10" x14ac:dyDescent="0.2">
      <c r="A20" s="42"/>
      <c r="B20" s="4"/>
      <c r="D20" s="4"/>
      <c r="E20" s="441"/>
      <c r="F20" s="254"/>
      <c r="G20" s="367"/>
      <c r="H20" s="63"/>
    </row>
    <row r="21" spans="1:10" x14ac:dyDescent="0.2">
      <c r="H21" s="255"/>
    </row>
    <row r="22" spans="1:10" x14ac:dyDescent="0.2">
      <c r="B22" s="4"/>
      <c r="D22" s="4"/>
    </row>
    <row r="24" spans="1:10" x14ac:dyDescent="0.2">
      <c r="D24" s="178"/>
    </row>
  </sheetData>
  <sheetProtection password="9C8D" sheet="1" objects="1" scenarios="1"/>
  <mergeCells count="6">
    <mergeCell ref="A17:E17"/>
    <mergeCell ref="A1:E1"/>
    <mergeCell ref="A2:E2"/>
    <mergeCell ref="A3:E3"/>
    <mergeCell ref="A5:E5"/>
    <mergeCell ref="A16:E16"/>
  </mergeCells>
  <pageMargins left="0.78740157499999996" right="0.78740157499999996" top="0.984251969" bottom="0.984251969" header="0.49212598499999999" footer="0.49212598499999999"/>
  <pageSetup orientation="portrait" r:id="rId1"/>
  <headerFooter alignWithMargin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indowProtection="1" topLeftCell="L1" workbookViewId="0">
      <selection activeCell="L1" sqref="L1"/>
    </sheetView>
  </sheetViews>
  <sheetFormatPr defaultRowHeight="12.75" x14ac:dyDescent="0.2"/>
  <cols>
    <col min="1" max="1" width="72.85546875" customWidth="1"/>
    <col min="2" max="2" width="6.140625" bestFit="1" customWidth="1"/>
  </cols>
  <sheetData>
    <row r="1" spans="1:2" x14ac:dyDescent="0.2">
      <c r="A1" s="1370" t="s">
        <v>1240</v>
      </c>
      <c r="B1" s="1370"/>
    </row>
    <row r="2" spans="1:2" x14ac:dyDescent="0.2">
      <c r="A2" s="1370" t="s">
        <v>1241</v>
      </c>
      <c r="B2" s="1370"/>
    </row>
    <row r="3" spans="1:2" x14ac:dyDescent="0.2">
      <c r="A3" s="1370" t="s">
        <v>1200</v>
      </c>
      <c r="B3" s="1370"/>
    </row>
    <row r="4" spans="1:2" x14ac:dyDescent="0.2">
      <c r="A4" s="1147" t="s">
        <v>1221</v>
      </c>
      <c r="B4" s="1147" t="s">
        <v>1222</v>
      </c>
    </row>
    <row r="5" spans="1:2" ht="15.75" x14ac:dyDescent="0.2">
      <c r="A5" s="1152" t="s">
        <v>1223</v>
      </c>
      <c r="B5" s="1153">
        <v>24.9</v>
      </c>
    </row>
    <row r="6" spans="1:2" ht="15.75" x14ac:dyDescent="0.2">
      <c r="A6" s="1154" t="s">
        <v>1224</v>
      </c>
      <c r="B6" s="1155">
        <v>7.8</v>
      </c>
    </row>
    <row r="7" spans="1:2" ht="18.75" x14ac:dyDescent="0.2">
      <c r="A7" s="1154" t="s">
        <v>1225</v>
      </c>
      <c r="B7" s="1155">
        <v>6.4</v>
      </c>
    </row>
    <row r="8" spans="1:2" ht="15.75" x14ac:dyDescent="0.2">
      <c r="A8" s="1154" t="s">
        <v>1226</v>
      </c>
      <c r="B8" s="1155">
        <v>9</v>
      </c>
    </row>
    <row r="9" spans="1:2" ht="15.75" x14ac:dyDescent="0.2">
      <c r="A9" s="1154" t="s">
        <v>1227</v>
      </c>
      <c r="B9" s="1155">
        <v>1.1000000000000001</v>
      </c>
    </row>
    <row r="10" spans="1:2" ht="18.75" x14ac:dyDescent="0.2">
      <c r="A10" s="1154" t="s">
        <v>1228</v>
      </c>
      <c r="B10" s="1155">
        <v>0</v>
      </c>
    </row>
    <row r="11" spans="1:2" ht="18.75" x14ac:dyDescent="0.2">
      <c r="A11" s="1154" t="s">
        <v>1229</v>
      </c>
      <c r="B11" s="1155">
        <v>0.6</v>
      </c>
    </row>
    <row r="12" spans="1:2" ht="15.75" x14ac:dyDescent="0.2">
      <c r="A12" s="1152" t="s">
        <v>1208</v>
      </c>
      <c r="B12" s="1153">
        <v>-2.8</v>
      </c>
    </row>
    <row r="13" spans="1:2" ht="15.75" x14ac:dyDescent="0.2">
      <c r="A13" s="1154" t="s">
        <v>1230</v>
      </c>
      <c r="B13" s="1155">
        <v>-1.3</v>
      </c>
    </row>
    <row r="14" spans="1:2" ht="15.75" x14ac:dyDescent="0.2">
      <c r="A14" s="1156" t="s">
        <v>1231</v>
      </c>
      <c r="B14" s="1155">
        <v>-1.2</v>
      </c>
    </row>
    <row r="15" spans="1:2" ht="15.75" x14ac:dyDescent="0.2">
      <c r="A15" s="1154" t="s">
        <v>1232</v>
      </c>
      <c r="B15" s="1155">
        <v>0</v>
      </c>
    </row>
    <row r="16" spans="1:2" ht="18.75" x14ac:dyDescent="0.2">
      <c r="A16" s="1154" t="s">
        <v>1233</v>
      </c>
      <c r="B16" s="1155">
        <v>0</v>
      </c>
    </row>
    <row r="17" spans="1:2" ht="18.75" x14ac:dyDescent="0.2">
      <c r="A17" s="1154" t="s">
        <v>1234</v>
      </c>
      <c r="B17" s="1155">
        <v>-0.3</v>
      </c>
    </row>
    <row r="18" spans="1:2" ht="15.75" x14ac:dyDescent="0.2">
      <c r="A18" s="1152" t="s">
        <v>1235</v>
      </c>
      <c r="B18" s="1153">
        <v>22.1</v>
      </c>
    </row>
    <row r="19" spans="1:2" ht="15.75" x14ac:dyDescent="0.2">
      <c r="A19" s="1152" t="s">
        <v>1236</v>
      </c>
      <c r="B19" s="1153">
        <v>-9.1999999999999993</v>
      </c>
    </row>
    <row r="20" spans="1:2" x14ac:dyDescent="0.2">
      <c r="A20" s="1147" t="s">
        <v>1237</v>
      </c>
      <c r="B20" s="1147">
        <v>12.9</v>
      </c>
    </row>
    <row r="21" spans="1:2" x14ac:dyDescent="0.2">
      <c r="A21" s="1151" t="s">
        <v>1238</v>
      </c>
    </row>
    <row r="22" spans="1:2" ht="204" x14ac:dyDescent="0.2">
      <c r="A22" s="1151" t="s">
        <v>1239</v>
      </c>
    </row>
  </sheetData>
  <sheetProtection password="9C8D" sheet="1" objects="1" scenarios="1"/>
  <mergeCells count="3">
    <mergeCell ref="A1:B1"/>
    <mergeCell ref="A2:B2"/>
    <mergeCell ref="A3:B3"/>
  </mergeCells>
  <pageMargins left="0.511811024" right="0.511811024" top="0.78740157499999996" bottom="0.78740157499999996" header="0.31496062000000002" footer="0.31496062000000002"/>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indowProtection="1" workbookViewId="0">
      <selection activeCell="A18" sqref="A18:J18"/>
    </sheetView>
  </sheetViews>
  <sheetFormatPr defaultRowHeight="12.75" x14ac:dyDescent="0.2"/>
  <sheetData>
    <row r="1" spans="1:10" x14ac:dyDescent="0.2">
      <c r="A1" s="1370" t="s">
        <v>1254</v>
      </c>
      <c r="B1" s="1370"/>
      <c r="C1" s="1370"/>
      <c r="D1" s="1370"/>
      <c r="E1" s="1370"/>
      <c r="F1" s="1370"/>
      <c r="G1" s="1370"/>
      <c r="H1" s="1370"/>
      <c r="I1" s="1370"/>
      <c r="J1" s="1370"/>
    </row>
    <row r="2" spans="1:10" x14ac:dyDescent="0.2">
      <c r="A2" s="1370" t="s">
        <v>1255</v>
      </c>
      <c r="B2" s="1370"/>
      <c r="C2" s="1370"/>
      <c r="D2" s="1370"/>
      <c r="E2" s="1370"/>
      <c r="F2" s="1370"/>
      <c r="G2" s="1370"/>
      <c r="H2" s="1370"/>
      <c r="I2" s="1370"/>
      <c r="J2" s="1370"/>
    </row>
    <row r="3" spans="1:10" x14ac:dyDescent="0.2">
      <c r="A3" s="1370" t="s">
        <v>1200</v>
      </c>
      <c r="B3" s="1370"/>
      <c r="C3" s="1370"/>
      <c r="D3" s="1370"/>
      <c r="E3" s="1370"/>
      <c r="F3" s="1370"/>
      <c r="G3" s="1370"/>
      <c r="H3" s="1370"/>
      <c r="I3" s="1370"/>
      <c r="J3" s="1370"/>
    </row>
    <row r="4" spans="1:10" x14ac:dyDescent="0.2">
      <c r="A4" s="1157" t="s">
        <v>1242</v>
      </c>
      <c r="B4" s="1157" t="s">
        <v>1243</v>
      </c>
      <c r="C4" s="1157" t="s">
        <v>1244</v>
      </c>
      <c r="D4" s="1157" t="s">
        <v>1245</v>
      </c>
      <c r="E4" s="1157" t="s">
        <v>1246</v>
      </c>
      <c r="F4" s="1157" t="s">
        <v>143</v>
      </c>
      <c r="G4" s="1157" t="s">
        <v>1247</v>
      </c>
      <c r="H4" s="1157" t="s">
        <v>1248</v>
      </c>
      <c r="I4" s="1157" t="s">
        <v>222</v>
      </c>
      <c r="J4" s="1157" t="s">
        <v>1249</v>
      </c>
    </row>
    <row r="5" spans="1:10" x14ac:dyDescent="0.2">
      <c r="A5" s="1158" t="s">
        <v>168</v>
      </c>
      <c r="B5" s="1159">
        <v>55</v>
      </c>
      <c r="C5" s="1159">
        <v>85</v>
      </c>
      <c r="D5" s="1159">
        <v>175</v>
      </c>
      <c r="E5" s="1159">
        <v>50</v>
      </c>
      <c r="F5" s="1159">
        <v>90</v>
      </c>
      <c r="G5" s="1159">
        <v>130</v>
      </c>
      <c r="H5" s="1158" t="s">
        <v>1250</v>
      </c>
      <c r="I5" s="1160">
        <v>585</v>
      </c>
      <c r="J5" s="1160">
        <v>4.5</v>
      </c>
    </row>
    <row r="6" spans="1:10" x14ac:dyDescent="0.2">
      <c r="A6" s="1158" t="s">
        <v>172</v>
      </c>
      <c r="B6" s="1161">
        <v>1085</v>
      </c>
      <c r="C6" s="1159">
        <v>500</v>
      </c>
      <c r="D6" s="1159">
        <v>540</v>
      </c>
      <c r="E6" s="1159">
        <v>45</v>
      </c>
      <c r="F6" s="1159">
        <v>50</v>
      </c>
      <c r="G6" s="1159">
        <v>590</v>
      </c>
      <c r="H6" s="1159">
        <v>20</v>
      </c>
      <c r="I6" s="1162">
        <v>2830</v>
      </c>
      <c r="J6" s="1160">
        <v>21.9</v>
      </c>
    </row>
    <row r="7" spans="1:10" x14ac:dyDescent="0.2">
      <c r="A7" s="1158" t="s">
        <v>174</v>
      </c>
      <c r="B7" s="1159">
        <v>90</v>
      </c>
      <c r="C7" s="1159">
        <v>245</v>
      </c>
      <c r="D7" s="1159">
        <v>560</v>
      </c>
      <c r="E7" s="1159">
        <v>10</v>
      </c>
      <c r="F7" s="1159">
        <v>75</v>
      </c>
      <c r="G7" s="1159">
        <v>610</v>
      </c>
      <c r="H7" s="1159">
        <v>370</v>
      </c>
      <c r="I7" s="1162">
        <v>1960</v>
      </c>
      <c r="J7" s="1160">
        <v>15.2</v>
      </c>
    </row>
    <row r="8" spans="1:10" x14ac:dyDescent="0.2">
      <c r="A8" s="1158" t="s">
        <v>175</v>
      </c>
      <c r="B8" s="1159">
        <v>85</v>
      </c>
      <c r="C8" s="1159">
        <v>25</v>
      </c>
      <c r="D8" s="1159">
        <v>150</v>
      </c>
      <c r="E8" s="1159">
        <v>23</v>
      </c>
      <c r="F8" s="1159">
        <v>4</v>
      </c>
      <c r="G8" s="1159">
        <v>33</v>
      </c>
      <c r="H8" s="1158" t="s">
        <v>1250</v>
      </c>
      <c r="I8" s="1160">
        <v>320</v>
      </c>
      <c r="J8" s="1160">
        <v>2.5</v>
      </c>
    </row>
    <row r="9" spans="1:10" x14ac:dyDescent="0.2">
      <c r="A9" s="1158" t="s">
        <v>176</v>
      </c>
      <c r="B9" s="1159">
        <v>370</v>
      </c>
      <c r="C9" s="1159">
        <v>405</v>
      </c>
      <c r="D9" s="1159">
        <v>95</v>
      </c>
      <c r="E9" s="1159">
        <v>10</v>
      </c>
      <c r="F9" s="1159">
        <v>10</v>
      </c>
      <c r="G9" s="1159">
        <v>370</v>
      </c>
      <c r="H9" s="1158" t="s">
        <v>1250</v>
      </c>
      <c r="I9" s="1162">
        <v>1260</v>
      </c>
      <c r="J9" s="1160">
        <v>9.8000000000000007</v>
      </c>
    </row>
    <row r="10" spans="1:10" x14ac:dyDescent="0.2">
      <c r="A10" s="1158" t="s">
        <v>177</v>
      </c>
      <c r="B10" s="1159">
        <v>145</v>
      </c>
      <c r="C10" s="1159">
        <v>245</v>
      </c>
      <c r="D10" s="1159">
        <v>150</v>
      </c>
      <c r="E10" s="1159">
        <v>2</v>
      </c>
      <c r="F10" s="1159">
        <v>1</v>
      </c>
      <c r="G10" s="1159">
        <v>162</v>
      </c>
      <c r="H10" s="1158" t="s">
        <v>1250</v>
      </c>
      <c r="I10" s="1160">
        <v>705</v>
      </c>
      <c r="J10" s="1160">
        <v>5.5</v>
      </c>
    </row>
    <row r="11" spans="1:10" x14ac:dyDescent="0.2">
      <c r="A11" s="1158" t="s">
        <v>178</v>
      </c>
      <c r="B11" s="1159">
        <v>65</v>
      </c>
      <c r="C11" s="1159">
        <v>190</v>
      </c>
      <c r="D11" s="1159">
        <v>150</v>
      </c>
      <c r="E11" s="1159">
        <v>10</v>
      </c>
      <c r="F11" s="1159">
        <v>60</v>
      </c>
      <c r="G11" s="1159">
        <v>315</v>
      </c>
      <c r="H11" s="1158" t="s">
        <v>1250</v>
      </c>
      <c r="I11" s="1160">
        <v>790</v>
      </c>
      <c r="J11" s="1160">
        <v>6.1</v>
      </c>
    </row>
    <row r="12" spans="1:10" x14ac:dyDescent="0.2">
      <c r="A12" s="1158" t="s">
        <v>179</v>
      </c>
      <c r="B12" s="1159">
        <v>140</v>
      </c>
      <c r="C12" s="1159">
        <v>230</v>
      </c>
      <c r="D12" s="1159">
        <v>460</v>
      </c>
      <c r="E12" s="1159">
        <v>20</v>
      </c>
      <c r="F12" s="1159">
        <v>245</v>
      </c>
      <c r="G12" s="1159">
        <v>740</v>
      </c>
      <c r="H12" s="1159">
        <v>25</v>
      </c>
      <c r="I12" s="1162">
        <v>1860</v>
      </c>
      <c r="J12" s="1160">
        <v>14.4</v>
      </c>
    </row>
    <row r="13" spans="1:10" x14ac:dyDescent="0.2">
      <c r="A13" s="1158" t="s">
        <v>180</v>
      </c>
      <c r="B13" s="1159">
        <v>495</v>
      </c>
      <c r="C13" s="1159">
        <v>200</v>
      </c>
      <c r="D13" s="1159">
        <v>85</v>
      </c>
      <c r="E13" s="1159">
        <v>10</v>
      </c>
      <c r="F13" s="1159">
        <v>10</v>
      </c>
      <c r="G13" s="1159">
        <v>345</v>
      </c>
      <c r="H13" s="1158" t="s">
        <v>1250</v>
      </c>
      <c r="I13" s="1162">
        <v>1145</v>
      </c>
      <c r="J13" s="1160">
        <v>8.9</v>
      </c>
    </row>
    <row r="14" spans="1:10" x14ac:dyDescent="0.2">
      <c r="A14" s="1158" t="s">
        <v>181</v>
      </c>
      <c r="B14" s="1159">
        <v>35</v>
      </c>
      <c r="C14" s="1159">
        <v>155</v>
      </c>
      <c r="D14" s="1159">
        <v>235</v>
      </c>
      <c r="E14" s="1159">
        <v>5</v>
      </c>
      <c r="F14" s="1159">
        <v>60</v>
      </c>
      <c r="G14" s="1159">
        <v>370</v>
      </c>
      <c r="H14" s="1158" t="s">
        <v>1250</v>
      </c>
      <c r="I14" s="1160">
        <v>860</v>
      </c>
      <c r="J14" s="1160">
        <v>6.7</v>
      </c>
    </row>
    <row r="15" spans="1:10" x14ac:dyDescent="0.2">
      <c r="A15" s="1158" t="s">
        <v>182</v>
      </c>
      <c r="B15" s="1159">
        <v>95</v>
      </c>
      <c r="C15" s="1159">
        <v>95</v>
      </c>
      <c r="D15" s="1159">
        <v>165</v>
      </c>
      <c r="E15" s="1159">
        <v>15</v>
      </c>
      <c r="F15" s="1159">
        <v>10</v>
      </c>
      <c r="G15" s="1159">
        <v>205</v>
      </c>
      <c r="H15" s="1158" t="s">
        <v>1250</v>
      </c>
      <c r="I15" s="1160">
        <v>585</v>
      </c>
      <c r="J15" s="1160">
        <v>4.5</v>
      </c>
    </row>
    <row r="16" spans="1:10" x14ac:dyDescent="0.2">
      <c r="A16" s="1163" t="s">
        <v>222</v>
      </c>
      <c r="B16" s="1162">
        <v>2660</v>
      </c>
      <c r="C16" s="1162">
        <v>2375</v>
      </c>
      <c r="D16" s="1162">
        <v>2765</v>
      </c>
      <c r="E16" s="1160">
        <v>200</v>
      </c>
      <c r="F16" s="1160">
        <v>615</v>
      </c>
      <c r="G16" s="1162">
        <v>3870</v>
      </c>
      <c r="H16" s="1160">
        <v>415</v>
      </c>
      <c r="I16" s="1162">
        <v>12900</v>
      </c>
      <c r="J16" s="1160">
        <v>100</v>
      </c>
    </row>
    <row r="17" spans="1:10" x14ac:dyDescent="0.2">
      <c r="A17" s="1157" t="s">
        <v>1251</v>
      </c>
      <c r="B17" s="1164">
        <v>20.6</v>
      </c>
      <c r="C17" s="1164">
        <v>18.399999999999999</v>
      </c>
      <c r="D17" s="1164">
        <v>21.4</v>
      </c>
      <c r="E17" s="1164">
        <v>1.6</v>
      </c>
      <c r="F17" s="1164">
        <v>4.8</v>
      </c>
      <c r="G17" s="1164">
        <v>30</v>
      </c>
      <c r="H17" s="1164">
        <v>3.2</v>
      </c>
      <c r="I17" s="1164">
        <v>100</v>
      </c>
      <c r="J17" s="1165"/>
    </row>
    <row r="18" spans="1:10" ht="54" customHeight="1" x14ac:dyDescent="0.2">
      <c r="A18" s="1421" t="s">
        <v>1252</v>
      </c>
      <c r="B18" s="1421"/>
      <c r="C18" s="1421"/>
      <c r="D18" s="1421"/>
      <c r="E18" s="1421"/>
      <c r="F18" s="1421"/>
      <c r="G18" s="1421"/>
      <c r="H18" s="1421"/>
      <c r="I18" s="1421"/>
      <c r="J18" s="1421"/>
    </row>
    <row r="19" spans="1:10" ht="25.5" customHeight="1" x14ac:dyDescent="0.2">
      <c r="A19" s="1422" t="s">
        <v>1253</v>
      </c>
      <c r="B19" s="1422"/>
      <c r="C19" s="1422"/>
      <c r="D19" s="1422"/>
      <c r="E19" s="1422"/>
      <c r="F19" s="1422"/>
      <c r="G19" s="1422"/>
      <c r="H19" s="1422"/>
      <c r="I19" s="1422"/>
      <c r="J19" s="1422"/>
    </row>
  </sheetData>
  <sheetProtection password="9C8D" sheet="1" objects="1" scenarios="1"/>
  <mergeCells count="5">
    <mergeCell ref="A1:J1"/>
    <mergeCell ref="A2:J2"/>
    <mergeCell ref="A3:J3"/>
    <mergeCell ref="A18:J18"/>
    <mergeCell ref="A19:J19"/>
  </mergeCells>
  <pageMargins left="0.511811024" right="0.511811024" top="0.78740157499999996" bottom="0.78740157499999996" header="0.31496062000000002" footer="0.31496062000000002"/>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windowProtection="1" workbookViewId="0">
      <selection activeCell="A2" sqref="A2:O2"/>
    </sheetView>
  </sheetViews>
  <sheetFormatPr defaultRowHeight="12.75" x14ac:dyDescent="0.2"/>
  <sheetData>
    <row r="1" spans="1:15" x14ac:dyDescent="0.2">
      <c r="A1" s="1370" t="s">
        <v>1256</v>
      </c>
      <c r="B1" s="1370"/>
      <c r="C1" s="1370"/>
      <c r="D1" s="1370"/>
      <c r="E1" s="1370"/>
      <c r="F1" s="1370"/>
      <c r="G1" s="1370"/>
      <c r="H1" s="1370"/>
      <c r="I1" s="1370"/>
      <c r="J1" s="1370"/>
      <c r="K1" s="1370"/>
      <c r="L1" s="1370"/>
      <c r="M1" s="1370"/>
      <c r="N1" s="1370"/>
      <c r="O1" s="1370"/>
    </row>
    <row r="2" spans="1:15" x14ac:dyDescent="0.2">
      <c r="A2" s="1361" t="s">
        <v>944</v>
      </c>
      <c r="B2" s="1361"/>
      <c r="C2" s="1361"/>
      <c r="D2" s="1361"/>
      <c r="E2" s="1361"/>
      <c r="F2" s="1361"/>
      <c r="G2" s="1361"/>
      <c r="H2" s="1361"/>
      <c r="I2" s="1361"/>
      <c r="J2" s="1361"/>
      <c r="K2" s="1361"/>
      <c r="L2" s="1361"/>
      <c r="M2" s="1361"/>
      <c r="N2" s="1361"/>
      <c r="O2" s="1361"/>
    </row>
    <row r="3" spans="1:15" x14ac:dyDescent="0.2">
      <c r="A3" s="1166" t="s">
        <v>557</v>
      </c>
      <c r="B3" s="1423" t="s">
        <v>138</v>
      </c>
      <c r="C3" s="1423"/>
      <c r="D3" s="1423" t="s">
        <v>937</v>
      </c>
      <c r="E3" s="1423"/>
      <c r="F3" s="1423" t="s">
        <v>938</v>
      </c>
      <c r="G3" s="1423"/>
      <c r="H3" s="1423" t="s">
        <v>143</v>
      </c>
      <c r="I3" s="1423"/>
      <c r="J3" s="1423" t="s">
        <v>939</v>
      </c>
      <c r="K3" s="1423"/>
      <c r="L3" s="1423" t="s">
        <v>141</v>
      </c>
      <c r="M3" s="1423"/>
      <c r="N3" s="1423" t="s">
        <v>222</v>
      </c>
      <c r="O3" s="1423"/>
    </row>
    <row r="4" spans="1:15" x14ac:dyDescent="0.2">
      <c r="A4" s="1166" t="s">
        <v>241</v>
      </c>
      <c r="B4" s="1166">
        <v>2014</v>
      </c>
      <c r="C4" s="1166">
        <v>2015</v>
      </c>
      <c r="D4" s="1166">
        <v>2014</v>
      </c>
      <c r="E4" s="1166">
        <v>2015</v>
      </c>
      <c r="F4" s="1166">
        <v>2014</v>
      </c>
      <c r="G4" s="1166">
        <v>2015</v>
      </c>
      <c r="H4" s="1166">
        <v>2014</v>
      </c>
      <c r="I4" s="1166">
        <v>2015</v>
      </c>
      <c r="J4" s="1166">
        <v>2014</v>
      </c>
      <c r="K4" s="1166">
        <v>2015</v>
      </c>
      <c r="L4" s="1166">
        <v>2014</v>
      </c>
      <c r="M4" s="1166">
        <v>2015</v>
      </c>
      <c r="N4" s="1166">
        <v>2014</v>
      </c>
      <c r="O4" s="1166">
        <v>2015</v>
      </c>
    </row>
    <row r="5" spans="1:15" x14ac:dyDescent="0.2">
      <c r="A5" s="1167" t="s">
        <v>1257</v>
      </c>
      <c r="B5" s="1079">
        <v>5.13</v>
      </c>
      <c r="C5" s="1079">
        <v>6.2</v>
      </c>
      <c r="D5" s="1079">
        <v>540.29</v>
      </c>
      <c r="E5" s="1079">
        <v>460.41</v>
      </c>
      <c r="F5" s="1079">
        <v>29.39</v>
      </c>
      <c r="G5" s="1079">
        <v>113.98</v>
      </c>
      <c r="H5" s="1168">
        <v>1203.44</v>
      </c>
      <c r="I5" s="1168">
        <v>5362.5</v>
      </c>
      <c r="J5" s="1079">
        <v>125.2</v>
      </c>
      <c r="K5" s="1079">
        <v>171.6</v>
      </c>
      <c r="L5" s="1056"/>
      <c r="M5" s="1056"/>
      <c r="N5" s="1079">
        <v>22.34</v>
      </c>
      <c r="O5" s="1079">
        <v>16.04</v>
      </c>
    </row>
    <row r="6" spans="1:15" x14ac:dyDescent="0.2">
      <c r="A6" s="1167" t="s">
        <v>1258</v>
      </c>
      <c r="B6" s="1079">
        <v>17.420000000000002</v>
      </c>
      <c r="C6" s="1079">
        <v>18.03</v>
      </c>
      <c r="D6" s="1079">
        <v>308.48</v>
      </c>
      <c r="E6" s="1079">
        <v>442.03</v>
      </c>
      <c r="F6" s="1079">
        <v>87.58</v>
      </c>
      <c r="G6" s="1079">
        <v>44.87</v>
      </c>
      <c r="H6" s="1079">
        <v>700.22</v>
      </c>
      <c r="I6" s="1168">
        <v>3228.98</v>
      </c>
      <c r="J6" s="1079">
        <v>334.54</v>
      </c>
      <c r="K6" s="1079">
        <v>188.11</v>
      </c>
      <c r="L6" s="1168">
        <v>90952.5</v>
      </c>
      <c r="M6" s="1168">
        <v>22405</v>
      </c>
      <c r="N6" s="1079">
        <v>35.85</v>
      </c>
      <c r="O6" s="1079">
        <v>29.26</v>
      </c>
    </row>
    <row r="7" spans="1:15" x14ac:dyDescent="0.2">
      <c r="A7" s="1167" t="s">
        <v>1259</v>
      </c>
      <c r="B7" s="1079">
        <v>7.53</v>
      </c>
      <c r="C7" s="1079">
        <v>6.93</v>
      </c>
      <c r="D7" s="1079">
        <v>122.05</v>
      </c>
      <c r="E7" s="1079">
        <v>469.37</v>
      </c>
      <c r="F7" s="1079">
        <v>44.19</v>
      </c>
      <c r="G7" s="1079">
        <v>12.89</v>
      </c>
      <c r="H7" s="1079">
        <v>208.73</v>
      </c>
      <c r="I7" s="1079">
        <v>284.5</v>
      </c>
      <c r="J7" s="1079">
        <v>243.15</v>
      </c>
      <c r="K7" s="1079">
        <v>121.7</v>
      </c>
      <c r="L7" s="1168">
        <v>48356.99</v>
      </c>
      <c r="M7" s="1168">
        <v>185307.5</v>
      </c>
      <c r="N7" s="1079">
        <v>25.1</v>
      </c>
      <c r="O7" s="1079">
        <v>25.55</v>
      </c>
    </row>
    <row r="8" spans="1:15" x14ac:dyDescent="0.2">
      <c r="A8" s="1167" t="s">
        <v>1260</v>
      </c>
      <c r="B8" s="1079">
        <v>119.78</v>
      </c>
      <c r="C8" s="1079">
        <v>96.81</v>
      </c>
      <c r="D8" s="1079">
        <v>499.55</v>
      </c>
      <c r="E8" s="1079">
        <v>441.34</v>
      </c>
      <c r="F8" s="1079">
        <v>469.63</v>
      </c>
      <c r="G8" s="1168">
        <v>7479.33</v>
      </c>
      <c r="H8" s="1168">
        <v>1694</v>
      </c>
      <c r="I8" s="1168">
        <v>1305</v>
      </c>
      <c r="J8" s="1079">
        <v>141.06</v>
      </c>
      <c r="K8" s="1079">
        <v>117.1</v>
      </c>
      <c r="L8" s="1056"/>
      <c r="M8" s="1056"/>
      <c r="N8" s="1079">
        <v>244.87</v>
      </c>
      <c r="O8" s="1079">
        <v>156.30000000000001</v>
      </c>
    </row>
    <row r="9" spans="1:15" x14ac:dyDescent="0.2">
      <c r="A9" s="1167" t="s">
        <v>1261</v>
      </c>
      <c r="B9" s="1079">
        <v>16.09</v>
      </c>
      <c r="C9" s="1079">
        <v>17.84</v>
      </c>
      <c r="D9" s="1079">
        <v>198.05</v>
      </c>
      <c r="E9" s="1079">
        <v>275.08999999999997</v>
      </c>
      <c r="F9" s="1079">
        <v>14.43</v>
      </c>
      <c r="G9" s="1079">
        <v>5.59</v>
      </c>
      <c r="H9" s="1079">
        <v>300.35000000000002</v>
      </c>
      <c r="I9" s="1079">
        <v>225.33</v>
      </c>
      <c r="J9" s="1079">
        <v>212.52</v>
      </c>
      <c r="K9" s="1079">
        <v>175.35</v>
      </c>
      <c r="L9" s="1056"/>
      <c r="M9" s="1056"/>
      <c r="N9" s="1079">
        <v>27.16</v>
      </c>
      <c r="O9" s="1079">
        <v>24.58</v>
      </c>
    </row>
    <row r="10" spans="1:15" x14ac:dyDescent="0.2">
      <c r="A10" s="1167" t="s">
        <v>1262</v>
      </c>
      <c r="B10" s="1079">
        <v>7.47</v>
      </c>
      <c r="C10" s="1079">
        <v>8.7100000000000009</v>
      </c>
      <c r="D10" s="1079">
        <v>154.07</v>
      </c>
      <c r="E10" s="1168">
        <v>2645.64</v>
      </c>
      <c r="F10" s="1079">
        <v>5.27</v>
      </c>
      <c r="G10" s="1079">
        <v>4.21</v>
      </c>
      <c r="H10" s="1079">
        <v>398.8</v>
      </c>
      <c r="I10" s="1079">
        <v>110.17</v>
      </c>
      <c r="J10" s="1079">
        <v>138.36000000000001</v>
      </c>
      <c r="K10" s="1079">
        <v>100.72</v>
      </c>
      <c r="L10" s="1056"/>
      <c r="M10" s="1056"/>
      <c r="N10" s="1079">
        <v>12.32</v>
      </c>
      <c r="O10" s="1079">
        <v>16.239999999999998</v>
      </c>
    </row>
    <row r="11" spans="1:15" x14ac:dyDescent="0.2">
      <c r="A11" s="1167" t="s">
        <v>1263</v>
      </c>
      <c r="B11" s="1079">
        <v>5.43</v>
      </c>
      <c r="C11" s="1079">
        <v>6.22</v>
      </c>
      <c r="D11" s="1079">
        <v>111.91</v>
      </c>
      <c r="E11" s="1079">
        <v>413.52</v>
      </c>
      <c r="F11" s="1079">
        <v>127.06</v>
      </c>
      <c r="G11" s="1079">
        <v>41.88</v>
      </c>
      <c r="H11" s="1079">
        <v>823.34</v>
      </c>
      <c r="I11" s="1079">
        <v>99.54</v>
      </c>
      <c r="J11" s="1079">
        <v>105.69</v>
      </c>
      <c r="K11" s="1079">
        <v>104.92</v>
      </c>
      <c r="L11" s="1168">
        <v>3348.1</v>
      </c>
      <c r="M11" s="1056"/>
      <c r="N11" s="1079">
        <v>14.13</v>
      </c>
      <c r="O11" s="1079">
        <v>13.89</v>
      </c>
    </row>
    <row r="12" spans="1:15" x14ac:dyDescent="0.2">
      <c r="A12" s="1167" t="s">
        <v>1264</v>
      </c>
      <c r="B12" s="1079">
        <v>7.23</v>
      </c>
      <c r="C12" s="1079">
        <v>7.37</v>
      </c>
      <c r="D12" s="1079">
        <v>405.04</v>
      </c>
      <c r="E12" s="1079">
        <v>468.09</v>
      </c>
      <c r="F12" s="1079">
        <v>326.33999999999997</v>
      </c>
      <c r="G12" s="1079">
        <v>456.85</v>
      </c>
      <c r="H12" s="1079">
        <v>834.61</v>
      </c>
      <c r="I12" s="1168">
        <v>1096.31</v>
      </c>
      <c r="J12" s="1079">
        <v>264.63</v>
      </c>
      <c r="K12" s="1079">
        <v>126.38</v>
      </c>
      <c r="L12" s="1056"/>
      <c r="M12" s="1168">
        <v>36606</v>
      </c>
      <c r="N12" s="1079">
        <v>34.61</v>
      </c>
      <c r="O12" s="1079">
        <v>22.22</v>
      </c>
    </row>
    <row r="13" spans="1:15" x14ac:dyDescent="0.2">
      <c r="A13" s="1167" t="s">
        <v>1265</v>
      </c>
      <c r="B13" s="1079">
        <v>15.6</v>
      </c>
      <c r="C13" s="1079">
        <v>14.79</v>
      </c>
      <c r="D13" s="1079">
        <v>189.26</v>
      </c>
      <c r="E13" s="1079">
        <v>261.5</v>
      </c>
      <c r="F13" s="1079">
        <v>67.12</v>
      </c>
      <c r="G13" s="1079">
        <v>25.19</v>
      </c>
      <c r="H13" s="1079">
        <v>226.6</v>
      </c>
      <c r="I13" s="1079">
        <v>349.97</v>
      </c>
      <c r="J13" s="1079">
        <v>392.96</v>
      </c>
      <c r="K13" s="1079">
        <v>196.94</v>
      </c>
      <c r="L13" s="1056"/>
      <c r="M13" s="1056"/>
      <c r="N13" s="1079">
        <v>24.49</v>
      </c>
      <c r="O13" s="1079">
        <v>21.19</v>
      </c>
    </row>
    <row r="14" spans="1:15" x14ac:dyDescent="0.2">
      <c r="A14" s="1167" t="s">
        <v>1266</v>
      </c>
      <c r="B14" s="1079">
        <v>7.03</v>
      </c>
      <c r="C14" s="1079">
        <v>7.5</v>
      </c>
      <c r="D14" s="1079">
        <v>107.24</v>
      </c>
      <c r="E14" s="1079">
        <v>149.69999999999999</v>
      </c>
      <c r="F14" s="1079">
        <v>29.25</v>
      </c>
      <c r="G14" s="1079">
        <v>11.72</v>
      </c>
      <c r="H14" s="1168">
        <v>2485.46</v>
      </c>
      <c r="I14" s="1168">
        <v>1826.79</v>
      </c>
      <c r="J14" s="1079">
        <v>262.56</v>
      </c>
      <c r="K14" s="1079">
        <v>88.44</v>
      </c>
      <c r="L14" s="1056"/>
      <c r="M14" s="1056"/>
      <c r="N14" s="1079">
        <v>32.94</v>
      </c>
      <c r="O14" s="1079">
        <v>20.440000000000001</v>
      </c>
    </row>
    <row r="15" spans="1:15" ht="13.5" thickBot="1" x14ac:dyDescent="0.25">
      <c r="A15" s="1169" t="s">
        <v>1267</v>
      </c>
      <c r="B15" s="1170">
        <v>9.8000000000000007</v>
      </c>
      <c r="C15" s="1170">
        <v>10.050000000000001</v>
      </c>
      <c r="D15" s="1170">
        <v>746.43</v>
      </c>
      <c r="E15" s="1170">
        <v>371.53</v>
      </c>
      <c r="F15" s="1170">
        <v>29.24</v>
      </c>
      <c r="G15" s="1170">
        <v>31.71</v>
      </c>
      <c r="H15" s="1170">
        <v>205.4</v>
      </c>
      <c r="I15" s="1170">
        <v>171.91</v>
      </c>
      <c r="J15" s="1170">
        <v>196.15</v>
      </c>
      <c r="K15" s="1170">
        <v>92.74</v>
      </c>
      <c r="L15" s="1170"/>
      <c r="M15" s="1170"/>
      <c r="N15" s="1170">
        <v>63.67</v>
      </c>
      <c r="O15" s="1170">
        <v>19</v>
      </c>
    </row>
  </sheetData>
  <sheetProtection password="9C8D" sheet="1" objects="1" scenarios="1"/>
  <mergeCells count="9">
    <mergeCell ref="N3:O3"/>
    <mergeCell ref="A1:O1"/>
    <mergeCell ref="A2:O2"/>
    <mergeCell ref="B3:C3"/>
    <mergeCell ref="D3:E3"/>
    <mergeCell ref="F3:G3"/>
    <mergeCell ref="H3:I3"/>
    <mergeCell ref="J3:K3"/>
    <mergeCell ref="L3:M3"/>
  </mergeCells>
  <pageMargins left="0.511811024" right="0.511811024" top="0.78740157499999996" bottom="0.78740157499999996" header="0.31496062000000002" footer="0.31496062000000002"/>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windowProtection="1" showGridLines="0" workbookViewId="0">
      <selection activeCell="J6" sqref="J6:L19"/>
    </sheetView>
  </sheetViews>
  <sheetFormatPr defaultRowHeight="12.75" x14ac:dyDescent="0.2"/>
  <cols>
    <col min="1" max="1" width="20.5703125" customWidth="1"/>
    <col min="2" max="2" width="14.85546875" bestFit="1" customWidth="1"/>
    <col min="3" max="4" width="16" customWidth="1"/>
    <col min="5" max="5" width="11.85546875" customWidth="1"/>
    <col min="6" max="6" width="13.85546875" bestFit="1" customWidth="1"/>
    <col min="7" max="7" width="18.42578125" bestFit="1" customWidth="1"/>
    <col min="8" max="8" width="12.7109375" bestFit="1" customWidth="1"/>
    <col min="9" max="9" width="10.140625" style="258" customWidth="1"/>
    <col min="10" max="10" width="12.28515625" style="258" bestFit="1" customWidth="1"/>
    <col min="11" max="11" width="9.140625" style="258"/>
    <col min="12" max="12" width="11.28515625" style="258" bestFit="1" customWidth="1"/>
    <col min="13" max="13" width="10.28515625" style="258" bestFit="1" customWidth="1"/>
    <col min="14" max="17" width="9.140625" style="258"/>
  </cols>
  <sheetData>
    <row r="1" spans="1:14" ht="15.75" x14ac:dyDescent="0.25">
      <c r="A1" s="1225" t="s">
        <v>482</v>
      </c>
      <c r="B1" s="1225"/>
      <c r="C1" s="1225"/>
      <c r="D1" s="1225"/>
      <c r="E1" s="1225"/>
      <c r="F1" s="1225"/>
      <c r="G1" s="1225"/>
      <c r="H1" s="1225"/>
      <c r="I1" s="1225"/>
    </row>
    <row r="2" spans="1:14" ht="18" x14ac:dyDescent="0.2">
      <c r="A2" s="1214" t="s">
        <v>483</v>
      </c>
      <c r="B2" s="1214"/>
      <c r="C2" s="1214"/>
      <c r="D2" s="1214"/>
      <c r="E2" s="1214"/>
      <c r="F2" s="1214"/>
      <c r="G2" s="1214"/>
      <c r="H2" s="1214"/>
      <c r="I2" s="1214"/>
    </row>
    <row r="3" spans="1:14" ht="15" customHeight="1" x14ac:dyDescent="0.2">
      <c r="A3" s="1188" t="str">
        <f>+[6]Dados!A18</f>
        <v>Exercício de 2015</v>
      </c>
      <c r="B3" s="1188"/>
      <c r="C3" s="1188"/>
      <c r="D3" s="1188"/>
      <c r="E3" s="1188"/>
      <c r="F3" s="1188"/>
      <c r="G3" s="1188"/>
      <c r="H3" s="1188"/>
      <c r="I3" s="1188"/>
    </row>
    <row r="4" spans="1:14" ht="15" x14ac:dyDescent="0.2">
      <c r="A4" s="380"/>
      <c r="B4" s="380"/>
      <c r="C4" s="380"/>
      <c r="D4" s="380"/>
      <c r="E4" s="380"/>
      <c r="F4" s="380"/>
      <c r="G4" s="380"/>
      <c r="H4" s="387"/>
      <c r="I4" s="98"/>
    </row>
    <row r="5" spans="1:14" x14ac:dyDescent="0.2">
      <c r="A5" s="1426" t="s">
        <v>408</v>
      </c>
      <c r="B5" s="1426"/>
      <c r="C5" s="1426"/>
      <c r="D5" s="1426"/>
      <c r="E5" s="1426"/>
      <c r="F5" s="1426"/>
      <c r="G5" s="1426"/>
      <c r="H5" s="1426"/>
      <c r="I5" s="1426"/>
    </row>
    <row r="6" spans="1:14" ht="45.75" customHeight="1" x14ac:dyDescent="0.2">
      <c r="A6" s="442" t="s">
        <v>87</v>
      </c>
      <c r="B6" s="442" t="s">
        <v>138</v>
      </c>
      <c r="C6" s="442" t="s">
        <v>139</v>
      </c>
      <c r="D6" s="442" t="s">
        <v>140</v>
      </c>
      <c r="E6" s="442" t="s">
        <v>143</v>
      </c>
      <c r="F6" s="442" t="s">
        <v>280</v>
      </c>
      <c r="G6" s="442" t="s">
        <v>191</v>
      </c>
      <c r="H6" s="442" t="s">
        <v>484</v>
      </c>
      <c r="I6" s="442" t="s">
        <v>485</v>
      </c>
      <c r="J6" s="385"/>
      <c r="K6" s="522"/>
    </row>
    <row r="7" spans="1:14" ht="15.95" customHeight="1" x14ac:dyDescent="0.2">
      <c r="A7" s="478" t="s">
        <v>88</v>
      </c>
      <c r="B7" s="152">
        <f>62185+17073</f>
        <v>79258</v>
      </c>
      <c r="C7" s="152">
        <v>2638</v>
      </c>
      <c r="D7" s="152">
        <v>2257</v>
      </c>
      <c r="E7" s="152">
        <v>447</v>
      </c>
      <c r="F7" s="152">
        <v>0</v>
      </c>
      <c r="G7" s="152">
        <v>39223</v>
      </c>
      <c r="H7" s="134">
        <f>SUM(B7:G7)</f>
        <v>123823</v>
      </c>
      <c r="I7" s="102">
        <f>ROUND(H7/$H$18*100,1)</f>
        <v>3</v>
      </c>
      <c r="J7" s="523"/>
      <c r="K7" s="524"/>
      <c r="L7" s="287"/>
      <c r="M7" s="79"/>
      <c r="N7" s="367"/>
    </row>
    <row r="8" spans="1:14" ht="15.95" customHeight="1" x14ac:dyDescent="0.2">
      <c r="A8" s="478" t="s">
        <v>107</v>
      </c>
      <c r="B8" s="152">
        <f>428370+109792</f>
        <v>538162</v>
      </c>
      <c r="C8" s="152">
        <v>6806</v>
      </c>
      <c r="D8" s="152">
        <v>84758</v>
      </c>
      <c r="E8" s="152">
        <v>2882</v>
      </c>
      <c r="F8" s="152">
        <v>0</v>
      </c>
      <c r="G8" s="152">
        <v>298961</v>
      </c>
      <c r="H8" s="134">
        <f t="shared" ref="H8:H17" si="0">SUM(B8:G8)</f>
        <v>931569</v>
      </c>
      <c r="I8" s="102">
        <f>ROUND(H8/$H$18*100,1)</f>
        <v>22.9</v>
      </c>
      <c r="J8" s="523"/>
      <c r="K8" s="524"/>
      <c r="L8" s="287"/>
      <c r="M8" s="79"/>
      <c r="N8" s="367"/>
    </row>
    <row r="9" spans="1:14" ht="15.95" customHeight="1" x14ac:dyDescent="0.2">
      <c r="A9" s="478" t="s">
        <v>90</v>
      </c>
      <c r="B9" s="152">
        <f>287219+74582</f>
        <v>361801</v>
      </c>
      <c r="C9" s="152">
        <v>3335</v>
      </c>
      <c r="D9" s="152">
        <v>242422</v>
      </c>
      <c r="E9" s="152">
        <v>8638</v>
      </c>
      <c r="F9" s="152">
        <v>37062</v>
      </c>
      <c r="G9" s="152">
        <v>270936</v>
      </c>
      <c r="H9" s="134">
        <f t="shared" si="0"/>
        <v>924194</v>
      </c>
      <c r="I9" s="102">
        <f t="shared" ref="I9:I17" si="1">ROUND(H9/$H$18*100,1)</f>
        <v>22.7</v>
      </c>
      <c r="J9" s="523"/>
      <c r="K9" s="524"/>
      <c r="L9" s="287"/>
      <c r="M9" s="79"/>
      <c r="N9" s="367"/>
    </row>
    <row r="10" spans="1:14" ht="15.95" customHeight="1" x14ac:dyDescent="0.2">
      <c r="A10" s="478" t="s">
        <v>91</v>
      </c>
      <c r="B10" s="373">
        <v>0</v>
      </c>
      <c r="C10" s="373">
        <v>0</v>
      </c>
      <c r="D10" s="373">
        <v>0</v>
      </c>
      <c r="E10" s="373">
        <v>0</v>
      </c>
      <c r="F10" s="373">
        <v>0</v>
      </c>
      <c r="G10" s="373">
        <v>0</v>
      </c>
      <c r="H10" s="134">
        <f t="shared" si="0"/>
        <v>0</v>
      </c>
      <c r="I10" s="102">
        <f t="shared" si="1"/>
        <v>0</v>
      </c>
      <c r="J10" s="523"/>
      <c r="K10" s="524"/>
      <c r="L10" s="287"/>
      <c r="M10" s="79"/>
      <c r="N10" s="367"/>
    </row>
    <row r="11" spans="1:14" ht="15.95" customHeight="1" x14ac:dyDescent="0.2">
      <c r="A11" s="478" t="s">
        <v>92</v>
      </c>
      <c r="B11" s="373">
        <v>0</v>
      </c>
      <c r="C11" s="373">
        <v>0</v>
      </c>
      <c r="D11" s="373">
        <v>0</v>
      </c>
      <c r="E11" s="373">
        <v>0</v>
      </c>
      <c r="F11" s="373">
        <v>0</v>
      </c>
      <c r="G11" s="373">
        <v>0</v>
      </c>
      <c r="H11" s="134">
        <f t="shared" si="0"/>
        <v>0</v>
      </c>
      <c r="I11" s="102">
        <f t="shared" si="1"/>
        <v>0</v>
      </c>
      <c r="J11" s="523"/>
      <c r="K11" s="524"/>
      <c r="L11" s="287"/>
      <c r="M11" s="79"/>
      <c r="N11" s="367"/>
    </row>
    <row r="12" spans="1:14" ht="15.95" customHeight="1" x14ac:dyDescent="0.2">
      <c r="A12" s="478" t="s">
        <v>93</v>
      </c>
      <c r="B12" s="152">
        <f>162630+43162</f>
        <v>205792</v>
      </c>
      <c r="C12" s="152">
        <v>1825</v>
      </c>
      <c r="D12" s="152">
        <v>8858</v>
      </c>
      <c r="E12" s="152">
        <v>390</v>
      </c>
      <c r="F12" s="152">
        <v>0</v>
      </c>
      <c r="G12" s="152">
        <v>55430</v>
      </c>
      <c r="H12" s="134">
        <f t="shared" si="0"/>
        <v>272295</v>
      </c>
      <c r="I12" s="102">
        <f t="shared" si="1"/>
        <v>6.7</v>
      </c>
      <c r="J12" s="523"/>
      <c r="K12" s="524"/>
      <c r="L12" s="287"/>
      <c r="M12" s="79"/>
      <c r="N12" s="367"/>
    </row>
    <row r="13" spans="1:14" ht="15.95" customHeight="1" x14ac:dyDescent="0.2">
      <c r="A13" s="478" t="s">
        <v>94</v>
      </c>
      <c r="B13" s="152">
        <f>161161+18635</f>
        <v>179796</v>
      </c>
      <c r="C13" s="152">
        <v>1432</v>
      </c>
      <c r="D13" s="152">
        <v>58833</v>
      </c>
      <c r="E13" s="152">
        <v>5133</v>
      </c>
      <c r="F13" s="152">
        <v>0</v>
      </c>
      <c r="G13" s="152">
        <v>110185</v>
      </c>
      <c r="H13" s="134">
        <f t="shared" si="0"/>
        <v>355379</v>
      </c>
      <c r="I13" s="102">
        <f t="shared" si="1"/>
        <v>8.6999999999999993</v>
      </c>
      <c r="J13" s="523"/>
      <c r="K13" s="524"/>
      <c r="L13" s="287"/>
      <c r="M13" s="79"/>
      <c r="N13" s="367"/>
    </row>
    <row r="14" spans="1:14" ht="15.95" customHeight="1" x14ac:dyDescent="0.2">
      <c r="A14" s="478" t="s">
        <v>95</v>
      </c>
      <c r="B14" s="152">
        <f>245781+56378</f>
        <v>302159</v>
      </c>
      <c r="C14" s="152">
        <v>4137</v>
      </c>
      <c r="D14" s="152">
        <v>39983</v>
      </c>
      <c r="E14" s="152">
        <v>22196</v>
      </c>
      <c r="F14" s="152">
        <v>49408</v>
      </c>
      <c r="G14" s="152">
        <v>237769</v>
      </c>
      <c r="H14" s="134">
        <f t="shared" si="0"/>
        <v>655652</v>
      </c>
      <c r="I14" s="102">
        <f t="shared" si="1"/>
        <v>16.100000000000001</v>
      </c>
      <c r="J14" s="523"/>
      <c r="K14" s="524"/>
      <c r="L14" s="287"/>
      <c r="M14" s="79"/>
      <c r="N14" s="367"/>
    </row>
    <row r="15" spans="1:14" ht="15.95" customHeight="1" x14ac:dyDescent="0.2">
      <c r="A15" s="478" t="s">
        <v>96</v>
      </c>
      <c r="B15" s="152">
        <f>148881+85989</f>
        <v>234870</v>
      </c>
      <c r="C15" s="152">
        <v>1915</v>
      </c>
      <c r="D15" s="152">
        <v>5675</v>
      </c>
      <c r="E15" s="152">
        <v>1554</v>
      </c>
      <c r="F15" s="152">
        <v>0</v>
      </c>
      <c r="G15" s="152">
        <v>74085</v>
      </c>
      <c r="H15" s="134">
        <f t="shared" si="0"/>
        <v>318099</v>
      </c>
      <c r="I15" s="102">
        <f t="shared" si="1"/>
        <v>7.8</v>
      </c>
      <c r="J15" s="523"/>
      <c r="K15" s="524"/>
      <c r="L15" s="287"/>
      <c r="M15" s="79"/>
      <c r="N15" s="367"/>
    </row>
    <row r="16" spans="1:14" ht="15.95" customHeight="1" x14ac:dyDescent="0.2">
      <c r="A16" s="478" t="s">
        <v>97</v>
      </c>
      <c r="B16" s="152">
        <f>138684+27446</f>
        <v>166130</v>
      </c>
      <c r="C16" s="152">
        <v>5247</v>
      </c>
      <c r="D16" s="152">
        <v>36965</v>
      </c>
      <c r="E16" s="152">
        <v>2726</v>
      </c>
      <c r="F16" s="152">
        <v>0</v>
      </c>
      <c r="G16" s="152">
        <v>137757</v>
      </c>
      <c r="H16" s="134">
        <f t="shared" si="0"/>
        <v>348825</v>
      </c>
      <c r="I16" s="102">
        <f t="shared" si="1"/>
        <v>8.6</v>
      </c>
      <c r="J16" s="523"/>
      <c r="K16" s="524"/>
      <c r="L16" s="287"/>
      <c r="M16" s="79"/>
      <c r="N16" s="367"/>
    </row>
    <row r="17" spans="1:14" ht="15.95" customHeight="1" x14ac:dyDescent="0.2">
      <c r="A17" s="478" t="s">
        <v>98</v>
      </c>
      <c r="B17" s="152">
        <f>58524+56538</f>
        <v>115062</v>
      </c>
      <c r="C17" s="152">
        <v>894</v>
      </c>
      <c r="D17" s="152">
        <v>5364</v>
      </c>
      <c r="E17" s="152">
        <v>0</v>
      </c>
      <c r="F17" s="152">
        <v>0</v>
      </c>
      <c r="G17" s="152">
        <v>21519</v>
      </c>
      <c r="H17" s="134">
        <f t="shared" si="0"/>
        <v>142839</v>
      </c>
      <c r="I17" s="102">
        <f t="shared" si="1"/>
        <v>3.5</v>
      </c>
      <c r="J17" s="523"/>
      <c r="K17" s="524"/>
      <c r="L17" s="287"/>
      <c r="M17" s="79"/>
      <c r="N17" s="367"/>
    </row>
    <row r="18" spans="1:14" ht="19.5" customHeight="1" x14ac:dyDescent="0.2">
      <c r="A18" s="382" t="s">
        <v>29</v>
      </c>
      <c r="B18" s="37">
        <f t="shared" ref="B18:I18" si="2">SUM(B7:B17)</f>
        <v>2183030</v>
      </c>
      <c r="C18" s="37">
        <f t="shared" si="2"/>
        <v>28229</v>
      </c>
      <c r="D18" s="37">
        <f>SUM(D7:D17)</f>
        <v>485115</v>
      </c>
      <c r="E18" s="37">
        <f t="shared" si="2"/>
        <v>43966</v>
      </c>
      <c r="F18" s="37">
        <f t="shared" si="2"/>
        <v>86470</v>
      </c>
      <c r="G18" s="37">
        <f t="shared" si="2"/>
        <v>1245865</v>
      </c>
      <c r="H18" s="37">
        <f t="shared" si="2"/>
        <v>4072675</v>
      </c>
      <c r="I18" s="38">
        <f t="shared" si="2"/>
        <v>99.999999999999986</v>
      </c>
      <c r="J18" s="254"/>
      <c r="K18" s="524"/>
      <c r="L18" s="287"/>
      <c r="M18" s="79"/>
    </row>
    <row r="19" spans="1:14" x14ac:dyDescent="0.2">
      <c r="A19" s="1230" t="s">
        <v>67</v>
      </c>
      <c r="B19" s="1238"/>
      <c r="C19" s="1238"/>
      <c r="D19" s="1238"/>
      <c r="E19" s="1238"/>
      <c r="F19" s="1238"/>
      <c r="G19" s="1238"/>
      <c r="H19" s="1238"/>
      <c r="J19" s="254"/>
      <c r="K19" s="254"/>
      <c r="L19" s="254"/>
    </row>
    <row r="20" spans="1:14" ht="13.5" customHeight="1" x14ac:dyDescent="0.2">
      <c r="A20" s="1427" t="s">
        <v>122</v>
      </c>
      <c r="B20" s="1428"/>
      <c r="C20" s="1428"/>
      <c r="D20" s="1428"/>
      <c r="E20" s="1428"/>
      <c r="F20" s="1428"/>
      <c r="G20" s="1428"/>
      <c r="H20" s="1428"/>
      <c r="I20" s="1428"/>
      <c r="K20" s="254"/>
      <c r="L20" s="254"/>
    </row>
    <row r="21" spans="1:14" x14ac:dyDescent="0.2">
      <c r="B21" s="4"/>
      <c r="C21" s="4"/>
      <c r="D21" s="4"/>
      <c r="E21" s="4"/>
      <c r="F21" s="4"/>
      <c r="G21" s="4"/>
      <c r="H21" s="4"/>
      <c r="I21" s="4"/>
      <c r="K21" s="254"/>
      <c r="L21" s="254"/>
    </row>
    <row r="22" spans="1:14" ht="15" x14ac:dyDescent="0.25">
      <c r="A22" s="50"/>
      <c r="B22" s="525"/>
      <c r="C22" s="525"/>
      <c r="D22" s="525"/>
      <c r="E22" s="525"/>
      <c r="F22" s="525"/>
      <c r="G22" s="525"/>
      <c r="H22" s="525"/>
      <c r="I22" s="525"/>
      <c r="K22" s="254"/>
      <c r="L22" s="254"/>
    </row>
    <row r="23" spans="1:14" x14ac:dyDescent="0.2">
      <c r="A23" s="471"/>
      <c r="B23" s="63"/>
      <c r="C23" s="63"/>
      <c r="D23" s="63"/>
      <c r="E23" s="63"/>
      <c r="F23" s="63"/>
      <c r="G23" s="63"/>
      <c r="H23" s="63"/>
      <c r="I23" s="63"/>
      <c r="J23" s="63"/>
      <c r="K23" s="254"/>
      <c r="L23" s="254"/>
    </row>
    <row r="24" spans="1:14" x14ac:dyDescent="0.2">
      <c r="A24" s="258"/>
      <c r="B24" s="21"/>
      <c r="C24" s="21"/>
      <c r="D24" s="21"/>
      <c r="E24" s="21"/>
      <c r="F24" s="21"/>
      <c r="G24" s="21"/>
      <c r="H24" s="21"/>
      <c r="I24" s="21"/>
      <c r="J24" s="63"/>
      <c r="K24" s="254"/>
      <c r="L24" s="254"/>
    </row>
    <row r="25" spans="1:14" x14ac:dyDescent="0.2">
      <c r="A25" s="1424"/>
      <c r="B25" s="1424"/>
      <c r="C25" s="1424"/>
      <c r="D25" s="1425"/>
      <c r="E25" s="1425"/>
      <c r="F25" s="1425"/>
      <c r="G25" s="1425"/>
      <c r="H25" s="1425"/>
      <c r="I25" s="1425"/>
      <c r="J25" s="63"/>
      <c r="K25" s="254"/>
      <c r="L25" s="254"/>
    </row>
    <row r="26" spans="1:14" x14ac:dyDescent="0.2">
      <c r="A26" s="258"/>
      <c r="B26" s="526"/>
      <c r="C26" s="62"/>
      <c r="D26" s="62"/>
      <c r="E26" s="62"/>
      <c r="F26" s="79"/>
      <c r="G26" s="63"/>
      <c r="H26" s="63"/>
      <c r="I26" s="63"/>
      <c r="J26" s="63"/>
      <c r="K26" s="254"/>
      <c r="L26" s="254"/>
    </row>
    <row r="27" spans="1:14" x14ac:dyDescent="0.2">
      <c r="A27" s="258"/>
      <c r="B27" s="526"/>
      <c r="C27" s="62"/>
      <c r="D27" s="62"/>
      <c r="E27" s="62"/>
      <c r="F27" s="79"/>
      <c r="G27" s="63"/>
      <c r="H27" s="63"/>
      <c r="I27" s="63"/>
      <c r="J27" s="63"/>
      <c r="K27" s="254"/>
      <c r="L27" s="254"/>
    </row>
    <row r="28" spans="1:14" x14ac:dyDescent="0.2">
      <c r="A28" s="258"/>
      <c r="B28" s="526"/>
      <c r="C28" s="62"/>
      <c r="D28" s="62"/>
      <c r="E28" s="62"/>
      <c r="F28" s="79"/>
      <c r="G28" s="63"/>
      <c r="H28" s="63"/>
      <c r="I28" s="63"/>
      <c r="J28" s="63"/>
      <c r="K28" s="254"/>
      <c r="L28" s="254"/>
    </row>
    <row r="29" spans="1:14" x14ac:dyDescent="0.2">
      <c r="A29" s="258"/>
      <c r="B29" s="526"/>
      <c r="C29" s="62"/>
      <c r="D29" s="62"/>
      <c r="E29" s="79"/>
      <c r="F29" s="79"/>
      <c r="G29" s="63"/>
      <c r="H29" s="63"/>
      <c r="I29" s="63"/>
      <c r="J29" s="63"/>
      <c r="K29" s="254"/>
      <c r="L29" s="254"/>
    </row>
    <row r="30" spans="1:14" x14ac:dyDescent="0.2">
      <c r="A30" s="258"/>
      <c r="B30" s="526"/>
      <c r="C30" s="62"/>
      <c r="D30" s="62"/>
      <c r="E30" s="62"/>
      <c r="F30" s="79"/>
      <c r="G30" s="63"/>
      <c r="H30" s="63"/>
      <c r="I30" s="63"/>
      <c r="J30" s="63"/>
      <c r="K30" s="254"/>
      <c r="L30" s="254"/>
    </row>
    <row r="31" spans="1:14" x14ac:dyDescent="0.2">
      <c r="A31" s="258"/>
      <c r="B31" s="526"/>
      <c r="C31" s="62"/>
      <c r="D31" s="62"/>
      <c r="E31" s="62"/>
      <c r="F31" s="79"/>
      <c r="G31" s="63"/>
      <c r="H31" s="63"/>
      <c r="I31" s="63"/>
      <c r="J31" s="63"/>
      <c r="K31" s="254"/>
      <c r="L31" s="254"/>
    </row>
    <row r="32" spans="1:14" x14ac:dyDescent="0.2">
      <c r="A32" s="258"/>
      <c r="B32" s="526"/>
      <c r="C32" s="62"/>
      <c r="D32" s="62"/>
      <c r="E32" s="62"/>
      <c r="F32" s="79"/>
      <c r="G32" s="63"/>
      <c r="H32" s="63"/>
      <c r="I32" s="63"/>
      <c r="J32" s="63"/>
    </row>
    <row r="33" spans="1:10" x14ac:dyDescent="0.2">
      <c r="A33" s="258"/>
      <c r="B33" s="526"/>
      <c r="C33" s="62"/>
      <c r="D33" s="62"/>
      <c r="E33" s="62"/>
      <c r="F33" s="79"/>
      <c r="G33" s="63"/>
      <c r="H33" s="63"/>
      <c r="I33" s="63"/>
      <c r="J33" s="63"/>
    </row>
    <row r="34" spans="1:10" x14ac:dyDescent="0.2">
      <c r="A34" s="258"/>
      <c r="B34" s="526"/>
      <c r="C34" s="62"/>
      <c r="D34" s="62"/>
      <c r="E34" s="62"/>
      <c r="F34" s="79"/>
      <c r="G34" s="63"/>
      <c r="H34" s="63"/>
      <c r="I34" s="63"/>
      <c r="J34" s="63"/>
    </row>
    <row r="35" spans="1:10" x14ac:dyDescent="0.2">
      <c r="A35" s="258"/>
      <c r="B35" s="527"/>
      <c r="C35" s="62"/>
      <c r="D35" s="62"/>
      <c r="E35" s="254"/>
      <c r="F35" s="79"/>
      <c r="G35" s="63"/>
      <c r="H35" s="63"/>
      <c r="I35" s="63"/>
    </row>
    <row r="36" spans="1:10" x14ac:dyDescent="0.2">
      <c r="A36" s="258"/>
      <c r="B36" s="527"/>
      <c r="C36" s="62"/>
      <c r="D36" s="62"/>
      <c r="E36" s="62"/>
      <c r="F36" s="79"/>
      <c r="G36" s="63"/>
      <c r="H36" s="63"/>
      <c r="I36" s="63"/>
    </row>
    <row r="37" spans="1:10" x14ac:dyDescent="0.2">
      <c r="A37" s="258"/>
      <c r="B37" s="527"/>
      <c r="C37" s="367"/>
      <c r="D37" s="258"/>
      <c r="E37" s="367"/>
      <c r="F37" s="367"/>
      <c r="G37" s="63"/>
      <c r="H37" s="367"/>
      <c r="I37" s="63"/>
    </row>
  </sheetData>
  <sheetProtection password="9C8D" sheet="1" objects="1" scenarios="1"/>
  <mergeCells count="9">
    <mergeCell ref="A25:C25"/>
    <mergeCell ref="D25:F25"/>
    <mergeCell ref="G25:I25"/>
    <mergeCell ref="A1:I1"/>
    <mergeCell ref="A2:I2"/>
    <mergeCell ref="A3:I3"/>
    <mergeCell ref="A5:I5"/>
    <mergeCell ref="A19:H19"/>
    <mergeCell ref="A20:I20"/>
  </mergeCells>
  <pageMargins left="0.78740157499999996" right="0.78740157499999996" top="0.984251969" bottom="0.984251969" header="0.49212598499999999" footer="0.49212598499999999"/>
  <pageSetup paperSize="9" orientation="portrait" r:id="rId1"/>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windowProtection="1" showGridLines="0" workbookViewId="0">
      <selection activeCell="O30" sqref="O30"/>
    </sheetView>
  </sheetViews>
  <sheetFormatPr defaultRowHeight="12.75" x14ac:dyDescent="0.2"/>
  <cols>
    <col min="1" max="1" width="21.85546875" customWidth="1"/>
    <col min="2" max="2" width="14.42578125" customWidth="1"/>
    <col min="3" max="4" width="16" customWidth="1"/>
    <col min="5" max="5" width="13.5703125" customWidth="1"/>
    <col min="6" max="6" width="14.85546875" customWidth="1"/>
    <col min="7" max="7" width="15.7109375" customWidth="1"/>
    <col min="8" max="8" width="13.5703125" customWidth="1"/>
    <col min="9" max="9" width="13.140625" style="258" customWidth="1"/>
    <col min="10" max="10" width="9.28515625" style="258" customWidth="1"/>
    <col min="11" max="11" width="9.28515625" style="258" bestFit="1" customWidth="1"/>
    <col min="12" max="12" width="11.85546875" style="528" customWidth="1"/>
    <col min="13" max="13" width="12.28515625" style="258" bestFit="1" customWidth="1"/>
    <col min="14" max="14" width="10.28515625" style="258" bestFit="1" customWidth="1"/>
    <col min="15" max="15" width="9.140625" style="258"/>
    <col min="16" max="16" width="11.28515625" style="258" bestFit="1" customWidth="1"/>
  </cols>
  <sheetData>
    <row r="1" spans="1:18" ht="15.75" x14ac:dyDescent="0.25">
      <c r="A1" s="1225" t="s">
        <v>486</v>
      </c>
      <c r="B1" s="1225"/>
      <c r="C1" s="1225"/>
      <c r="D1" s="1225"/>
      <c r="E1" s="1225"/>
      <c r="F1" s="1225"/>
      <c r="G1" s="1225"/>
      <c r="H1" s="1225"/>
      <c r="I1" s="1225"/>
    </row>
    <row r="2" spans="1:18" ht="18" x14ac:dyDescent="0.2">
      <c r="A2" s="1214" t="s">
        <v>487</v>
      </c>
      <c r="B2" s="1214"/>
      <c r="C2" s="1214"/>
      <c r="D2" s="1214"/>
      <c r="E2" s="1214"/>
      <c r="F2" s="1214"/>
      <c r="G2" s="1214"/>
      <c r="H2" s="1214"/>
      <c r="I2" s="1214"/>
    </row>
    <row r="3" spans="1:18" ht="15" customHeight="1" x14ac:dyDescent="0.2">
      <c r="A3" s="1188" t="str">
        <f>+[6]Dados!A18</f>
        <v>Exercício de 2015</v>
      </c>
      <c r="B3" s="1188"/>
      <c r="C3" s="1188"/>
      <c r="D3" s="1188"/>
      <c r="E3" s="1188"/>
      <c r="F3" s="1188"/>
      <c r="G3" s="1188"/>
      <c r="H3" s="1188"/>
      <c r="I3" s="1188"/>
    </row>
    <row r="4" spans="1:18" ht="15" x14ac:dyDescent="0.2">
      <c r="A4" s="380"/>
      <c r="B4" s="380"/>
      <c r="C4" s="380"/>
      <c r="D4" s="380"/>
      <c r="E4" s="380"/>
      <c r="F4" s="380"/>
      <c r="G4" s="380"/>
      <c r="H4" s="387"/>
      <c r="I4" s="98"/>
    </row>
    <row r="5" spans="1:18" x14ac:dyDescent="0.2">
      <c r="A5" s="1426" t="s">
        <v>408</v>
      </c>
      <c r="B5" s="1426"/>
      <c r="C5" s="1426"/>
      <c r="D5" s="1426"/>
      <c r="E5" s="1426"/>
      <c r="F5" s="1426"/>
      <c r="G5" s="1426"/>
      <c r="H5" s="1426"/>
      <c r="I5" s="1426"/>
    </row>
    <row r="6" spans="1:18" ht="42.75" customHeight="1" x14ac:dyDescent="0.2">
      <c r="A6" s="442" t="s">
        <v>87</v>
      </c>
      <c r="B6" s="442" t="s">
        <v>138</v>
      </c>
      <c r="C6" s="442" t="s">
        <v>139</v>
      </c>
      <c r="D6" s="442" t="s">
        <v>140</v>
      </c>
      <c r="E6" s="442" t="s">
        <v>143</v>
      </c>
      <c r="F6" s="442" t="s">
        <v>280</v>
      </c>
      <c r="G6" s="442" t="s">
        <v>191</v>
      </c>
      <c r="H6" s="442" t="s">
        <v>484</v>
      </c>
      <c r="I6" s="442" t="s">
        <v>485</v>
      </c>
      <c r="J6" s="385"/>
      <c r="K6" s="394"/>
      <c r="L6" s="529"/>
      <c r="M6" s="394"/>
      <c r="N6" s="394"/>
      <c r="O6" s="394"/>
      <c r="P6" s="530"/>
      <c r="Q6" s="258"/>
      <c r="R6" s="258"/>
    </row>
    <row r="7" spans="1:18" ht="15.95" customHeight="1" x14ac:dyDescent="0.2">
      <c r="A7" s="531" t="s">
        <v>88</v>
      </c>
      <c r="B7" s="532">
        <f>52691+28076</f>
        <v>80767</v>
      </c>
      <c r="C7" s="532">
        <v>23803</v>
      </c>
      <c r="D7" s="532">
        <v>30433</v>
      </c>
      <c r="E7" s="532">
        <v>85353</v>
      </c>
      <c r="F7" s="532">
        <v>0</v>
      </c>
      <c r="G7" s="532">
        <v>86561</v>
      </c>
      <c r="H7" s="533">
        <f>SUM(B7:G7)</f>
        <v>306917</v>
      </c>
      <c r="I7" s="102">
        <f t="shared" ref="I7:I17" si="0">ROUND(H7/$H$18*100,2)</f>
        <v>4.13</v>
      </c>
      <c r="J7" s="534"/>
      <c r="K7" s="75"/>
      <c r="L7" s="535"/>
      <c r="M7" s="254"/>
      <c r="N7" s="254"/>
      <c r="O7" s="254"/>
      <c r="P7" s="480"/>
      <c r="Q7" s="367"/>
      <c r="R7" s="258"/>
    </row>
    <row r="8" spans="1:18" ht="15.95" customHeight="1" x14ac:dyDescent="0.2">
      <c r="A8" s="478" t="s">
        <v>107</v>
      </c>
      <c r="B8" s="532">
        <f>167348+1172321</f>
        <v>1339669</v>
      </c>
      <c r="C8" s="532">
        <v>9437</v>
      </c>
      <c r="D8" s="532">
        <v>131397</v>
      </c>
      <c r="E8" s="532">
        <v>165024</v>
      </c>
      <c r="F8" s="532">
        <v>44810</v>
      </c>
      <c r="G8" s="532">
        <v>589662</v>
      </c>
      <c r="H8" s="533">
        <f t="shared" ref="H8:H17" si="1">SUM(B8:G8)</f>
        <v>2279999</v>
      </c>
      <c r="I8" s="102">
        <v>30.8</v>
      </c>
      <c r="J8" s="534"/>
      <c r="K8" s="75"/>
      <c r="L8" s="535"/>
      <c r="M8" s="254"/>
      <c r="N8" s="254"/>
      <c r="O8" s="254"/>
      <c r="P8" s="480"/>
      <c r="Q8" s="367"/>
      <c r="R8" s="258"/>
    </row>
    <row r="9" spans="1:18" ht="15.95" customHeight="1" x14ac:dyDescent="0.2">
      <c r="A9" s="478" t="s">
        <v>90</v>
      </c>
      <c r="B9" s="532">
        <f>45940+35865</f>
        <v>81805</v>
      </c>
      <c r="C9" s="532">
        <v>6194</v>
      </c>
      <c r="D9" s="532">
        <v>109603</v>
      </c>
      <c r="E9" s="532">
        <v>61349</v>
      </c>
      <c r="F9" s="532">
        <v>333554</v>
      </c>
      <c r="G9" s="532">
        <v>278647</v>
      </c>
      <c r="H9" s="533">
        <f t="shared" si="1"/>
        <v>871152</v>
      </c>
      <c r="I9" s="102">
        <f t="shared" si="0"/>
        <v>11.74</v>
      </c>
      <c r="J9" s="534"/>
      <c r="K9" s="75"/>
      <c r="L9" s="535"/>
      <c r="M9" s="254"/>
      <c r="N9" s="254"/>
      <c r="O9" s="254"/>
      <c r="P9" s="480"/>
      <c r="Q9" s="367"/>
      <c r="R9" s="258"/>
    </row>
    <row r="10" spans="1:18" ht="15.95" customHeight="1" x14ac:dyDescent="0.2">
      <c r="A10" s="478" t="s">
        <v>91</v>
      </c>
      <c r="B10" s="532">
        <f>21570+31094</f>
        <v>52664</v>
      </c>
      <c r="C10" s="532">
        <v>22438</v>
      </c>
      <c r="D10" s="532">
        <v>33542</v>
      </c>
      <c r="E10" s="532">
        <v>2611</v>
      </c>
      <c r="F10" s="532">
        <v>0</v>
      </c>
      <c r="G10" s="532">
        <v>40517</v>
      </c>
      <c r="H10" s="533">
        <f t="shared" si="1"/>
        <v>151772</v>
      </c>
      <c r="I10" s="102">
        <f t="shared" si="0"/>
        <v>2.04</v>
      </c>
      <c r="J10" s="534"/>
      <c r="K10" s="75"/>
      <c r="L10" s="535"/>
      <c r="M10" s="254"/>
      <c r="N10" s="254"/>
      <c r="O10" s="254"/>
      <c r="P10" s="480"/>
      <c r="Q10" s="367"/>
      <c r="R10" s="258"/>
    </row>
    <row r="11" spans="1:18" ht="15.95" customHeight="1" x14ac:dyDescent="0.2">
      <c r="A11" s="478" t="s">
        <v>92</v>
      </c>
      <c r="B11" s="532">
        <f>490208+346611</f>
        <v>836819</v>
      </c>
      <c r="C11" s="532">
        <v>3221</v>
      </c>
      <c r="D11" s="532">
        <v>33011</v>
      </c>
      <c r="E11" s="532">
        <v>4056</v>
      </c>
      <c r="F11" s="532">
        <v>0</v>
      </c>
      <c r="G11" s="532">
        <v>341223</v>
      </c>
      <c r="H11" s="533">
        <f t="shared" si="1"/>
        <v>1218330</v>
      </c>
      <c r="I11" s="102">
        <v>16.5</v>
      </c>
      <c r="J11" s="534"/>
      <c r="K11" s="75"/>
      <c r="L11" s="535"/>
      <c r="M11" s="254"/>
      <c r="N11" s="254"/>
      <c r="O11" s="254"/>
      <c r="P11" s="480"/>
      <c r="Q11" s="367"/>
      <c r="R11" s="258"/>
    </row>
    <row r="12" spans="1:18" ht="15.95" customHeight="1" x14ac:dyDescent="0.2">
      <c r="A12" s="478" t="s">
        <v>93</v>
      </c>
      <c r="B12" s="532">
        <f>122292+81226</f>
        <v>203518</v>
      </c>
      <c r="C12" s="532">
        <v>541</v>
      </c>
      <c r="D12" s="532">
        <v>234541</v>
      </c>
      <c r="E12" s="532">
        <v>271</v>
      </c>
      <c r="F12" s="532">
        <v>0</v>
      </c>
      <c r="G12" s="532">
        <v>85685</v>
      </c>
      <c r="H12" s="533">
        <f t="shared" si="1"/>
        <v>524556</v>
      </c>
      <c r="I12" s="102">
        <f t="shared" si="0"/>
        <v>7.07</v>
      </c>
      <c r="J12" s="534"/>
      <c r="K12" s="75"/>
      <c r="L12" s="535"/>
      <c r="M12" s="254"/>
      <c r="N12" s="254"/>
      <c r="O12" s="254"/>
      <c r="P12" s="480"/>
      <c r="Q12" s="367"/>
      <c r="R12" s="258"/>
    </row>
    <row r="13" spans="1:18" ht="15.95" customHeight="1" x14ac:dyDescent="0.2">
      <c r="A13" s="478" t="s">
        <v>94</v>
      </c>
      <c r="B13" s="532">
        <f>47408+39814</f>
        <v>87222</v>
      </c>
      <c r="C13" s="532">
        <v>1793</v>
      </c>
      <c r="D13" s="532">
        <v>83003</v>
      </c>
      <c r="E13" s="532">
        <v>3030</v>
      </c>
      <c r="F13" s="532">
        <v>0</v>
      </c>
      <c r="G13" s="532">
        <v>101027</v>
      </c>
      <c r="H13" s="533">
        <f t="shared" si="1"/>
        <v>276075</v>
      </c>
      <c r="I13" s="102">
        <f t="shared" si="0"/>
        <v>3.72</v>
      </c>
      <c r="J13" s="534"/>
      <c r="K13" s="75"/>
      <c r="L13" s="535"/>
      <c r="M13" s="254"/>
      <c r="N13" s="254"/>
      <c r="O13" s="254"/>
      <c r="P13" s="480"/>
      <c r="Q13" s="367"/>
      <c r="R13" s="258"/>
    </row>
    <row r="14" spans="1:18" ht="15.95" customHeight="1" x14ac:dyDescent="0.2">
      <c r="A14" s="478" t="s">
        <v>95</v>
      </c>
      <c r="B14" s="532">
        <f>31906+43861</f>
        <v>75767</v>
      </c>
      <c r="C14" s="532">
        <v>20989</v>
      </c>
      <c r="D14" s="532">
        <v>229638</v>
      </c>
      <c r="E14" s="532">
        <v>31523</v>
      </c>
      <c r="F14" s="532">
        <v>23803</v>
      </c>
      <c r="G14" s="532">
        <v>192558</v>
      </c>
      <c r="H14" s="533">
        <f t="shared" si="1"/>
        <v>574278</v>
      </c>
      <c r="I14" s="102">
        <f t="shared" si="0"/>
        <v>7.74</v>
      </c>
      <c r="J14" s="534"/>
      <c r="K14" s="75"/>
      <c r="L14" s="535"/>
      <c r="M14" s="254"/>
      <c r="N14" s="254"/>
      <c r="O14" s="254"/>
      <c r="P14" s="480"/>
      <c r="Q14" s="367"/>
      <c r="R14" s="258"/>
    </row>
    <row r="15" spans="1:18" ht="15.95" customHeight="1" x14ac:dyDescent="0.2">
      <c r="A15" s="478" t="s">
        <v>96</v>
      </c>
      <c r="B15" s="532">
        <f>108867+367596</f>
        <v>476463</v>
      </c>
      <c r="C15" s="532">
        <v>6826</v>
      </c>
      <c r="D15" s="532">
        <v>36687</v>
      </c>
      <c r="E15" s="532">
        <v>8945</v>
      </c>
      <c r="F15" s="532">
        <v>0</v>
      </c>
      <c r="G15" s="532">
        <v>214432</v>
      </c>
      <c r="H15" s="533">
        <f t="shared" si="1"/>
        <v>743353</v>
      </c>
      <c r="I15" s="102">
        <f t="shared" si="0"/>
        <v>10.01</v>
      </c>
      <c r="J15" s="534"/>
      <c r="K15" s="75"/>
      <c r="L15" s="535"/>
      <c r="M15" s="254"/>
      <c r="N15" s="254"/>
      <c r="O15" s="254"/>
      <c r="P15" s="480"/>
      <c r="Q15" s="367"/>
      <c r="R15" s="258"/>
    </row>
    <row r="16" spans="1:18" ht="15.95" customHeight="1" x14ac:dyDescent="0.2">
      <c r="A16" s="478" t="s">
        <v>97</v>
      </c>
      <c r="B16" s="532">
        <f>17597+8883</f>
        <v>26480</v>
      </c>
      <c r="C16" s="532">
        <v>951</v>
      </c>
      <c r="D16" s="532">
        <v>17675</v>
      </c>
      <c r="E16" s="532">
        <v>117842</v>
      </c>
      <c r="F16" s="532">
        <v>0</v>
      </c>
      <c r="G16" s="532">
        <v>83885</v>
      </c>
      <c r="H16" s="533">
        <f t="shared" si="1"/>
        <v>246833</v>
      </c>
      <c r="I16" s="102">
        <f t="shared" si="0"/>
        <v>3.33</v>
      </c>
      <c r="J16" s="534"/>
      <c r="K16" s="75"/>
      <c r="L16" s="535"/>
      <c r="M16" s="254"/>
      <c r="N16" s="254"/>
      <c r="O16" s="254"/>
      <c r="P16" s="480"/>
      <c r="Q16" s="367"/>
      <c r="R16" s="258"/>
    </row>
    <row r="17" spans="1:18" ht="15.95" customHeight="1" x14ac:dyDescent="0.2">
      <c r="A17" s="478" t="s">
        <v>98</v>
      </c>
      <c r="B17" s="532">
        <f>43453+22423</f>
        <v>65876</v>
      </c>
      <c r="C17" s="532">
        <v>978</v>
      </c>
      <c r="D17" s="532">
        <v>57424</v>
      </c>
      <c r="E17" s="532">
        <v>1891</v>
      </c>
      <c r="F17" s="532">
        <v>0</v>
      </c>
      <c r="G17" s="532">
        <v>103118</v>
      </c>
      <c r="H17" s="533">
        <f t="shared" si="1"/>
        <v>229287</v>
      </c>
      <c r="I17" s="102">
        <f t="shared" si="0"/>
        <v>3.09</v>
      </c>
      <c r="J17" s="534"/>
      <c r="K17" s="75"/>
      <c r="L17" s="535"/>
      <c r="M17" s="254"/>
      <c r="N17" s="254"/>
      <c r="O17" s="254"/>
      <c r="P17" s="480"/>
      <c r="Q17" s="367"/>
      <c r="R17" s="258"/>
    </row>
    <row r="18" spans="1:18" ht="24" customHeight="1" x14ac:dyDescent="0.2">
      <c r="A18" s="382" t="s">
        <v>29</v>
      </c>
      <c r="B18" s="37">
        <f t="shared" ref="B18:H18" si="2">SUM(B7:B17)</f>
        <v>3327050</v>
      </c>
      <c r="C18" s="37">
        <f t="shared" si="2"/>
        <v>97171</v>
      </c>
      <c r="D18" s="37">
        <f>SUM(D7:D17)</f>
        <v>996954</v>
      </c>
      <c r="E18" s="37">
        <f t="shared" si="2"/>
        <v>481895</v>
      </c>
      <c r="F18" s="37">
        <f t="shared" si="2"/>
        <v>402167</v>
      </c>
      <c r="G18" s="37">
        <f t="shared" si="2"/>
        <v>2117315</v>
      </c>
      <c r="H18" s="37">
        <f t="shared" si="2"/>
        <v>7422552</v>
      </c>
      <c r="I18" s="38">
        <v>100</v>
      </c>
      <c r="J18" s="536"/>
      <c r="K18" s="75"/>
      <c r="L18" s="535"/>
      <c r="M18" s="254"/>
      <c r="N18" s="254"/>
      <c r="O18" s="254"/>
      <c r="Q18" s="258"/>
      <c r="R18" s="258"/>
    </row>
    <row r="19" spans="1:18" x14ac:dyDescent="0.2">
      <c r="A19" s="1230" t="s">
        <v>67</v>
      </c>
      <c r="B19" s="1238"/>
      <c r="C19" s="1238"/>
      <c r="D19" s="1238"/>
      <c r="E19" s="1238"/>
      <c r="F19" s="1238"/>
      <c r="G19" s="1238"/>
      <c r="H19" s="1238"/>
      <c r="Q19" s="258"/>
      <c r="R19" s="258"/>
    </row>
    <row r="20" spans="1:18" ht="13.5" customHeight="1" x14ac:dyDescent="0.2">
      <c r="A20" s="1279" t="s">
        <v>488</v>
      </c>
      <c r="B20" s="1429"/>
      <c r="C20" s="1429"/>
      <c r="D20" s="1429"/>
      <c r="E20" s="1429"/>
      <c r="F20" s="1429"/>
      <c r="G20" s="1429"/>
      <c r="H20" s="1429"/>
      <c r="I20" s="261"/>
      <c r="Q20" s="258"/>
      <c r="R20" s="258"/>
    </row>
    <row r="21" spans="1:18" x14ac:dyDescent="0.2">
      <c r="B21" s="254"/>
      <c r="C21" s="254"/>
      <c r="D21" s="254"/>
      <c r="E21" s="254"/>
      <c r="F21" s="254"/>
      <c r="G21" s="537"/>
      <c r="H21" s="254"/>
      <c r="I21" s="254"/>
      <c r="J21" s="254"/>
      <c r="L21" s="538"/>
      <c r="Q21" s="258"/>
      <c r="R21" s="258"/>
    </row>
    <row r="22" spans="1:18" x14ac:dyDescent="0.2">
      <c r="A22" s="50"/>
      <c r="B22" s="539"/>
      <c r="C22" s="539"/>
      <c r="D22" s="539"/>
      <c r="E22" s="539"/>
      <c r="F22" s="539"/>
      <c r="G22" s="539"/>
      <c r="H22" s="539"/>
      <c r="I22" s="539"/>
      <c r="Q22" s="258"/>
      <c r="R22" s="258"/>
    </row>
    <row r="23" spans="1:18" s="258" customFormat="1" x14ac:dyDescent="0.2">
      <c r="B23" s="540"/>
      <c r="C23" s="540"/>
      <c r="D23" s="540"/>
      <c r="E23" s="540"/>
      <c r="F23" s="540"/>
      <c r="G23" s="540"/>
      <c r="H23" s="540"/>
      <c r="I23" s="540"/>
      <c r="J23" s="254"/>
      <c r="K23" s="366"/>
      <c r="L23" s="528"/>
    </row>
    <row r="24" spans="1:18" x14ac:dyDescent="0.2">
      <c r="A24" s="258"/>
      <c r="B24" s="540"/>
      <c r="C24" s="540"/>
      <c r="D24" s="540"/>
      <c r="E24" s="540"/>
      <c r="F24" s="540"/>
      <c r="G24" s="540"/>
      <c r="H24" s="540"/>
      <c r="I24" s="540"/>
    </row>
    <row r="25" spans="1:18" x14ac:dyDescent="0.2">
      <c r="A25" s="258"/>
      <c r="B25" s="254"/>
      <c r="C25" s="254"/>
      <c r="D25" s="254"/>
      <c r="E25" s="254"/>
      <c r="F25" s="254"/>
      <c r="G25" s="254"/>
      <c r="H25" s="254"/>
      <c r="I25" s="254"/>
    </row>
    <row r="26" spans="1:18" s="258" customFormat="1" x14ac:dyDescent="0.2">
      <c r="A26" s="541"/>
      <c r="B26" s="540"/>
      <c r="C26" s="540"/>
      <c r="D26" s="540"/>
      <c r="E26" s="540"/>
      <c r="F26" s="540"/>
      <c r="G26" s="540"/>
      <c r="H26" s="540"/>
      <c r="I26" s="540"/>
      <c r="L26" s="528"/>
    </row>
    <row r="27" spans="1:18" s="545" customFormat="1" x14ac:dyDescent="0.2">
      <c r="A27" s="542"/>
      <c r="B27" s="543"/>
      <c r="C27" s="543"/>
      <c r="D27" s="543"/>
      <c r="E27" s="543"/>
      <c r="F27" s="543"/>
      <c r="G27" s="543"/>
      <c r="H27" s="543"/>
      <c r="I27" s="543"/>
      <c r="J27" s="544"/>
      <c r="K27" s="544"/>
      <c r="L27" s="544"/>
      <c r="M27" s="544"/>
      <c r="N27" s="544"/>
      <c r="O27" s="544"/>
      <c r="P27" s="544"/>
    </row>
    <row r="28" spans="1:18" x14ac:dyDescent="0.2">
      <c r="A28" s="546"/>
      <c r="B28" s="547"/>
      <c r="C28" s="547"/>
      <c r="D28" s="547"/>
      <c r="E28" s="547"/>
      <c r="F28" s="547"/>
      <c r="G28" s="547"/>
      <c r="H28" s="547"/>
      <c r="I28" s="530"/>
    </row>
    <row r="29" spans="1:18" x14ac:dyDescent="0.2">
      <c r="A29" s="546"/>
      <c r="B29" s="540"/>
      <c r="C29" s="540"/>
      <c r="D29" s="540"/>
      <c r="E29" s="540"/>
      <c r="F29" s="540"/>
      <c r="G29" s="540"/>
      <c r="H29" s="540"/>
    </row>
    <row r="30" spans="1:18" x14ac:dyDescent="0.2">
      <c r="A30" s="546"/>
      <c r="B30" s="540"/>
      <c r="C30" s="540"/>
      <c r="D30" s="540"/>
      <c r="E30" s="540"/>
      <c r="F30" s="540"/>
      <c r="G30" s="540"/>
      <c r="H30" s="540"/>
    </row>
    <row r="31" spans="1:18" x14ac:dyDescent="0.2">
      <c r="A31" s="546"/>
      <c r="B31" s="540"/>
      <c r="C31" s="540"/>
      <c r="D31" s="540"/>
      <c r="E31" s="540"/>
      <c r="F31" s="540"/>
      <c r="G31" s="540"/>
      <c r="H31" s="540"/>
    </row>
    <row r="32" spans="1:18" x14ac:dyDescent="0.2">
      <c r="A32" s="546"/>
      <c r="B32" s="540"/>
      <c r="C32" s="540"/>
      <c r="D32" s="540"/>
      <c r="E32" s="540"/>
      <c r="F32" s="540"/>
      <c r="G32" s="540"/>
      <c r="H32" s="540"/>
    </row>
    <row r="33" spans="1:8" x14ac:dyDescent="0.2">
      <c r="A33" s="546"/>
      <c r="B33" s="540"/>
      <c r="C33" s="540"/>
      <c r="D33" s="540"/>
      <c r="E33" s="540"/>
      <c r="F33" s="540"/>
      <c r="G33" s="540"/>
      <c r="H33" s="540"/>
    </row>
    <row r="34" spans="1:8" x14ac:dyDescent="0.2">
      <c r="A34" s="546"/>
      <c r="B34" s="540"/>
      <c r="C34" s="540"/>
      <c r="D34" s="540"/>
      <c r="E34" s="540"/>
      <c r="F34" s="540"/>
      <c r="G34" s="540"/>
      <c r="H34" s="540"/>
    </row>
    <row r="35" spans="1:8" x14ac:dyDescent="0.2">
      <c r="A35" s="546"/>
      <c r="B35" s="540"/>
      <c r="C35" s="540"/>
      <c r="D35" s="540"/>
      <c r="E35" s="540"/>
      <c r="F35" s="540"/>
      <c r="G35" s="540"/>
      <c r="H35" s="540"/>
    </row>
    <row r="36" spans="1:8" x14ac:dyDescent="0.2">
      <c r="A36" s="546"/>
      <c r="B36" s="540"/>
      <c r="C36" s="540"/>
      <c r="D36" s="540"/>
      <c r="E36" s="540"/>
      <c r="F36" s="540"/>
      <c r="G36" s="540"/>
      <c r="H36" s="540"/>
    </row>
    <row r="37" spans="1:8" x14ac:dyDescent="0.2">
      <c r="A37" s="258"/>
      <c r="B37" s="540"/>
      <c r="C37" s="540"/>
      <c r="D37" s="540"/>
      <c r="E37" s="540"/>
      <c r="F37" s="540"/>
      <c r="G37" s="540"/>
      <c r="H37" s="540"/>
    </row>
    <row r="38" spans="1:8" x14ac:dyDescent="0.2">
      <c r="A38" s="258"/>
      <c r="B38" s="254"/>
      <c r="C38" s="258"/>
      <c r="D38" s="258"/>
      <c r="E38" s="258"/>
      <c r="F38" s="258"/>
      <c r="G38" s="258"/>
      <c r="H38" s="258"/>
    </row>
    <row r="39" spans="1:8" x14ac:dyDescent="0.2">
      <c r="B39" s="254"/>
    </row>
    <row r="40" spans="1:8" x14ac:dyDescent="0.2">
      <c r="B40" s="254"/>
    </row>
  </sheetData>
  <sheetProtection password="9C8D" sheet="1" objects="1" scenarios="1"/>
  <mergeCells count="6">
    <mergeCell ref="A20:H20"/>
    <mergeCell ref="A1:I1"/>
    <mergeCell ref="A2:I2"/>
    <mergeCell ref="A3:I3"/>
    <mergeCell ref="A5:I5"/>
    <mergeCell ref="A19:H19"/>
  </mergeCells>
  <pageMargins left="0.78740157499999996" right="0.78740157499999996" top="0.984251969" bottom="0.984251969" header="0.49212598499999999" footer="0.49212598499999999"/>
  <pageSetup paperSize="9" orientation="portrait" r:id="rId1"/>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windowProtection="1" showGridLines="0" workbookViewId="0">
      <selection activeCell="A3" sqref="A3:D3"/>
    </sheetView>
  </sheetViews>
  <sheetFormatPr defaultRowHeight="12.75" x14ac:dyDescent="0.2"/>
  <cols>
    <col min="1" max="1" width="14.85546875" style="368" customWidth="1"/>
    <col min="2" max="2" width="18.140625" customWidth="1"/>
    <col min="3" max="3" width="22.7109375" customWidth="1"/>
    <col min="4" max="4" width="27.42578125" customWidth="1"/>
  </cols>
  <sheetData>
    <row r="1" spans="1:7" ht="15.75" x14ac:dyDescent="0.25">
      <c r="A1" s="1225" t="s">
        <v>736</v>
      </c>
      <c r="B1" s="1225"/>
      <c r="C1" s="1225"/>
      <c r="D1" s="1225"/>
    </row>
    <row r="2" spans="1:7" ht="15" x14ac:dyDescent="0.2">
      <c r="A2" s="1226" t="s">
        <v>738</v>
      </c>
      <c r="B2" s="1226"/>
      <c r="C2" s="1226"/>
      <c r="D2" s="1226"/>
    </row>
    <row r="3" spans="1:7" ht="15" x14ac:dyDescent="0.2">
      <c r="A3" s="1226" t="s">
        <v>574</v>
      </c>
      <c r="B3" s="1226"/>
      <c r="C3" s="1226"/>
      <c r="D3" s="1226"/>
    </row>
    <row r="4" spans="1:7" x14ac:dyDescent="0.2">
      <c r="A4" s="822"/>
      <c r="B4" s="207"/>
      <c r="C4" s="207"/>
      <c r="D4" s="207"/>
    </row>
    <row r="5" spans="1:7" x14ac:dyDescent="0.2">
      <c r="A5" s="822"/>
      <c r="B5" s="207"/>
      <c r="C5" s="207"/>
      <c r="D5" s="234" t="s">
        <v>1</v>
      </c>
    </row>
    <row r="6" spans="1:7" x14ac:dyDescent="0.2">
      <c r="A6" s="1191" t="s">
        <v>167</v>
      </c>
      <c r="B6" s="1191" t="s">
        <v>148</v>
      </c>
      <c r="C6" s="1191" t="s">
        <v>154</v>
      </c>
      <c r="D6" s="1191" t="s">
        <v>155</v>
      </c>
    </row>
    <row r="7" spans="1:7" x14ac:dyDescent="0.2">
      <c r="A7" s="1191"/>
      <c r="B7" s="1191"/>
      <c r="C7" s="1191"/>
      <c r="D7" s="1191"/>
    </row>
    <row r="8" spans="1:7" ht="24.95" customHeight="1" x14ac:dyDescent="0.2">
      <c r="A8" s="348" t="s">
        <v>168</v>
      </c>
      <c r="B8" s="823" t="s">
        <v>169</v>
      </c>
      <c r="C8" s="824">
        <v>623</v>
      </c>
      <c r="D8" s="214">
        <v>180716</v>
      </c>
    </row>
    <row r="9" spans="1:7" ht="24.95" customHeight="1" x14ac:dyDescent="0.2">
      <c r="A9" s="349"/>
      <c r="B9" s="106" t="s">
        <v>170</v>
      </c>
      <c r="C9" s="825">
        <v>14594</v>
      </c>
      <c r="D9" s="214">
        <v>172082</v>
      </c>
    </row>
    <row r="10" spans="1:7" ht="24.95" customHeight="1" x14ac:dyDescent="0.2">
      <c r="A10" s="349"/>
      <c r="B10" s="106" t="s">
        <v>171</v>
      </c>
      <c r="C10" s="825">
        <v>11633</v>
      </c>
      <c r="D10" s="218">
        <v>77942</v>
      </c>
    </row>
    <row r="11" spans="1:7" ht="24.95" customHeight="1" x14ac:dyDescent="0.2">
      <c r="A11" s="348" t="s">
        <v>172</v>
      </c>
      <c r="B11" s="823" t="s">
        <v>169</v>
      </c>
      <c r="C11" s="824">
        <v>1060</v>
      </c>
      <c r="D11" s="222">
        <v>579097</v>
      </c>
    </row>
    <row r="12" spans="1:7" ht="24.95" customHeight="1" x14ac:dyDescent="0.2">
      <c r="A12" s="349"/>
      <c r="B12" s="106" t="s">
        <v>170</v>
      </c>
      <c r="C12" s="825">
        <v>15225</v>
      </c>
      <c r="D12" s="214">
        <v>152334</v>
      </c>
    </row>
    <row r="13" spans="1:7" ht="24.95" customHeight="1" x14ac:dyDescent="0.2">
      <c r="A13" s="349"/>
      <c r="B13" s="106" t="s">
        <v>171</v>
      </c>
      <c r="C13" s="825">
        <v>21667</v>
      </c>
      <c r="D13" s="214">
        <v>1263585</v>
      </c>
      <c r="G13" s="90"/>
    </row>
    <row r="14" spans="1:7" ht="24.95" customHeight="1" x14ac:dyDescent="0.2">
      <c r="A14" s="349"/>
      <c r="B14" s="106" t="s">
        <v>173</v>
      </c>
      <c r="C14" s="825">
        <v>71809</v>
      </c>
      <c r="D14" s="218">
        <v>1216552</v>
      </c>
    </row>
    <row r="15" spans="1:7" ht="24.95" customHeight="1" x14ac:dyDescent="0.2">
      <c r="A15" s="348" t="s">
        <v>174</v>
      </c>
      <c r="B15" s="823" t="s">
        <v>169</v>
      </c>
      <c r="C15" s="824">
        <v>3829</v>
      </c>
      <c r="D15" s="222">
        <v>936397</v>
      </c>
    </row>
    <row r="16" spans="1:7" ht="24.95" customHeight="1" x14ac:dyDescent="0.2">
      <c r="A16" s="349"/>
      <c r="B16" s="106" t="s">
        <v>170</v>
      </c>
      <c r="C16" s="825">
        <v>38218</v>
      </c>
      <c r="D16" s="214">
        <v>371344</v>
      </c>
    </row>
    <row r="17" spans="1:4" ht="24.95" customHeight="1" x14ac:dyDescent="0.2">
      <c r="A17" s="349"/>
      <c r="B17" s="106" t="s">
        <v>171</v>
      </c>
      <c r="C17" s="825">
        <v>13441</v>
      </c>
      <c r="D17" s="214">
        <v>181045</v>
      </c>
    </row>
    <row r="18" spans="1:4" ht="24.95" customHeight="1" x14ac:dyDescent="0.2">
      <c r="A18" s="349"/>
      <c r="B18" s="106" t="s">
        <v>173</v>
      </c>
      <c r="C18" s="825">
        <v>14773</v>
      </c>
      <c r="D18" s="218">
        <v>306560</v>
      </c>
    </row>
    <row r="19" spans="1:4" ht="24.95" customHeight="1" x14ac:dyDescent="0.2">
      <c r="A19" s="348" t="s">
        <v>175</v>
      </c>
      <c r="B19" s="823" t="s">
        <v>173</v>
      </c>
      <c r="C19" s="824">
        <v>971</v>
      </c>
      <c r="D19" s="241">
        <v>151772</v>
      </c>
    </row>
    <row r="20" spans="1:4" ht="24.95" customHeight="1" x14ac:dyDescent="0.2">
      <c r="A20" s="348" t="s">
        <v>176</v>
      </c>
      <c r="B20" s="823" t="s">
        <v>170</v>
      </c>
      <c r="C20" s="824">
        <v>39978</v>
      </c>
      <c r="D20" s="75">
        <v>580026</v>
      </c>
    </row>
    <row r="21" spans="1:4" ht="24.95" customHeight="1" x14ac:dyDescent="0.2">
      <c r="A21" s="349"/>
      <c r="B21" s="106" t="s">
        <v>171</v>
      </c>
      <c r="C21" s="825">
        <v>3089</v>
      </c>
      <c r="D21" s="75">
        <v>302981</v>
      </c>
    </row>
    <row r="22" spans="1:4" ht="24.95" customHeight="1" x14ac:dyDescent="0.2">
      <c r="A22" s="349"/>
      <c r="B22" s="106" t="s">
        <v>173</v>
      </c>
      <c r="C22" s="825">
        <v>6500</v>
      </c>
      <c r="D22" s="218">
        <v>335323</v>
      </c>
    </row>
    <row r="23" spans="1:4" ht="24.95" customHeight="1" x14ac:dyDescent="0.2">
      <c r="A23" s="348" t="s">
        <v>177</v>
      </c>
      <c r="B23" s="823" t="s">
        <v>170</v>
      </c>
      <c r="C23" s="824">
        <v>881</v>
      </c>
      <c r="D23" s="75">
        <v>5359</v>
      </c>
    </row>
    <row r="24" spans="1:4" ht="24.95" customHeight="1" x14ac:dyDescent="0.2">
      <c r="A24" s="349"/>
      <c r="B24" s="106" t="s">
        <v>171</v>
      </c>
      <c r="C24" s="825">
        <v>30414</v>
      </c>
      <c r="D24" s="75">
        <v>325749</v>
      </c>
    </row>
    <row r="25" spans="1:4" ht="24.95" customHeight="1" x14ac:dyDescent="0.2">
      <c r="A25" s="349"/>
      <c r="B25" s="106" t="s">
        <v>173</v>
      </c>
      <c r="C25" s="825">
        <v>17781</v>
      </c>
      <c r="D25" s="218">
        <v>465744</v>
      </c>
    </row>
    <row r="26" spans="1:4" ht="24.95" customHeight="1" x14ac:dyDescent="0.2">
      <c r="A26" s="348" t="s">
        <v>178</v>
      </c>
      <c r="B26" s="823" t="s">
        <v>169</v>
      </c>
      <c r="C26" s="824">
        <v>1141</v>
      </c>
      <c r="D26" s="75">
        <v>124681</v>
      </c>
    </row>
    <row r="27" spans="1:4" ht="24.95" customHeight="1" x14ac:dyDescent="0.2">
      <c r="A27" s="349"/>
      <c r="B27" s="106" t="s">
        <v>170</v>
      </c>
      <c r="C27" s="825">
        <v>17862</v>
      </c>
      <c r="D27" s="75">
        <v>175761</v>
      </c>
    </row>
    <row r="28" spans="1:4" ht="24.95" customHeight="1" x14ac:dyDescent="0.2">
      <c r="A28" s="349"/>
      <c r="B28" s="106" t="s">
        <v>171</v>
      </c>
      <c r="C28" s="825">
        <v>11173</v>
      </c>
      <c r="D28" s="75">
        <v>128242</v>
      </c>
    </row>
    <row r="29" spans="1:4" ht="24.95" customHeight="1" x14ac:dyDescent="0.2">
      <c r="A29" s="349"/>
      <c r="B29" s="106" t="s">
        <v>173</v>
      </c>
      <c r="C29" s="825">
        <v>15295</v>
      </c>
      <c r="D29" s="218">
        <v>202769</v>
      </c>
    </row>
    <row r="30" spans="1:4" ht="24.95" customHeight="1" x14ac:dyDescent="0.2">
      <c r="A30" s="348" t="s">
        <v>179</v>
      </c>
      <c r="B30" s="823" t="s">
        <v>169</v>
      </c>
      <c r="C30" s="824">
        <v>1008</v>
      </c>
      <c r="D30" s="75">
        <v>209701</v>
      </c>
    </row>
    <row r="31" spans="1:4" ht="24.95" customHeight="1" x14ac:dyDescent="0.2">
      <c r="A31" s="349"/>
      <c r="B31" s="106" t="s">
        <v>170</v>
      </c>
      <c r="C31" s="825">
        <v>10035</v>
      </c>
      <c r="D31" s="75">
        <v>91571</v>
      </c>
    </row>
    <row r="32" spans="1:4" ht="24.95" customHeight="1" x14ac:dyDescent="0.2">
      <c r="A32" s="349"/>
      <c r="B32" s="106" t="s">
        <v>171</v>
      </c>
      <c r="C32" s="825">
        <v>18478</v>
      </c>
      <c r="D32" s="214">
        <v>164729</v>
      </c>
    </row>
    <row r="33" spans="1:4" ht="24.95" customHeight="1" x14ac:dyDescent="0.2">
      <c r="A33" s="349"/>
      <c r="B33" s="106" t="s">
        <v>173</v>
      </c>
      <c r="C33" s="825">
        <v>25826</v>
      </c>
      <c r="D33" s="218">
        <v>763929</v>
      </c>
    </row>
    <row r="34" spans="1:4" ht="24.95" customHeight="1" x14ac:dyDescent="0.2">
      <c r="A34" s="348" t="s">
        <v>180</v>
      </c>
      <c r="B34" s="823" t="s">
        <v>170</v>
      </c>
      <c r="C34" s="824">
        <v>7181</v>
      </c>
      <c r="D34" s="214">
        <v>59329</v>
      </c>
    </row>
    <row r="35" spans="1:4" ht="24.95" customHeight="1" x14ac:dyDescent="0.2">
      <c r="A35" s="349"/>
      <c r="B35" s="106" t="s">
        <v>171</v>
      </c>
      <c r="C35" s="825">
        <v>29802</v>
      </c>
      <c r="D35" s="75">
        <v>646124</v>
      </c>
    </row>
    <row r="36" spans="1:4" ht="24.95" customHeight="1" x14ac:dyDescent="0.2">
      <c r="A36" s="349"/>
      <c r="B36" s="106" t="s">
        <v>173</v>
      </c>
      <c r="C36" s="825">
        <v>13103</v>
      </c>
      <c r="D36" s="218">
        <v>355999</v>
      </c>
    </row>
    <row r="37" spans="1:4" ht="24.95" customHeight="1" x14ac:dyDescent="0.2">
      <c r="A37" s="348" t="s">
        <v>181</v>
      </c>
      <c r="B37" s="823" t="s">
        <v>169</v>
      </c>
      <c r="C37" s="824">
        <v>938</v>
      </c>
      <c r="D37" s="214">
        <v>202894</v>
      </c>
    </row>
    <row r="38" spans="1:4" ht="24.95" customHeight="1" x14ac:dyDescent="0.2">
      <c r="A38" s="349"/>
      <c r="B38" s="106" t="s">
        <v>170</v>
      </c>
      <c r="C38" s="825">
        <v>1860</v>
      </c>
      <c r="D38" s="75">
        <v>28877</v>
      </c>
    </row>
    <row r="39" spans="1:4" ht="24.95" customHeight="1" x14ac:dyDescent="0.2">
      <c r="A39" s="349"/>
      <c r="B39" s="106" t="s">
        <v>171</v>
      </c>
      <c r="C39" s="825">
        <v>23428</v>
      </c>
      <c r="D39" s="75">
        <v>277048</v>
      </c>
    </row>
    <row r="40" spans="1:4" ht="24.95" customHeight="1" x14ac:dyDescent="0.2">
      <c r="A40" s="349"/>
      <c r="B40" s="106" t="s">
        <v>173</v>
      </c>
      <c r="C40" s="825">
        <v>2917</v>
      </c>
      <c r="D40" s="218">
        <v>86839</v>
      </c>
    </row>
    <row r="41" spans="1:4" ht="24.95" customHeight="1" x14ac:dyDescent="0.2">
      <c r="A41" s="348" t="s">
        <v>182</v>
      </c>
      <c r="B41" s="823" t="s">
        <v>169</v>
      </c>
      <c r="C41" s="824">
        <v>858</v>
      </c>
      <c r="D41" s="75">
        <v>107914</v>
      </c>
    </row>
    <row r="42" spans="1:4" ht="24.95" customHeight="1" x14ac:dyDescent="0.2">
      <c r="A42" s="349"/>
      <c r="B42" s="106" t="s">
        <v>170</v>
      </c>
      <c r="C42" s="825">
        <v>2915</v>
      </c>
      <c r="D42" s="75">
        <v>32897</v>
      </c>
    </row>
    <row r="43" spans="1:4" ht="24.95" customHeight="1" x14ac:dyDescent="0.2">
      <c r="A43" s="349"/>
      <c r="B43" s="106" t="s">
        <v>171</v>
      </c>
      <c r="C43" s="825">
        <v>12279</v>
      </c>
      <c r="D43" s="75">
        <v>180691</v>
      </c>
    </row>
    <row r="44" spans="1:4" ht="24.95" customHeight="1" x14ac:dyDescent="0.2">
      <c r="A44" s="349"/>
      <c r="B44" s="106" t="s">
        <v>173</v>
      </c>
      <c r="C44" s="826">
        <v>3532</v>
      </c>
      <c r="D44" s="75">
        <v>50624</v>
      </c>
    </row>
    <row r="45" spans="1:4" ht="24.75" customHeight="1" x14ac:dyDescent="0.2">
      <c r="A45" s="1384" t="s">
        <v>29</v>
      </c>
      <c r="B45" s="1384"/>
      <c r="C45" s="827">
        <f>SUM(C8:C44)</f>
        <v>506117</v>
      </c>
      <c r="D45" s="827">
        <f>SUM(D8:D44)</f>
        <v>11495227</v>
      </c>
    </row>
  </sheetData>
  <sheetProtection password="9C8D" sheet="1" objects="1" scenarios="1"/>
  <mergeCells count="8">
    <mergeCell ref="A45:B45"/>
    <mergeCell ref="A1:D1"/>
    <mergeCell ref="A2:D2"/>
    <mergeCell ref="A3:D3"/>
    <mergeCell ref="A6:A7"/>
    <mergeCell ref="B6:B7"/>
    <mergeCell ref="C6:C7"/>
    <mergeCell ref="D6:D7"/>
  </mergeCells>
  <pageMargins left="0.511811024" right="0.511811024" top="0.78740157499999996" bottom="0.78740157499999996" header="0.31496062000000002" footer="0.31496062000000002"/>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2"/>
  <sheetViews>
    <sheetView windowProtection="1" showGridLines="0" workbookViewId="0">
      <selection activeCell="L285" sqref="L285"/>
    </sheetView>
  </sheetViews>
  <sheetFormatPr defaultRowHeight="12.75" x14ac:dyDescent="0.2"/>
  <cols>
    <col min="1" max="1" width="16.28515625" style="368" customWidth="1"/>
    <col min="2" max="2" width="36.42578125" bestFit="1" customWidth="1"/>
    <col min="3" max="3" width="9.5703125" bestFit="1" customWidth="1"/>
    <col min="4" max="4" width="16.5703125" bestFit="1" customWidth="1"/>
    <col min="5" max="5" width="10.28515625" bestFit="1" customWidth="1"/>
  </cols>
  <sheetData>
    <row r="1" spans="1:4" ht="15.75" x14ac:dyDescent="0.25">
      <c r="A1" s="1225" t="s">
        <v>737</v>
      </c>
      <c r="B1" s="1225"/>
      <c r="C1" s="1225"/>
      <c r="D1" s="1225"/>
    </row>
    <row r="2" spans="1:4" ht="18" x14ac:dyDescent="0.2">
      <c r="A2" s="1226" t="s">
        <v>730</v>
      </c>
      <c r="B2" s="1226"/>
      <c r="C2" s="1226"/>
      <c r="D2" s="1226"/>
    </row>
    <row r="3" spans="1:4" ht="15" x14ac:dyDescent="0.2">
      <c r="A3" s="1226" t="str">
        <f>[1]Dados!$A18</f>
        <v>Exercício 2015</v>
      </c>
      <c r="B3" s="1226"/>
      <c r="C3" s="1226"/>
      <c r="D3" s="1226"/>
    </row>
    <row r="6" spans="1:4" x14ac:dyDescent="0.2">
      <c r="D6" s="817" t="s">
        <v>1</v>
      </c>
    </row>
    <row r="7" spans="1:4" ht="24" customHeight="1" x14ac:dyDescent="0.2">
      <c r="A7" s="816" t="s">
        <v>241</v>
      </c>
      <c r="B7" s="816" t="s">
        <v>248</v>
      </c>
      <c r="C7" s="816" t="s">
        <v>249</v>
      </c>
      <c r="D7" s="816" t="s">
        <v>7</v>
      </c>
    </row>
    <row r="8" spans="1:4" x14ac:dyDescent="0.2">
      <c r="A8" s="828" t="s">
        <v>168</v>
      </c>
      <c r="B8" s="829" t="s">
        <v>253</v>
      </c>
      <c r="C8" s="830">
        <v>4</v>
      </c>
      <c r="D8" s="831">
        <v>25346</v>
      </c>
    </row>
    <row r="9" spans="1:4" x14ac:dyDescent="0.2">
      <c r="A9" s="832" t="s">
        <v>168</v>
      </c>
      <c r="B9" s="833" t="s">
        <v>507</v>
      </c>
      <c r="C9" s="834">
        <v>1</v>
      </c>
      <c r="D9" s="835">
        <v>639</v>
      </c>
    </row>
    <row r="10" spans="1:4" x14ac:dyDescent="0.2">
      <c r="A10" s="832" t="s">
        <v>168</v>
      </c>
      <c r="B10" s="833" t="s">
        <v>286</v>
      </c>
      <c r="C10" s="834">
        <v>1</v>
      </c>
      <c r="D10" s="835">
        <v>135</v>
      </c>
    </row>
    <row r="11" spans="1:4" x14ac:dyDescent="0.2">
      <c r="A11" s="832" t="s">
        <v>168</v>
      </c>
      <c r="B11" s="833" t="s">
        <v>250</v>
      </c>
      <c r="C11" s="834">
        <v>90</v>
      </c>
      <c r="D11" s="835">
        <v>63406</v>
      </c>
    </row>
    <row r="12" spans="1:4" x14ac:dyDescent="0.2">
      <c r="A12" s="832" t="s">
        <v>168</v>
      </c>
      <c r="B12" s="833" t="s">
        <v>500</v>
      </c>
      <c r="C12" s="834">
        <v>6</v>
      </c>
      <c r="D12" s="835">
        <v>66</v>
      </c>
    </row>
    <row r="13" spans="1:4" x14ac:dyDescent="0.2">
      <c r="A13" s="832" t="s">
        <v>168</v>
      </c>
      <c r="B13" s="833" t="s">
        <v>505</v>
      </c>
      <c r="C13" s="834">
        <v>1</v>
      </c>
      <c r="D13" s="835">
        <v>8</v>
      </c>
    </row>
    <row r="14" spans="1:4" x14ac:dyDescent="0.2">
      <c r="A14" s="832" t="s">
        <v>168</v>
      </c>
      <c r="B14" s="833" t="s">
        <v>506</v>
      </c>
      <c r="C14" s="834">
        <v>6</v>
      </c>
      <c r="D14" s="835">
        <v>57</v>
      </c>
    </row>
    <row r="15" spans="1:4" x14ac:dyDescent="0.2">
      <c r="A15" s="832" t="s">
        <v>168</v>
      </c>
      <c r="B15" s="833" t="s">
        <v>502</v>
      </c>
      <c r="C15" s="834">
        <v>2</v>
      </c>
      <c r="D15" s="835">
        <v>25</v>
      </c>
    </row>
    <row r="16" spans="1:4" x14ac:dyDescent="0.2">
      <c r="A16" s="832" t="s">
        <v>168</v>
      </c>
      <c r="B16" s="833" t="s">
        <v>497</v>
      </c>
      <c r="C16" s="834">
        <v>2</v>
      </c>
      <c r="D16" s="835">
        <v>159</v>
      </c>
    </row>
    <row r="17" spans="1:4" x14ac:dyDescent="0.2">
      <c r="A17" s="832" t="s">
        <v>168</v>
      </c>
      <c r="B17" s="833" t="s">
        <v>495</v>
      </c>
      <c r="C17" s="834">
        <v>498</v>
      </c>
      <c r="D17" s="835">
        <v>40734</v>
      </c>
    </row>
    <row r="18" spans="1:4" x14ac:dyDescent="0.2">
      <c r="A18" s="832" t="s">
        <v>168</v>
      </c>
      <c r="B18" s="833" t="s">
        <v>499</v>
      </c>
      <c r="C18" s="834">
        <v>60</v>
      </c>
      <c r="D18" s="835">
        <v>7520</v>
      </c>
    </row>
    <row r="19" spans="1:4" x14ac:dyDescent="0.2">
      <c r="A19" s="832" t="s">
        <v>168</v>
      </c>
      <c r="B19" s="833" t="s">
        <v>494</v>
      </c>
      <c r="C19" s="834">
        <v>120</v>
      </c>
      <c r="D19" s="835">
        <v>17550</v>
      </c>
    </row>
    <row r="20" spans="1:4" x14ac:dyDescent="0.2">
      <c r="A20" s="832" t="s">
        <v>168</v>
      </c>
      <c r="B20" s="833" t="s">
        <v>508</v>
      </c>
      <c r="C20" s="834">
        <v>10</v>
      </c>
      <c r="D20" s="835">
        <v>1124</v>
      </c>
    </row>
    <row r="21" spans="1:4" x14ac:dyDescent="0.2">
      <c r="A21" s="832" t="s">
        <v>168</v>
      </c>
      <c r="B21" s="833" t="s">
        <v>254</v>
      </c>
      <c r="C21" s="834">
        <v>12</v>
      </c>
      <c r="D21" s="835">
        <v>3836</v>
      </c>
    </row>
    <row r="22" spans="1:4" x14ac:dyDescent="0.2">
      <c r="A22" s="832" t="s">
        <v>168</v>
      </c>
      <c r="B22" s="833" t="s">
        <v>252</v>
      </c>
      <c r="C22" s="834">
        <v>10</v>
      </c>
      <c r="D22" s="835">
        <v>25162</v>
      </c>
    </row>
    <row r="23" spans="1:4" x14ac:dyDescent="0.2">
      <c r="A23" s="832" t="s">
        <v>168</v>
      </c>
      <c r="B23" s="833" t="s">
        <v>251</v>
      </c>
      <c r="C23" s="834">
        <v>4</v>
      </c>
      <c r="D23" s="835">
        <v>84651</v>
      </c>
    </row>
    <row r="24" spans="1:4" x14ac:dyDescent="0.2">
      <c r="A24" s="832" t="s">
        <v>168</v>
      </c>
      <c r="B24" s="833" t="s">
        <v>511</v>
      </c>
      <c r="C24" s="834">
        <v>3</v>
      </c>
      <c r="D24" s="835">
        <v>331</v>
      </c>
    </row>
    <row r="25" spans="1:4" x14ac:dyDescent="0.2">
      <c r="A25" s="832" t="s">
        <v>168</v>
      </c>
      <c r="B25" s="833" t="s">
        <v>498</v>
      </c>
      <c r="C25" s="834">
        <v>65</v>
      </c>
      <c r="D25" s="835">
        <v>1510</v>
      </c>
    </row>
    <row r="26" spans="1:4" x14ac:dyDescent="0.2">
      <c r="A26" s="832" t="s">
        <v>168</v>
      </c>
      <c r="B26" s="833" t="s">
        <v>512</v>
      </c>
      <c r="C26" s="834">
        <v>4</v>
      </c>
      <c r="D26" s="835">
        <v>1279</v>
      </c>
    </row>
    <row r="27" spans="1:4" x14ac:dyDescent="0.2">
      <c r="A27" s="832" t="s">
        <v>168</v>
      </c>
      <c r="B27" s="833" t="s">
        <v>503</v>
      </c>
      <c r="C27" s="834">
        <v>23</v>
      </c>
      <c r="D27" s="835">
        <v>2236</v>
      </c>
    </row>
    <row r="28" spans="1:4" x14ac:dyDescent="0.2">
      <c r="A28" s="832" t="s">
        <v>168</v>
      </c>
      <c r="B28" s="833" t="s">
        <v>514</v>
      </c>
      <c r="C28" s="834">
        <v>1</v>
      </c>
      <c r="D28" s="835">
        <v>5</v>
      </c>
    </row>
    <row r="29" spans="1:4" x14ac:dyDescent="0.2">
      <c r="A29" s="832" t="s">
        <v>168</v>
      </c>
      <c r="B29" s="833" t="s">
        <v>509</v>
      </c>
      <c r="C29" s="834">
        <v>16</v>
      </c>
      <c r="D29" s="835">
        <v>23</v>
      </c>
    </row>
    <row r="30" spans="1:4" x14ac:dyDescent="0.2">
      <c r="A30" s="832" t="s">
        <v>168</v>
      </c>
      <c r="B30" s="833" t="s">
        <v>513</v>
      </c>
      <c r="C30" s="834">
        <v>1</v>
      </c>
      <c r="D30" s="835">
        <v>8</v>
      </c>
    </row>
    <row r="31" spans="1:4" x14ac:dyDescent="0.2">
      <c r="A31" s="832" t="s">
        <v>168</v>
      </c>
      <c r="B31" s="833" t="s">
        <v>510</v>
      </c>
      <c r="C31" s="834">
        <v>12</v>
      </c>
      <c r="D31" s="835">
        <v>133</v>
      </c>
    </row>
    <row r="32" spans="1:4" x14ac:dyDescent="0.2">
      <c r="A32" s="832" t="s">
        <v>168</v>
      </c>
      <c r="B32" s="833" t="s">
        <v>515</v>
      </c>
      <c r="C32" s="834">
        <v>2</v>
      </c>
      <c r="D32" s="835">
        <v>30</v>
      </c>
    </row>
    <row r="33" spans="1:5" x14ac:dyDescent="0.2">
      <c r="A33" s="832" t="s">
        <v>168</v>
      </c>
      <c r="B33" s="833" t="s">
        <v>489</v>
      </c>
      <c r="C33" s="834">
        <v>278</v>
      </c>
      <c r="D33" s="835">
        <v>5714</v>
      </c>
    </row>
    <row r="34" spans="1:5" x14ac:dyDescent="0.2">
      <c r="A34" s="832" t="s">
        <v>168</v>
      </c>
      <c r="B34" s="833" t="s">
        <v>496</v>
      </c>
      <c r="C34" s="834">
        <v>10105</v>
      </c>
      <c r="D34" s="835">
        <v>39679</v>
      </c>
    </row>
    <row r="35" spans="1:5" x14ac:dyDescent="0.2">
      <c r="A35" s="832" t="s">
        <v>168</v>
      </c>
      <c r="B35" s="833" t="s">
        <v>504</v>
      </c>
      <c r="C35" s="834">
        <v>26</v>
      </c>
      <c r="D35" s="835">
        <v>180</v>
      </c>
    </row>
    <row r="36" spans="1:5" x14ac:dyDescent="0.2">
      <c r="A36" s="832" t="s">
        <v>168</v>
      </c>
      <c r="B36" s="833" t="s">
        <v>490</v>
      </c>
      <c r="C36" s="834">
        <v>33</v>
      </c>
      <c r="D36" s="835">
        <v>498</v>
      </c>
    </row>
    <row r="37" spans="1:5" x14ac:dyDescent="0.2">
      <c r="A37" s="832" t="s">
        <v>168</v>
      </c>
      <c r="B37" s="833" t="s">
        <v>491</v>
      </c>
      <c r="C37" s="834">
        <v>65</v>
      </c>
      <c r="D37" s="835">
        <v>932</v>
      </c>
    </row>
    <row r="38" spans="1:5" x14ac:dyDescent="0.2">
      <c r="A38" s="832" t="s">
        <v>168</v>
      </c>
      <c r="B38" s="833" t="s">
        <v>492</v>
      </c>
      <c r="C38" s="834">
        <v>13929</v>
      </c>
      <c r="D38" s="835">
        <v>55190</v>
      </c>
    </row>
    <row r="39" spans="1:5" x14ac:dyDescent="0.2">
      <c r="A39" s="832" t="s">
        <v>168</v>
      </c>
      <c r="B39" s="833" t="s">
        <v>501</v>
      </c>
      <c r="C39" s="834">
        <v>590</v>
      </c>
      <c r="D39" s="835">
        <v>6224</v>
      </c>
    </row>
    <row r="40" spans="1:5" x14ac:dyDescent="0.2">
      <c r="A40" s="832" t="s">
        <v>168</v>
      </c>
      <c r="B40" s="833" t="s">
        <v>493</v>
      </c>
      <c r="C40" s="834">
        <v>588</v>
      </c>
      <c r="D40" s="835">
        <v>12313</v>
      </c>
    </row>
    <row r="41" spans="1:5" x14ac:dyDescent="0.2">
      <c r="A41" s="832" t="s">
        <v>168</v>
      </c>
      <c r="B41" s="833" t="s">
        <v>255</v>
      </c>
      <c r="C41" s="834">
        <v>282</v>
      </c>
      <c r="D41" s="835">
        <v>34037</v>
      </c>
      <c r="E41" s="255"/>
    </row>
    <row r="42" spans="1:5" x14ac:dyDescent="0.2">
      <c r="A42" s="828" t="s">
        <v>172</v>
      </c>
      <c r="B42" s="829" t="s">
        <v>253</v>
      </c>
      <c r="C42" s="830">
        <v>7</v>
      </c>
      <c r="D42" s="831">
        <v>8191</v>
      </c>
    </row>
    <row r="43" spans="1:5" x14ac:dyDescent="0.2">
      <c r="A43" s="832" t="s">
        <v>172</v>
      </c>
      <c r="B43" s="833" t="s">
        <v>507</v>
      </c>
      <c r="C43" s="834">
        <v>1</v>
      </c>
      <c r="D43" s="835">
        <v>47</v>
      </c>
    </row>
    <row r="44" spans="1:5" x14ac:dyDescent="0.2">
      <c r="A44" s="832" t="s">
        <v>172</v>
      </c>
      <c r="B44" s="833" t="s">
        <v>288</v>
      </c>
      <c r="C44" s="834">
        <v>10</v>
      </c>
      <c r="D44" s="835">
        <v>4439</v>
      </c>
    </row>
    <row r="45" spans="1:5" x14ac:dyDescent="0.2">
      <c r="A45" s="832" t="s">
        <v>172</v>
      </c>
      <c r="B45" s="833" t="s">
        <v>250</v>
      </c>
      <c r="C45" s="834">
        <v>352</v>
      </c>
      <c r="D45" s="835">
        <v>261121</v>
      </c>
    </row>
    <row r="46" spans="1:5" x14ac:dyDescent="0.2">
      <c r="A46" s="832" t="s">
        <v>172</v>
      </c>
      <c r="B46" s="833" t="s">
        <v>500</v>
      </c>
      <c r="C46" s="834">
        <v>70</v>
      </c>
      <c r="D46" s="835">
        <v>892</v>
      </c>
    </row>
    <row r="47" spans="1:5" x14ac:dyDescent="0.2">
      <c r="A47" s="832" t="s">
        <v>172</v>
      </c>
      <c r="B47" s="833" t="s">
        <v>505</v>
      </c>
      <c r="C47" s="834">
        <v>6</v>
      </c>
      <c r="D47" s="835">
        <v>65</v>
      </c>
    </row>
    <row r="48" spans="1:5" x14ac:dyDescent="0.2">
      <c r="A48" s="832" t="s">
        <v>172</v>
      </c>
      <c r="B48" s="833" t="s">
        <v>506</v>
      </c>
      <c r="C48" s="834">
        <v>32</v>
      </c>
      <c r="D48" s="835">
        <v>321</v>
      </c>
    </row>
    <row r="49" spans="1:4" x14ac:dyDescent="0.2">
      <c r="A49" s="832" t="s">
        <v>172</v>
      </c>
      <c r="B49" s="833" t="s">
        <v>502</v>
      </c>
      <c r="C49" s="834">
        <v>1</v>
      </c>
      <c r="D49" s="835">
        <v>20</v>
      </c>
    </row>
    <row r="50" spans="1:4" x14ac:dyDescent="0.2">
      <c r="A50" s="832" t="s">
        <v>172</v>
      </c>
      <c r="B50" s="833" t="s">
        <v>497</v>
      </c>
      <c r="C50" s="834">
        <v>24</v>
      </c>
      <c r="D50" s="835">
        <v>6414</v>
      </c>
    </row>
    <row r="51" spans="1:4" x14ac:dyDescent="0.2">
      <c r="A51" s="832" t="s">
        <v>172</v>
      </c>
      <c r="B51" s="833" t="s">
        <v>495</v>
      </c>
      <c r="C51" s="834">
        <v>3617</v>
      </c>
      <c r="D51" s="835">
        <v>271174</v>
      </c>
    </row>
    <row r="52" spans="1:4" x14ac:dyDescent="0.2">
      <c r="A52" s="832" t="s">
        <v>172</v>
      </c>
      <c r="B52" s="833" t="s">
        <v>499</v>
      </c>
      <c r="C52" s="834">
        <v>391.99979999999999</v>
      </c>
      <c r="D52" s="835">
        <v>52390</v>
      </c>
    </row>
    <row r="53" spans="1:4" x14ac:dyDescent="0.2">
      <c r="A53" s="832" t="s">
        <v>172</v>
      </c>
      <c r="B53" s="833" t="s">
        <v>494</v>
      </c>
      <c r="C53" s="834">
        <v>600</v>
      </c>
      <c r="D53" s="835">
        <v>78660</v>
      </c>
    </row>
    <row r="54" spans="1:4" x14ac:dyDescent="0.2">
      <c r="A54" s="832" t="s">
        <v>172</v>
      </c>
      <c r="B54" s="833" t="s">
        <v>508</v>
      </c>
      <c r="C54" s="834">
        <v>46</v>
      </c>
      <c r="D54" s="835">
        <v>12695</v>
      </c>
    </row>
    <row r="55" spans="1:4" x14ac:dyDescent="0.2">
      <c r="A55" s="832" t="s">
        <v>172</v>
      </c>
      <c r="B55" s="833" t="s">
        <v>254</v>
      </c>
      <c r="C55" s="834">
        <v>50</v>
      </c>
      <c r="D55" s="835">
        <v>272596</v>
      </c>
    </row>
    <row r="56" spans="1:4" x14ac:dyDescent="0.2">
      <c r="A56" s="832" t="s">
        <v>172</v>
      </c>
      <c r="B56" s="833" t="s">
        <v>290</v>
      </c>
      <c r="C56" s="834">
        <v>1</v>
      </c>
      <c r="D56" s="835">
        <v>325</v>
      </c>
    </row>
    <row r="57" spans="1:4" x14ac:dyDescent="0.2">
      <c r="A57" s="832" t="s">
        <v>172</v>
      </c>
      <c r="B57" s="833" t="s">
        <v>252</v>
      </c>
      <c r="C57" s="834">
        <v>91</v>
      </c>
      <c r="D57" s="835">
        <v>144351</v>
      </c>
    </row>
    <row r="58" spans="1:4" x14ac:dyDescent="0.2">
      <c r="A58" s="832" t="s">
        <v>172</v>
      </c>
      <c r="B58" s="833" t="s">
        <v>256</v>
      </c>
      <c r="C58" s="834">
        <v>1</v>
      </c>
      <c r="D58" s="835">
        <v>19349</v>
      </c>
    </row>
    <row r="59" spans="1:4" x14ac:dyDescent="0.2">
      <c r="A59" s="832" t="s">
        <v>172</v>
      </c>
      <c r="B59" s="833" t="s">
        <v>521</v>
      </c>
      <c r="C59" s="834">
        <v>3</v>
      </c>
      <c r="D59" s="835">
        <v>3858</v>
      </c>
    </row>
    <row r="60" spans="1:4" x14ac:dyDescent="0.2">
      <c r="A60" s="832" t="s">
        <v>172</v>
      </c>
      <c r="B60" s="833" t="s">
        <v>257</v>
      </c>
      <c r="C60" s="834">
        <v>34</v>
      </c>
      <c r="D60" s="835">
        <v>37324</v>
      </c>
    </row>
    <row r="61" spans="1:4" x14ac:dyDescent="0.2">
      <c r="A61" s="832" t="s">
        <v>172</v>
      </c>
      <c r="B61" s="833" t="s">
        <v>251</v>
      </c>
      <c r="C61" s="834">
        <v>5</v>
      </c>
      <c r="D61" s="835">
        <v>155191</v>
      </c>
    </row>
    <row r="62" spans="1:4" x14ac:dyDescent="0.2">
      <c r="A62" s="832" t="s">
        <v>172</v>
      </c>
      <c r="B62" s="833" t="s">
        <v>511</v>
      </c>
      <c r="C62" s="834">
        <v>75</v>
      </c>
      <c r="D62" s="835">
        <v>6262</v>
      </c>
    </row>
    <row r="63" spans="1:4" x14ac:dyDescent="0.2">
      <c r="A63" s="832" t="s">
        <v>172</v>
      </c>
      <c r="B63" s="833" t="s">
        <v>498</v>
      </c>
      <c r="C63" s="834">
        <v>132</v>
      </c>
      <c r="D63" s="835">
        <v>7104</v>
      </c>
    </row>
    <row r="64" spans="1:4" x14ac:dyDescent="0.2">
      <c r="A64" s="832" t="s">
        <v>172</v>
      </c>
      <c r="B64" s="833" t="s">
        <v>512</v>
      </c>
      <c r="C64" s="834">
        <v>1</v>
      </c>
      <c r="D64" s="835">
        <v>21</v>
      </c>
    </row>
    <row r="65" spans="1:4" x14ac:dyDescent="0.2">
      <c r="A65" s="832" t="s">
        <v>172</v>
      </c>
      <c r="B65" s="833" t="s">
        <v>503</v>
      </c>
      <c r="C65" s="834">
        <v>79</v>
      </c>
      <c r="D65" s="835">
        <v>13192</v>
      </c>
    </row>
    <row r="66" spans="1:4" x14ac:dyDescent="0.2">
      <c r="A66" s="832" t="s">
        <v>172</v>
      </c>
      <c r="B66" s="833" t="s">
        <v>514</v>
      </c>
      <c r="C66" s="834">
        <v>27</v>
      </c>
      <c r="D66" s="835">
        <v>282</v>
      </c>
    </row>
    <row r="67" spans="1:4" x14ac:dyDescent="0.2">
      <c r="A67" s="832" t="s">
        <v>172</v>
      </c>
      <c r="B67" s="833" t="s">
        <v>510</v>
      </c>
      <c r="C67" s="834">
        <v>110</v>
      </c>
      <c r="D67" s="835">
        <v>1279</v>
      </c>
    </row>
    <row r="68" spans="1:4" x14ac:dyDescent="0.2">
      <c r="A68" s="832" t="s">
        <v>172</v>
      </c>
      <c r="B68" s="833" t="s">
        <v>518</v>
      </c>
      <c r="C68" s="834">
        <v>2</v>
      </c>
      <c r="D68" s="835">
        <v>91</v>
      </c>
    </row>
    <row r="69" spans="1:4" x14ac:dyDescent="0.2">
      <c r="A69" s="832" t="s">
        <v>172</v>
      </c>
      <c r="B69" s="833" t="s">
        <v>515</v>
      </c>
      <c r="C69" s="834">
        <v>3</v>
      </c>
      <c r="D69" s="835">
        <v>35</v>
      </c>
    </row>
    <row r="70" spans="1:4" x14ac:dyDescent="0.2">
      <c r="A70" s="832" t="s">
        <v>172</v>
      </c>
      <c r="B70" s="833" t="s">
        <v>258</v>
      </c>
      <c r="C70" s="834">
        <v>2</v>
      </c>
      <c r="D70" s="835">
        <v>44810</v>
      </c>
    </row>
    <row r="71" spans="1:4" x14ac:dyDescent="0.2">
      <c r="A71" s="832" t="s">
        <v>172</v>
      </c>
      <c r="B71" s="833" t="s">
        <v>517</v>
      </c>
      <c r="C71" s="834">
        <v>42</v>
      </c>
      <c r="D71" s="835">
        <v>887</v>
      </c>
    </row>
    <row r="72" spans="1:4" x14ac:dyDescent="0.2">
      <c r="A72" s="832" t="s">
        <v>172</v>
      </c>
      <c r="B72" s="833" t="s">
        <v>489</v>
      </c>
      <c r="C72" s="834">
        <v>67</v>
      </c>
      <c r="D72" s="835">
        <v>1652</v>
      </c>
    </row>
    <row r="73" spans="1:4" x14ac:dyDescent="0.2">
      <c r="A73" s="832" t="s">
        <v>172</v>
      </c>
      <c r="B73" s="833" t="s">
        <v>496</v>
      </c>
      <c r="C73" s="834">
        <v>28910</v>
      </c>
      <c r="D73" s="835">
        <v>111656</v>
      </c>
    </row>
    <row r="74" spans="1:4" x14ac:dyDescent="0.2">
      <c r="A74" s="832" t="s">
        <v>172</v>
      </c>
      <c r="B74" s="833" t="s">
        <v>519</v>
      </c>
      <c r="C74" s="834">
        <v>6</v>
      </c>
      <c r="D74" s="835">
        <v>86</v>
      </c>
    </row>
    <row r="75" spans="1:4" x14ac:dyDescent="0.2">
      <c r="A75" s="832" t="s">
        <v>172</v>
      </c>
      <c r="B75" s="833" t="s">
        <v>490</v>
      </c>
      <c r="C75" s="834">
        <v>161</v>
      </c>
      <c r="D75" s="835">
        <v>2749</v>
      </c>
    </row>
    <row r="76" spans="1:4" x14ac:dyDescent="0.2">
      <c r="A76" s="832" t="s">
        <v>172</v>
      </c>
      <c r="B76" s="833" t="s">
        <v>491</v>
      </c>
      <c r="C76" s="834">
        <v>1912</v>
      </c>
      <c r="D76" s="835">
        <v>31118</v>
      </c>
    </row>
    <row r="77" spans="1:4" x14ac:dyDescent="0.2">
      <c r="A77" s="832" t="s">
        <v>172</v>
      </c>
      <c r="B77" s="833" t="s">
        <v>520</v>
      </c>
      <c r="C77" s="834">
        <v>4</v>
      </c>
      <c r="D77" s="835">
        <v>220</v>
      </c>
    </row>
    <row r="78" spans="1:4" x14ac:dyDescent="0.2">
      <c r="A78" s="832" t="s">
        <v>172</v>
      </c>
      <c r="B78" s="833" t="s">
        <v>492</v>
      </c>
      <c r="C78" s="834">
        <v>68134</v>
      </c>
      <c r="D78" s="835">
        <v>267647</v>
      </c>
    </row>
    <row r="79" spans="1:4" x14ac:dyDescent="0.2">
      <c r="A79" s="832" t="s">
        <v>172</v>
      </c>
      <c r="B79" s="833" t="s">
        <v>501</v>
      </c>
      <c r="C79" s="834">
        <v>550</v>
      </c>
      <c r="D79" s="835">
        <v>7424</v>
      </c>
    </row>
    <row r="80" spans="1:4" x14ac:dyDescent="0.2">
      <c r="A80" s="832" t="s">
        <v>172</v>
      </c>
      <c r="B80" s="833" t="s">
        <v>522</v>
      </c>
      <c r="C80" s="834">
        <v>1</v>
      </c>
      <c r="D80" s="835">
        <v>81</v>
      </c>
    </row>
    <row r="81" spans="1:5" x14ac:dyDescent="0.2">
      <c r="A81" s="832" t="s">
        <v>172</v>
      </c>
      <c r="B81" s="833" t="s">
        <v>516</v>
      </c>
      <c r="C81" s="834">
        <v>3</v>
      </c>
      <c r="D81" s="835">
        <v>69</v>
      </c>
    </row>
    <row r="82" spans="1:5" x14ac:dyDescent="0.2">
      <c r="A82" s="832" t="s">
        <v>172</v>
      </c>
      <c r="B82" s="833" t="s">
        <v>493</v>
      </c>
      <c r="C82" s="834">
        <v>2662</v>
      </c>
      <c r="D82" s="835">
        <v>70394</v>
      </c>
    </row>
    <row r="83" spans="1:5" x14ac:dyDescent="0.2">
      <c r="A83" s="832" t="s">
        <v>172</v>
      </c>
      <c r="B83" s="833" t="s">
        <v>255</v>
      </c>
      <c r="C83" s="834">
        <v>1535</v>
      </c>
      <c r="D83" s="835">
        <v>1315086</v>
      </c>
      <c r="E83" s="255"/>
    </row>
    <row r="84" spans="1:5" x14ac:dyDescent="0.2">
      <c r="A84" s="828" t="s">
        <v>174</v>
      </c>
      <c r="B84" s="829" t="s">
        <v>253</v>
      </c>
      <c r="C84" s="830">
        <v>4</v>
      </c>
      <c r="D84" s="831">
        <v>2163</v>
      </c>
    </row>
    <row r="85" spans="1:5" x14ac:dyDescent="0.2">
      <c r="A85" s="832" t="s">
        <v>174</v>
      </c>
      <c r="B85" s="833" t="s">
        <v>507</v>
      </c>
      <c r="C85" s="834">
        <v>8</v>
      </c>
      <c r="D85" s="835">
        <v>4873</v>
      </c>
    </row>
    <row r="86" spans="1:5" x14ac:dyDescent="0.2">
      <c r="A86" s="832" t="s">
        <v>174</v>
      </c>
      <c r="B86" s="833" t="s">
        <v>291</v>
      </c>
      <c r="C86" s="834">
        <v>1</v>
      </c>
      <c r="D86" s="835">
        <v>172</v>
      </c>
    </row>
    <row r="87" spans="1:5" x14ac:dyDescent="0.2">
      <c r="A87" s="832" t="s">
        <v>174</v>
      </c>
      <c r="B87" s="833" t="s">
        <v>292</v>
      </c>
      <c r="C87" s="834">
        <v>1</v>
      </c>
      <c r="D87" s="835">
        <v>200</v>
      </c>
    </row>
    <row r="88" spans="1:5" x14ac:dyDescent="0.2">
      <c r="A88" s="832" t="s">
        <v>174</v>
      </c>
      <c r="B88" s="833" t="s">
        <v>288</v>
      </c>
      <c r="C88" s="834">
        <v>5</v>
      </c>
      <c r="D88" s="835">
        <v>714</v>
      </c>
    </row>
    <row r="89" spans="1:5" x14ac:dyDescent="0.2">
      <c r="A89" s="832" t="s">
        <v>174</v>
      </c>
      <c r="B89" s="833" t="s">
        <v>250</v>
      </c>
      <c r="C89" s="834">
        <v>348</v>
      </c>
      <c r="D89" s="835">
        <v>128231</v>
      </c>
    </row>
    <row r="90" spans="1:5" x14ac:dyDescent="0.2">
      <c r="A90" s="832" t="s">
        <v>174</v>
      </c>
      <c r="B90" s="833" t="s">
        <v>500</v>
      </c>
      <c r="C90" s="834">
        <v>252</v>
      </c>
      <c r="D90" s="835">
        <v>3380</v>
      </c>
    </row>
    <row r="91" spans="1:5" x14ac:dyDescent="0.2">
      <c r="A91" s="832" t="s">
        <v>174</v>
      </c>
      <c r="B91" s="833" t="s">
        <v>505</v>
      </c>
      <c r="C91" s="834">
        <v>38</v>
      </c>
      <c r="D91" s="835">
        <v>541</v>
      </c>
    </row>
    <row r="92" spans="1:5" x14ac:dyDescent="0.2">
      <c r="A92" s="832" t="s">
        <v>174</v>
      </c>
      <c r="B92" s="833" t="s">
        <v>506</v>
      </c>
      <c r="C92" s="834">
        <v>91</v>
      </c>
      <c r="D92" s="835">
        <v>1285</v>
      </c>
    </row>
    <row r="93" spans="1:5" x14ac:dyDescent="0.2">
      <c r="A93" s="832" t="s">
        <v>174</v>
      </c>
      <c r="B93" s="833" t="s">
        <v>502</v>
      </c>
      <c r="C93" s="834">
        <v>22</v>
      </c>
      <c r="D93" s="835">
        <v>307</v>
      </c>
    </row>
    <row r="94" spans="1:5" x14ac:dyDescent="0.2">
      <c r="A94" s="832" t="s">
        <v>174</v>
      </c>
      <c r="B94" s="833" t="s">
        <v>497</v>
      </c>
      <c r="C94" s="834">
        <v>2</v>
      </c>
      <c r="D94" s="835">
        <v>487</v>
      </c>
    </row>
    <row r="95" spans="1:5" x14ac:dyDescent="0.2">
      <c r="A95" s="832" t="s">
        <v>174</v>
      </c>
      <c r="B95" s="833" t="s">
        <v>495</v>
      </c>
      <c r="C95" s="834">
        <v>3212</v>
      </c>
      <c r="D95" s="835">
        <v>222293</v>
      </c>
    </row>
    <row r="96" spans="1:5" x14ac:dyDescent="0.2">
      <c r="A96" s="832" t="s">
        <v>174</v>
      </c>
      <c r="B96" s="833" t="s">
        <v>499</v>
      </c>
      <c r="C96" s="834">
        <v>546</v>
      </c>
      <c r="D96" s="835">
        <v>71236</v>
      </c>
    </row>
    <row r="97" spans="1:4" x14ac:dyDescent="0.2">
      <c r="A97" s="832" t="s">
        <v>174</v>
      </c>
      <c r="B97" s="833" t="s">
        <v>494</v>
      </c>
      <c r="C97" s="834">
        <v>560</v>
      </c>
      <c r="D97" s="835">
        <v>64993</v>
      </c>
    </row>
    <row r="98" spans="1:4" x14ac:dyDescent="0.2">
      <c r="A98" s="832" t="s">
        <v>174</v>
      </c>
      <c r="B98" s="833" t="s">
        <v>508</v>
      </c>
      <c r="C98" s="834">
        <v>204</v>
      </c>
      <c r="D98" s="835">
        <v>18536</v>
      </c>
    </row>
    <row r="99" spans="1:4" x14ac:dyDescent="0.2">
      <c r="A99" s="832" t="s">
        <v>174</v>
      </c>
      <c r="B99" s="833" t="s">
        <v>524</v>
      </c>
      <c r="C99" s="834">
        <v>1</v>
      </c>
      <c r="D99" s="835">
        <v>14</v>
      </c>
    </row>
    <row r="100" spans="1:4" x14ac:dyDescent="0.2">
      <c r="A100" s="832" t="s">
        <v>174</v>
      </c>
      <c r="B100" s="833" t="s">
        <v>254</v>
      </c>
      <c r="C100" s="834">
        <v>52</v>
      </c>
      <c r="D100" s="835">
        <v>129351</v>
      </c>
    </row>
    <row r="101" spans="1:4" x14ac:dyDescent="0.2">
      <c r="A101" s="832" t="s">
        <v>174</v>
      </c>
      <c r="B101" s="833" t="s">
        <v>252</v>
      </c>
      <c r="C101" s="834">
        <v>163</v>
      </c>
      <c r="D101" s="835">
        <v>223209</v>
      </c>
    </row>
    <row r="102" spans="1:4" x14ac:dyDescent="0.2">
      <c r="A102" s="832" t="s">
        <v>174</v>
      </c>
      <c r="B102" s="833" t="s">
        <v>256</v>
      </c>
      <c r="C102" s="834">
        <v>2</v>
      </c>
      <c r="D102" s="835">
        <v>56867</v>
      </c>
    </row>
    <row r="103" spans="1:4" x14ac:dyDescent="0.2">
      <c r="A103" s="832" t="s">
        <v>174</v>
      </c>
      <c r="B103" s="833" t="s">
        <v>521</v>
      </c>
      <c r="C103" s="834">
        <v>1</v>
      </c>
      <c r="D103" s="835">
        <v>50</v>
      </c>
    </row>
    <row r="104" spans="1:4" x14ac:dyDescent="0.2">
      <c r="A104" s="832" t="s">
        <v>174</v>
      </c>
      <c r="B104" s="833" t="s">
        <v>257</v>
      </c>
      <c r="C104" s="834">
        <v>23</v>
      </c>
      <c r="D104" s="835">
        <v>5988</v>
      </c>
    </row>
    <row r="105" spans="1:4" x14ac:dyDescent="0.2">
      <c r="A105" s="832" t="s">
        <v>174</v>
      </c>
      <c r="B105" s="833" t="s">
        <v>251</v>
      </c>
      <c r="C105" s="834">
        <v>20</v>
      </c>
      <c r="D105" s="835">
        <v>51144</v>
      </c>
    </row>
    <row r="106" spans="1:4" x14ac:dyDescent="0.2">
      <c r="A106" s="832" t="s">
        <v>174</v>
      </c>
      <c r="B106" s="833" t="s">
        <v>511</v>
      </c>
      <c r="C106" s="834">
        <v>15</v>
      </c>
      <c r="D106" s="835">
        <v>1308</v>
      </c>
    </row>
    <row r="107" spans="1:4" x14ac:dyDescent="0.2">
      <c r="A107" s="832" t="s">
        <v>174</v>
      </c>
      <c r="B107" s="833" t="s">
        <v>498</v>
      </c>
      <c r="C107" s="834">
        <v>32</v>
      </c>
      <c r="D107" s="835">
        <v>2959</v>
      </c>
    </row>
    <row r="108" spans="1:4" x14ac:dyDescent="0.2">
      <c r="A108" s="832" t="s">
        <v>174</v>
      </c>
      <c r="B108" s="833" t="s">
        <v>512</v>
      </c>
      <c r="C108" s="834">
        <v>4</v>
      </c>
      <c r="D108" s="835">
        <v>325</v>
      </c>
    </row>
    <row r="109" spans="1:4" x14ac:dyDescent="0.2">
      <c r="A109" s="832" t="s">
        <v>174</v>
      </c>
      <c r="B109" s="833" t="s">
        <v>503</v>
      </c>
      <c r="C109" s="834">
        <v>24</v>
      </c>
      <c r="D109" s="835">
        <v>4605</v>
      </c>
    </row>
    <row r="110" spans="1:4" x14ac:dyDescent="0.2">
      <c r="A110" s="832" t="s">
        <v>174</v>
      </c>
      <c r="B110" s="833" t="s">
        <v>514</v>
      </c>
      <c r="C110" s="834">
        <v>30</v>
      </c>
      <c r="D110" s="835">
        <v>362</v>
      </c>
    </row>
    <row r="111" spans="1:4" x14ac:dyDescent="0.2">
      <c r="A111" s="832" t="s">
        <v>174</v>
      </c>
      <c r="B111" s="833" t="s">
        <v>523</v>
      </c>
      <c r="C111" s="834">
        <v>12</v>
      </c>
      <c r="D111" s="835">
        <v>14</v>
      </c>
    </row>
    <row r="112" spans="1:4" x14ac:dyDescent="0.2">
      <c r="A112" s="832" t="s">
        <v>174</v>
      </c>
      <c r="B112" s="833" t="s">
        <v>509</v>
      </c>
      <c r="C112" s="834">
        <v>47</v>
      </c>
      <c r="D112" s="835">
        <v>56</v>
      </c>
    </row>
    <row r="113" spans="1:5" x14ac:dyDescent="0.2">
      <c r="A113" s="832" t="s">
        <v>174</v>
      </c>
      <c r="B113" s="833" t="s">
        <v>510</v>
      </c>
      <c r="C113" s="834">
        <v>2</v>
      </c>
      <c r="D113" s="835">
        <v>12</v>
      </c>
    </row>
    <row r="114" spans="1:5" x14ac:dyDescent="0.2">
      <c r="A114" s="832" t="s">
        <v>174</v>
      </c>
      <c r="B114" s="833" t="s">
        <v>258</v>
      </c>
      <c r="C114" s="834">
        <v>2</v>
      </c>
      <c r="D114" s="835">
        <v>370615</v>
      </c>
    </row>
    <row r="115" spans="1:5" x14ac:dyDescent="0.2">
      <c r="A115" s="832" t="s">
        <v>174</v>
      </c>
      <c r="B115" s="833" t="s">
        <v>517</v>
      </c>
      <c r="C115" s="834">
        <v>55</v>
      </c>
      <c r="D115" s="835">
        <v>868</v>
      </c>
    </row>
    <row r="116" spans="1:5" x14ac:dyDescent="0.2">
      <c r="A116" s="832" t="s">
        <v>174</v>
      </c>
      <c r="B116" s="833" t="s">
        <v>489</v>
      </c>
      <c r="C116" s="834">
        <v>154</v>
      </c>
      <c r="D116" s="835">
        <v>3690</v>
      </c>
    </row>
    <row r="117" spans="1:5" x14ac:dyDescent="0.2">
      <c r="A117" s="832" t="s">
        <v>174</v>
      </c>
      <c r="B117" s="833" t="s">
        <v>496</v>
      </c>
      <c r="C117" s="834">
        <v>18899</v>
      </c>
      <c r="D117" s="835">
        <v>67445</v>
      </c>
    </row>
    <row r="118" spans="1:5" x14ac:dyDescent="0.2">
      <c r="A118" s="832" t="s">
        <v>174</v>
      </c>
      <c r="B118" s="833" t="s">
        <v>504</v>
      </c>
      <c r="C118" s="834">
        <v>50</v>
      </c>
      <c r="D118" s="835">
        <v>208</v>
      </c>
    </row>
    <row r="119" spans="1:5" x14ac:dyDescent="0.2">
      <c r="A119" s="832" t="s">
        <v>174</v>
      </c>
      <c r="B119" s="833" t="s">
        <v>519</v>
      </c>
      <c r="C119" s="834">
        <v>6</v>
      </c>
      <c r="D119" s="835">
        <v>87</v>
      </c>
    </row>
    <row r="120" spans="1:5" x14ac:dyDescent="0.2">
      <c r="A120" s="832" t="s">
        <v>174</v>
      </c>
      <c r="B120" s="833" t="s">
        <v>490</v>
      </c>
      <c r="C120" s="834">
        <v>94</v>
      </c>
      <c r="D120" s="835">
        <v>1371</v>
      </c>
    </row>
    <row r="121" spans="1:5" x14ac:dyDescent="0.2">
      <c r="A121" s="832" t="s">
        <v>174</v>
      </c>
      <c r="B121" s="833" t="s">
        <v>491</v>
      </c>
      <c r="C121" s="834">
        <v>2516</v>
      </c>
      <c r="D121" s="835">
        <v>40977</v>
      </c>
    </row>
    <row r="122" spans="1:5" x14ac:dyDescent="0.2">
      <c r="A122" s="832" t="s">
        <v>174</v>
      </c>
      <c r="B122" s="833" t="s">
        <v>520</v>
      </c>
      <c r="C122" s="834">
        <v>3</v>
      </c>
      <c r="D122" s="835">
        <v>40</v>
      </c>
    </row>
    <row r="123" spans="1:5" x14ac:dyDescent="0.2">
      <c r="A123" s="832" t="s">
        <v>174</v>
      </c>
      <c r="B123" s="833" t="s">
        <v>492</v>
      </c>
      <c r="C123" s="834">
        <v>39956</v>
      </c>
      <c r="D123" s="835">
        <v>153098</v>
      </c>
    </row>
    <row r="124" spans="1:5" x14ac:dyDescent="0.2">
      <c r="A124" s="832" t="s">
        <v>174</v>
      </c>
      <c r="B124" s="833" t="s">
        <v>501</v>
      </c>
      <c r="C124" s="834">
        <v>881</v>
      </c>
      <c r="D124" s="835">
        <v>12165</v>
      </c>
    </row>
    <row r="125" spans="1:5" x14ac:dyDescent="0.2">
      <c r="A125" s="832" t="s">
        <v>174</v>
      </c>
      <c r="B125" s="833" t="s">
        <v>516</v>
      </c>
      <c r="C125" s="834">
        <v>22</v>
      </c>
      <c r="D125" s="835">
        <v>393</v>
      </c>
    </row>
    <row r="126" spans="1:5" x14ac:dyDescent="0.2">
      <c r="A126" s="832" t="s">
        <v>174</v>
      </c>
      <c r="B126" s="833" t="s">
        <v>493</v>
      </c>
      <c r="C126" s="834">
        <v>1009</v>
      </c>
      <c r="D126" s="835">
        <v>34519</v>
      </c>
    </row>
    <row r="127" spans="1:5" x14ac:dyDescent="0.2">
      <c r="A127" s="832" t="s">
        <v>174</v>
      </c>
      <c r="B127" s="833" t="s">
        <v>255</v>
      </c>
      <c r="C127" s="834">
        <v>892</v>
      </c>
      <c r="D127" s="835">
        <v>114195</v>
      </c>
      <c r="E127" s="255"/>
    </row>
    <row r="128" spans="1:5" x14ac:dyDescent="0.2">
      <c r="A128" s="828" t="s">
        <v>175</v>
      </c>
      <c r="B128" s="829" t="s">
        <v>253</v>
      </c>
      <c r="C128" s="830">
        <v>2</v>
      </c>
      <c r="D128" s="831">
        <v>22338</v>
      </c>
    </row>
    <row r="129" spans="1:4" x14ac:dyDescent="0.2">
      <c r="A129" s="832" t="s">
        <v>175</v>
      </c>
      <c r="B129" s="833" t="s">
        <v>288</v>
      </c>
      <c r="C129" s="834">
        <v>1</v>
      </c>
      <c r="D129" s="835">
        <v>357</v>
      </c>
    </row>
    <row r="130" spans="1:4" x14ac:dyDescent="0.2">
      <c r="A130" s="832" t="s">
        <v>175</v>
      </c>
      <c r="B130" s="833" t="s">
        <v>250</v>
      </c>
      <c r="C130" s="834">
        <v>28</v>
      </c>
      <c r="D130" s="835">
        <v>13221</v>
      </c>
    </row>
    <row r="131" spans="1:4" x14ac:dyDescent="0.2">
      <c r="A131" s="832" t="s">
        <v>175</v>
      </c>
      <c r="B131" s="833" t="s">
        <v>500</v>
      </c>
      <c r="C131" s="834">
        <v>6</v>
      </c>
      <c r="D131" s="835">
        <v>62</v>
      </c>
    </row>
    <row r="132" spans="1:4" x14ac:dyDescent="0.2">
      <c r="A132" s="832" t="s">
        <v>175</v>
      </c>
      <c r="B132" s="833" t="s">
        <v>506</v>
      </c>
      <c r="C132" s="834">
        <v>7</v>
      </c>
      <c r="D132" s="835">
        <v>103</v>
      </c>
    </row>
    <row r="133" spans="1:4" x14ac:dyDescent="0.2">
      <c r="A133" s="832" t="s">
        <v>175</v>
      </c>
      <c r="B133" s="833" t="s">
        <v>497</v>
      </c>
      <c r="C133" s="834">
        <v>1</v>
      </c>
      <c r="D133" s="835">
        <v>100</v>
      </c>
    </row>
    <row r="134" spans="1:4" x14ac:dyDescent="0.2">
      <c r="A134" s="832" t="s">
        <v>175</v>
      </c>
      <c r="B134" s="833" t="s">
        <v>495</v>
      </c>
      <c r="C134" s="834">
        <v>254</v>
      </c>
      <c r="D134" s="835">
        <v>18530</v>
      </c>
    </row>
    <row r="135" spans="1:4" x14ac:dyDescent="0.2">
      <c r="A135" s="832" t="s">
        <v>175</v>
      </c>
      <c r="B135" s="833" t="s">
        <v>499</v>
      </c>
      <c r="C135" s="834">
        <v>56</v>
      </c>
      <c r="D135" s="835">
        <v>10919</v>
      </c>
    </row>
    <row r="136" spans="1:4" x14ac:dyDescent="0.2">
      <c r="A136" s="832" t="s">
        <v>175</v>
      </c>
      <c r="B136" s="833" t="s">
        <v>494</v>
      </c>
      <c r="C136" s="834">
        <v>47</v>
      </c>
      <c r="D136" s="835">
        <v>5848</v>
      </c>
    </row>
    <row r="137" spans="1:4" x14ac:dyDescent="0.2">
      <c r="A137" s="832" t="s">
        <v>175</v>
      </c>
      <c r="B137" s="833" t="s">
        <v>508</v>
      </c>
      <c r="C137" s="834">
        <v>1</v>
      </c>
      <c r="D137" s="835">
        <v>826</v>
      </c>
    </row>
    <row r="138" spans="1:4" x14ac:dyDescent="0.2">
      <c r="A138" s="832" t="s">
        <v>175</v>
      </c>
      <c r="B138" s="833" t="s">
        <v>254</v>
      </c>
      <c r="C138" s="834">
        <v>4</v>
      </c>
      <c r="D138" s="835">
        <v>2753</v>
      </c>
    </row>
    <row r="139" spans="1:4" x14ac:dyDescent="0.2">
      <c r="A139" s="832" t="s">
        <v>175</v>
      </c>
      <c r="B139" s="833" t="s">
        <v>252</v>
      </c>
      <c r="C139" s="834">
        <v>20</v>
      </c>
      <c r="D139" s="835">
        <v>22623</v>
      </c>
    </row>
    <row r="140" spans="1:4" x14ac:dyDescent="0.2">
      <c r="A140" s="832" t="s">
        <v>175</v>
      </c>
      <c r="B140" s="833" t="s">
        <v>257</v>
      </c>
      <c r="C140" s="834">
        <v>25</v>
      </c>
      <c r="D140" s="835">
        <v>10082</v>
      </c>
    </row>
    <row r="141" spans="1:4" x14ac:dyDescent="0.2">
      <c r="A141" s="832" t="s">
        <v>175</v>
      </c>
      <c r="B141" s="833" t="s">
        <v>251</v>
      </c>
      <c r="C141" s="834">
        <v>1</v>
      </c>
      <c r="D141" s="835">
        <v>1785</v>
      </c>
    </row>
    <row r="142" spans="1:4" x14ac:dyDescent="0.2">
      <c r="A142" s="832" t="s">
        <v>175</v>
      </c>
      <c r="B142" s="833" t="s">
        <v>498</v>
      </c>
      <c r="C142" s="834">
        <v>1</v>
      </c>
      <c r="D142" s="835">
        <v>147</v>
      </c>
    </row>
    <row r="143" spans="1:4" x14ac:dyDescent="0.2">
      <c r="A143" s="832" t="s">
        <v>175</v>
      </c>
      <c r="B143" s="833" t="s">
        <v>517</v>
      </c>
      <c r="C143" s="834">
        <v>39</v>
      </c>
      <c r="D143" s="835">
        <v>1337</v>
      </c>
    </row>
    <row r="144" spans="1:4" x14ac:dyDescent="0.2">
      <c r="A144" s="832" t="s">
        <v>175</v>
      </c>
      <c r="B144" s="833" t="s">
        <v>489</v>
      </c>
      <c r="C144" s="834">
        <v>50</v>
      </c>
      <c r="D144" s="835">
        <v>1299</v>
      </c>
    </row>
    <row r="145" spans="1:4" x14ac:dyDescent="0.2">
      <c r="A145" s="832" t="s">
        <v>175</v>
      </c>
      <c r="B145" s="833" t="s">
        <v>496</v>
      </c>
      <c r="C145" s="834">
        <v>2</v>
      </c>
      <c r="D145" s="835">
        <v>4</v>
      </c>
    </row>
    <row r="146" spans="1:4" x14ac:dyDescent="0.2">
      <c r="A146" s="832" t="s">
        <v>175</v>
      </c>
      <c r="B146" s="833" t="s">
        <v>519</v>
      </c>
      <c r="C146" s="834">
        <v>8</v>
      </c>
      <c r="D146" s="835">
        <v>119</v>
      </c>
    </row>
    <row r="147" spans="1:4" x14ac:dyDescent="0.2">
      <c r="A147" s="832" t="s">
        <v>175</v>
      </c>
      <c r="B147" s="833" t="s">
        <v>490</v>
      </c>
      <c r="C147" s="834">
        <v>35</v>
      </c>
      <c r="D147" s="835">
        <v>545</v>
      </c>
    </row>
    <row r="148" spans="1:4" x14ac:dyDescent="0.2">
      <c r="A148" s="832" t="s">
        <v>175</v>
      </c>
      <c r="B148" s="833" t="s">
        <v>525</v>
      </c>
      <c r="C148" s="834">
        <v>2</v>
      </c>
      <c r="D148" s="835">
        <v>69</v>
      </c>
    </row>
    <row r="149" spans="1:4" x14ac:dyDescent="0.2">
      <c r="A149" s="832" t="s">
        <v>175</v>
      </c>
      <c r="B149" s="833" t="s">
        <v>501</v>
      </c>
      <c r="C149" s="834">
        <v>67</v>
      </c>
      <c r="D149" s="835">
        <v>1792</v>
      </c>
    </row>
    <row r="150" spans="1:4" x14ac:dyDescent="0.2">
      <c r="A150" s="832" t="s">
        <v>175</v>
      </c>
      <c r="B150" s="833" t="s">
        <v>522</v>
      </c>
      <c r="C150" s="834">
        <v>1</v>
      </c>
      <c r="D150" s="835">
        <v>52</v>
      </c>
    </row>
    <row r="151" spans="1:4" x14ac:dyDescent="0.2">
      <c r="A151" s="832" t="s">
        <v>175</v>
      </c>
      <c r="B151" s="833" t="s">
        <v>493</v>
      </c>
      <c r="C151" s="834">
        <v>232</v>
      </c>
      <c r="D151" s="835">
        <v>8695</v>
      </c>
    </row>
    <row r="152" spans="1:4" x14ac:dyDescent="0.2">
      <c r="A152" s="832" t="s">
        <v>175</v>
      </c>
      <c r="B152" s="833" t="s">
        <v>255</v>
      </c>
      <c r="C152" s="834">
        <v>81</v>
      </c>
      <c r="D152" s="835">
        <v>28166</v>
      </c>
    </row>
    <row r="153" spans="1:4" x14ac:dyDescent="0.2">
      <c r="A153" s="828" t="s">
        <v>176</v>
      </c>
      <c r="B153" s="829" t="s">
        <v>507</v>
      </c>
      <c r="C153" s="830">
        <v>14</v>
      </c>
      <c r="D153" s="831">
        <v>2709</v>
      </c>
    </row>
    <row r="154" spans="1:4" x14ac:dyDescent="0.2">
      <c r="A154" s="832" t="s">
        <v>176</v>
      </c>
      <c r="B154" s="833" t="s">
        <v>288</v>
      </c>
      <c r="C154" s="834">
        <v>3</v>
      </c>
      <c r="D154" s="835">
        <v>4231</v>
      </c>
    </row>
    <row r="155" spans="1:4" x14ac:dyDescent="0.2">
      <c r="A155" s="832" t="s">
        <v>176</v>
      </c>
      <c r="B155" s="833" t="s">
        <v>250</v>
      </c>
      <c r="C155" s="834">
        <v>96</v>
      </c>
      <c r="D155" s="835">
        <v>60037</v>
      </c>
    </row>
    <row r="156" spans="1:4" x14ac:dyDescent="0.2">
      <c r="A156" s="832" t="s">
        <v>176</v>
      </c>
      <c r="B156" s="833" t="s">
        <v>500</v>
      </c>
      <c r="C156" s="834">
        <v>114</v>
      </c>
      <c r="D156" s="835">
        <v>1668</v>
      </c>
    </row>
    <row r="157" spans="1:4" x14ac:dyDescent="0.2">
      <c r="A157" s="832" t="s">
        <v>176</v>
      </c>
      <c r="B157" s="833" t="s">
        <v>505</v>
      </c>
      <c r="C157" s="834">
        <v>5</v>
      </c>
      <c r="D157" s="835">
        <v>69</v>
      </c>
    </row>
    <row r="158" spans="1:4" x14ac:dyDescent="0.2">
      <c r="A158" s="832" t="s">
        <v>176</v>
      </c>
      <c r="B158" s="833" t="s">
        <v>506</v>
      </c>
      <c r="C158" s="834">
        <v>26</v>
      </c>
      <c r="D158" s="835">
        <v>391</v>
      </c>
    </row>
    <row r="159" spans="1:4" x14ac:dyDescent="0.2">
      <c r="A159" s="832" t="s">
        <v>176</v>
      </c>
      <c r="B159" s="833" t="s">
        <v>497</v>
      </c>
      <c r="C159" s="834">
        <v>3</v>
      </c>
      <c r="D159" s="835">
        <v>912</v>
      </c>
    </row>
    <row r="160" spans="1:4" x14ac:dyDescent="0.2">
      <c r="A160" s="832" t="s">
        <v>176</v>
      </c>
      <c r="B160" s="833" t="s">
        <v>495</v>
      </c>
      <c r="C160" s="834">
        <v>1411</v>
      </c>
      <c r="D160" s="835">
        <v>130240</v>
      </c>
    </row>
    <row r="161" spans="1:4" x14ac:dyDescent="0.2">
      <c r="A161" s="832" t="s">
        <v>176</v>
      </c>
      <c r="B161" s="833" t="s">
        <v>499</v>
      </c>
      <c r="C161" s="834">
        <v>98</v>
      </c>
      <c r="D161" s="835">
        <v>14608</v>
      </c>
    </row>
    <row r="162" spans="1:4" x14ac:dyDescent="0.2">
      <c r="A162" s="832" t="s">
        <v>176</v>
      </c>
      <c r="B162" s="833" t="s">
        <v>494</v>
      </c>
      <c r="C162" s="834">
        <v>275</v>
      </c>
      <c r="D162" s="835">
        <v>50584</v>
      </c>
    </row>
    <row r="163" spans="1:4" x14ac:dyDescent="0.2">
      <c r="A163" s="832" t="s">
        <v>176</v>
      </c>
      <c r="B163" s="833" t="s">
        <v>508</v>
      </c>
      <c r="C163" s="834">
        <v>18</v>
      </c>
      <c r="D163" s="835">
        <v>4056</v>
      </c>
    </row>
    <row r="164" spans="1:4" x14ac:dyDescent="0.2">
      <c r="A164" s="832" t="s">
        <v>176</v>
      </c>
      <c r="B164" s="833" t="s">
        <v>254</v>
      </c>
      <c r="C164" s="834">
        <v>23</v>
      </c>
      <c r="D164" s="835">
        <v>97426</v>
      </c>
    </row>
    <row r="165" spans="1:4" x14ac:dyDescent="0.2">
      <c r="A165" s="832" t="s">
        <v>176</v>
      </c>
      <c r="B165" s="833" t="s">
        <v>252</v>
      </c>
      <c r="C165" s="834">
        <v>17</v>
      </c>
      <c r="D165" s="835">
        <v>18334</v>
      </c>
    </row>
    <row r="166" spans="1:4" x14ac:dyDescent="0.2">
      <c r="A166" s="832" t="s">
        <v>176</v>
      </c>
      <c r="B166" s="833" t="s">
        <v>526</v>
      </c>
      <c r="C166" s="834">
        <v>1</v>
      </c>
      <c r="D166" s="835">
        <v>878</v>
      </c>
    </row>
    <row r="167" spans="1:4" x14ac:dyDescent="0.2">
      <c r="A167" s="832" t="s">
        <v>176</v>
      </c>
      <c r="B167" s="833" t="s">
        <v>257</v>
      </c>
      <c r="C167" s="834">
        <v>4</v>
      </c>
      <c r="D167" s="835">
        <v>127</v>
      </c>
    </row>
    <row r="168" spans="1:4" x14ac:dyDescent="0.2">
      <c r="A168" s="832" t="s">
        <v>176</v>
      </c>
      <c r="B168" s="833" t="s">
        <v>511</v>
      </c>
      <c r="C168" s="834">
        <v>47</v>
      </c>
      <c r="D168" s="835">
        <v>1796</v>
      </c>
    </row>
    <row r="169" spans="1:4" x14ac:dyDescent="0.2">
      <c r="A169" s="832" t="s">
        <v>176</v>
      </c>
      <c r="B169" s="833" t="s">
        <v>498</v>
      </c>
      <c r="C169" s="834">
        <v>384</v>
      </c>
      <c r="D169" s="835">
        <v>4414</v>
      </c>
    </row>
    <row r="170" spans="1:4" x14ac:dyDescent="0.2">
      <c r="A170" s="832" t="s">
        <v>176</v>
      </c>
      <c r="B170" s="833" t="s">
        <v>512</v>
      </c>
      <c r="C170" s="834">
        <v>18</v>
      </c>
      <c r="D170" s="835">
        <v>312</v>
      </c>
    </row>
    <row r="171" spans="1:4" x14ac:dyDescent="0.2">
      <c r="A171" s="832" t="s">
        <v>176</v>
      </c>
      <c r="B171" s="833" t="s">
        <v>503</v>
      </c>
      <c r="C171" s="834">
        <v>195</v>
      </c>
      <c r="D171" s="835">
        <v>5168</v>
      </c>
    </row>
    <row r="172" spans="1:4" x14ac:dyDescent="0.2">
      <c r="A172" s="832" t="s">
        <v>176</v>
      </c>
      <c r="B172" s="833" t="s">
        <v>514</v>
      </c>
      <c r="C172" s="834">
        <v>170</v>
      </c>
      <c r="D172" s="835">
        <v>2501</v>
      </c>
    </row>
    <row r="173" spans="1:4" x14ac:dyDescent="0.2">
      <c r="A173" s="832" t="s">
        <v>176</v>
      </c>
      <c r="B173" s="833" t="s">
        <v>509</v>
      </c>
      <c r="C173" s="834">
        <v>9</v>
      </c>
      <c r="D173" s="835">
        <v>13</v>
      </c>
    </row>
    <row r="174" spans="1:4" x14ac:dyDescent="0.2">
      <c r="A174" s="832" t="s">
        <v>176</v>
      </c>
      <c r="B174" s="833" t="s">
        <v>513</v>
      </c>
      <c r="C174" s="834">
        <v>9</v>
      </c>
      <c r="D174" s="835">
        <v>53</v>
      </c>
    </row>
    <row r="175" spans="1:4" x14ac:dyDescent="0.2">
      <c r="A175" s="832" t="s">
        <v>176</v>
      </c>
      <c r="B175" s="833" t="s">
        <v>510</v>
      </c>
      <c r="C175" s="834">
        <v>60</v>
      </c>
      <c r="D175" s="835">
        <v>492</v>
      </c>
    </row>
    <row r="176" spans="1:4" x14ac:dyDescent="0.2">
      <c r="A176" s="832" t="s">
        <v>176</v>
      </c>
      <c r="B176" s="833" t="s">
        <v>518</v>
      </c>
      <c r="C176" s="834">
        <v>2</v>
      </c>
      <c r="D176" s="835">
        <v>65</v>
      </c>
    </row>
    <row r="177" spans="1:4" x14ac:dyDescent="0.2">
      <c r="A177" s="832" t="s">
        <v>176</v>
      </c>
      <c r="B177" s="833" t="s">
        <v>515</v>
      </c>
      <c r="C177" s="834">
        <v>1</v>
      </c>
      <c r="D177" s="835">
        <v>6</v>
      </c>
    </row>
    <row r="178" spans="1:4" x14ac:dyDescent="0.2">
      <c r="A178" s="832" t="s">
        <v>176</v>
      </c>
      <c r="B178" s="833" t="s">
        <v>489</v>
      </c>
      <c r="C178" s="834">
        <v>796</v>
      </c>
      <c r="D178" s="835">
        <v>20070</v>
      </c>
    </row>
    <row r="179" spans="1:4" x14ac:dyDescent="0.2">
      <c r="A179" s="832" t="s">
        <v>176</v>
      </c>
      <c r="B179" s="833" t="s">
        <v>496</v>
      </c>
      <c r="C179" s="834">
        <v>42748</v>
      </c>
      <c r="D179" s="835">
        <v>168246</v>
      </c>
    </row>
    <row r="180" spans="1:4" x14ac:dyDescent="0.2">
      <c r="A180" s="832" t="s">
        <v>176</v>
      </c>
      <c r="B180" s="833" t="s">
        <v>504</v>
      </c>
      <c r="C180" s="834">
        <v>37</v>
      </c>
      <c r="D180" s="835">
        <v>149</v>
      </c>
    </row>
    <row r="181" spans="1:4" x14ac:dyDescent="0.2">
      <c r="A181" s="832" t="s">
        <v>176</v>
      </c>
      <c r="B181" s="833" t="s">
        <v>519</v>
      </c>
      <c r="C181" s="834">
        <v>20</v>
      </c>
      <c r="D181" s="835">
        <v>285</v>
      </c>
    </row>
    <row r="182" spans="1:4" x14ac:dyDescent="0.2">
      <c r="A182" s="832" t="s">
        <v>176</v>
      </c>
      <c r="B182" s="833" t="s">
        <v>490</v>
      </c>
      <c r="C182" s="834">
        <v>39</v>
      </c>
      <c r="D182" s="835">
        <v>781</v>
      </c>
    </row>
    <row r="183" spans="1:4" x14ac:dyDescent="0.2">
      <c r="A183" s="832" t="s">
        <v>176</v>
      </c>
      <c r="B183" s="833" t="s">
        <v>520</v>
      </c>
      <c r="C183" s="834">
        <v>2</v>
      </c>
      <c r="D183" s="835">
        <v>32</v>
      </c>
    </row>
    <row r="184" spans="1:4" x14ac:dyDescent="0.2">
      <c r="A184" s="832" t="s">
        <v>176</v>
      </c>
      <c r="B184" s="833" t="s">
        <v>492</v>
      </c>
      <c r="C184" s="834">
        <v>16</v>
      </c>
      <c r="D184" s="835">
        <v>64</v>
      </c>
    </row>
    <row r="185" spans="1:4" x14ac:dyDescent="0.2">
      <c r="A185" s="832" t="s">
        <v>176</v>
      </c>
      <c r="B185" s="833" t="s">
        <v>501</v>
      </c>
      <c r="C185" s="834">
        <v>518</v>
      </c>
      <c r="D185" s="835">
        <v>6167</v>
      </c>
    </row>
    <row r="186" spans="1:4" x14ac:dyDescent="0.2">
      <c r="A186" s="832" t="s">
        <v>176</v>
      </c>
      <c r="B186" s="833" t="s">
        <v>516</v>
      </c>
      <c r="C186" s="834">
        <v>1</v>
      </c>
      <c r="D186" s="835">
        <v>15</v>
      </c>
    </row>
    <row r="187" spans="1:4" x14ac:dyDescent="0.2">
      <c r="A187" s="832" t="s">
        <v>176</v>
      </c>
      <c r="B187" s="833" t="s">
        <v>493</v>
      </c>
      <c r="C187" s="834">
        <v>1180</v>
      </c>
      <c r="D187" s="835">
        <v>40781</v>
      </c>
    </row>
    <row r="188" spans="1:4" x14ac:dyDescent="0.2">
      <c r="A188" s="832" t="s">
        <v>176</v>
      </c>
      <c r="B188" s="833" t="s">
        <v>255</v>
      </c>
      <c r="C188" s="834">
        <v>1207</v>
      </c>
      <c r="D188" s="835">
        <v>580650</v>
      </c>
    </row>
    <row r="189" spans="1:4" x14ac:dyDescent="0.2">
      <c r="A189" s="828" t="s">
        <v>177</v>
      </c>
      <c r="B189" s="829" t="s">
        <v>288</v>
      </c>
      <c r="C189" s="830">
        <v>19</v>
      </c>
      <c r="D189" s="831">
        <v>17479</v>
      </c>
    </row>
    <row r="190" spans="1:4" x14ac:dyDescent="0.2">
      <c r="A190" s="832" t="s">
        <v>177</v>
      </c>
      <c r="B190" s="833" t="s">
        <v>250</v>
      </c>
      <c r="C190" s="834">
        <v>120</v>
      </c>
      <c r="D190" s="835">
        <v>46598</v>
      </c>
    </row>
    <row r="191" spans="1:4" x14ac:dyDescent="0.2">
      <c r="A191" s="832" t="s">
        <v>177</v>
      </c>
      <c r="B191" s="833" t="s">
        <v>500</v>
      </c>
      <c r="C191" s="834">
        <v>79</v>
      </c>
      <c r="D191" s="835">
        <v>1046</v>
      </c>
    </row>
    <row r="192" spans="1:4" x14ac:dyDescent="0.2">
      <c r="A192" s="832" t="s">
        <v>177</v>
      </c>
      <c r="B192" s="833" t="s">
        <v>505</v>
      </c>
      <c r="C192" s="834">
        <v>5</v>
      </c>
      <c r="D192" s="835">
        <v>44</v>
      </c>
    </row>
    <row r="193" spans="1:4" x14ac:dyDescent="0.2">
      <c r="A193" s="832" t="s">
        <v>177</v>
      </c>
      <c r="B193" s="833" t="s">
        <v>506</v>
      </c>
      <c r="C193" s="834">
        <v>26</v>
      </c>
      <c r="D193" s="835">
        <v>302</v>
      </c>
    </row>
    <row r="194" spans="1:4" x14ac:dyDescent="0.2">
      <c r="A194" s="832" t="s">
        <v>177</v>
      </c>
      <c r="B194" s="833" t="s">
        <v>497</v>
      </c>
      <c r="C194" s="834">
        <v>1</v>
      </c>
      <c r="D194" s="835">
        <v>60</v>
      </c>
    </row>
    <row r="195" spans="1:4" x14ac:dyDescent="0.2">
      <c r="A195" s="832" t="s">
        <v>177</v>
      </c>
      <c r="B195" s="833" t="s">
        <v>495</v>
      </c>
      <c r="C195" s="834">
        <v>978</v>
      </c>
      <c r="D195" s="835">
        <v>61744</v>
      </c>
    </row>
    <row r="196" spans="1:4" x14ac:dyDescent="0.2">
      <c r="A196" s="832" t="s">
        <v>177</v>
      </c>
      <c r="B196" s="833" t="s">
        <v>499</v>
      </c>
      <c r="C196" s="834">
        <v>69</v>
      </c>
      <c r="D196" s="835">
        <v>11791</v>
      </c>
    </row>
    <row r="197" spans="1:4" x14ac:dyDescent="0.2">
      <c r="A197" s="832" t="s">
        <v>177</v>
      </c>
      <c r="B197" s="833" t="s">
        <v>494</v>
      </c>
      <c r="C197" s="834">
        <v>185</v>
      </c>
      <c r="D197" s="835">
        <v>23974</v>
      </c>
    </row>
    <row r="198" spans="1:4" x14ac:dyDescent="0.2">
      <c r="A198" s="832" t="s">
        <v>177</v>
      </c>
      <c r="B198" s="833" t="s">
        <v>508</v>
      </c>
      <c r="C198" s="834">
        <v>6</v>
      </c>
      <c r="D198" s="835">
        <v>661</v>
      </c>
    </row>
    <row r="199" spans="1:4" x14ac:dyDescent="0.2">
      <c r="A199" s="832" t="s">
        <v>177</v>
      </c>
      <c r="B199" s="833" t="s">
        <v>254</v>
      </c>
      <c r="C199" s="834">
        <v>13</v>
      </c>
      <c r="D199" s="835">
        <v>7451</v>
      </c>
    </row>
    <row r="200" spans="1:4" x14ac:dyDescent="0.2">
      <c r="A200" s="832" t="s">
        <v>177</v>
      </c>
      <c r="B200" s="833" t="s">
        <v>252</v>
      </c>
      <c r="C200" s="834">
        <v>17</v>
      </c>
      <c r="D200" s="835">
        <v>4383</v>
      </c>
    </row>
    <row r="201" spans="1:4" x14ac:dyDescent="0.2">
      <c r="A201" s="832" t="s">
        <v>177</v>
      </c>
      <c r="B201" s="833" t="s">
        <v>256</v>
      </c>
      <c r="C201" s="834">
        <v>1</v>
      </c>
      <c r="D201" s="835">
        <v>227181</v>
      </c>
    </row>
    <row r="202" spans="1:4" x14ac:dyDescent="0.2">
      <c r="A202" s="832" t="s">
        <v>177</v>
      </c>
      <c r="B202" s="833" t="s">
        <v>257</v>
      </c>
      <c r="C202" s="834">
        <v>33</v>
      </c>
      <c r="D202" s="835">
        <v>50466</v>
      </c>
    </row>
    <row r="203" spans="1:4" x14ac:dyDescent="0.2">
      <c r="A203" s="832" t="s">
        <v>177</v>
      </c>
      <c r="B203" s="833" t="s">
        <v>511</v>
      </c>
      <c r="C203" s="834">
        <v>30</v>
      </c>
      <c r="D203" s="835">
        <v>1359</v>
      </c>
    </row>
    <row r="204" spans="1:4" x14ac:dyDescent="0.2">
      <c r="A204" s="832" t="s">
        <v>177</v>
      </c>
      <c r="B204" s="833" t="s">
        <v>498</v>
      </c>
      <c r="C204" s="834">
        <v>3</v>
      </c>
      <c r="D204" s="835">
        <v>293</v>
      </c>
    </row>
    <row r="205" spans="1:4" x14ac:dyDescent="0.2">
      <c r="A205" s="832" t="s">
        <v>177</v>
      </c>
      <c r="B205" s="833" t="s">
        <v>512</v>
      </c>
      <c r="C205" s="834">
        <v>3</v>
      </c>
      <c r="D205" s="835">
        <v>480</v>
      </c>
    </row>
    <row r="206" spans="1:4" x14ac:dyDescent="0.2">
      <c r="A206" s="832" t="s">
        <v>177</v>
      </c>
      <c r="B206" s="833" t="s">
        <v>503</v>
      </c>
      <c r="C206" s="834">
        <v>8</v>
      </c>
      <c r="D206" s="835">
        <v>1824</v>
      </c>
    </row>
    <row r="207" spans="1:4" x14ac:dyDescent="0.2">
      <c r="A207" s="832" t="s">
        <v>177</v>
      </c>
      <c r="B207" s="833" t="s">
        <v>489</v>
      </c>
      <c r="C207" s="834">
        <v>210</v>
      </c>
      <c r="D207" s="835">
        <v>5391</v>
      </c>
    </row>
    <row r="208" spans="1:4" x14ac:dyDescent="0.2">
      <c r="A208" s="832" t="s">
        <v>177</v>
      </c>
      <c r="B208" s="833" t="s">
        <v>496</v>
      </c>
      <c r="C208" s="834">
        <v>19613</v>
      </c>
      <c r="D208" s="835">
        <v>75717</v>
      </c>
    </row>
    <row r="209" spans="1:4" x14ac:dyDescent="0.2">
      <c r="A209" s="832" t="s">
        <v>177</v>
      </c>
      <c r="B209" s="833" t="s">
        <v>504</v>
      </c>
      <c r="C209" s="834">
        <v>14</v>
      </c>
      <c r="D209" s="835">
        <v>80</v>
      </c>
    </row>
    <row r="210" spans="1:4" x14ac:dyDescent="0.2">
      <c r="A210" s="832" t="s">
        <v>177</v>
      </c>
      <c r="B210" s="833" t="s">
        <v>519</v>
      </c>
      <c r="C210" s="834">
        <v>2</v>
      </c>
      <c r="D210" s="835">
        <v>30</v>
      </c>
    </row>
    <row r="211" spans="1:4" x14ac:dyDescent="0.2">
      <c r="A211" s="832" t="s">
        <v>177</v>
      </c>
      <c r="B211" s="833" t="s">
        <v>490</v>
      </c>
      <c r="C211" s="834">
        <v>93</v>
      </c>
      <c r="D211" s="835">
        <v>1353</v>
      </c>
    </row>
    <row r="212" spans="1:4" x14ac:dyDescent="0.2">
      <c r="A212" s="832" t="s">
        <v>177</v>
      </c>
      <c r="B212" s="833" t="s">
        <v>491</v>
      </c>
      <c r="C212" s="834">
        <v>756</v>
      </c>
      <c r="D212" s="835">
        <v>11632</v>
      </c>
    </row>
    <row r="213" spans="1:4" x14ac:dyDescent="0.2">
      <c r="A213" s="832" t="s">
        <v>177</v>
      </c>
      <c r="B213" s="833" t="s">
        <v>520</v>
      </c>
      <c r="C213" s="834">
        <v>1</v>
      </c>
      <c r="D213" s="835">
        <v>10</v>
      </c>
    </row>
    <row r="214" spans="1:4" x14ac:dyDescent="0.2">
      <c r="A214" s="832" t="s">
        <v>177</v>
      </c>
      <c r="B214" s="833" t="s">
        <v>492</v>
      </c>
      <c r="C214" s="834">
        <v>25416</v>
      </c>
      <c r="D214" s="835">
        <v>99252</v>
      </c>
    </row>
    <row r="215" spans="1:4" x14ac:dyDescent="0.2">
      <c r="A215" s="832" t="s">
        <v>177</v>
      </c>
      <c r="B215" s="833" t="s">
        <v>501</v>
      </c>
      <c r="C215" s="834">
        <v>105</v>
      </c>
      <c r="D215" s="835">
        <v>1638</v>
      </c>
    </row>
    <row r="216" spans="1:4" x14ac:dyDescent="0.2">
      <c r="A216" s="832" t="s">
        <v>177</v>
      </c>
      <c r="B216" s="833" t="s">
        <v>522</v>
      </c>
      <c r="C216" s="834">
        <v>11</v>
      </c>
      <c r="D216" s="835">
        <v>622</v>
      </c>
    </row>
    <row r="217" spans="1:4" x14ac:dyDescent="0.2">
      <c r="A217" s="832" t="s">
        <v>177</v>
      </c>
      <c r="B217" s="833" t="s">
        <v>493</v>
      </c>
      <c r="C217" s="834">
        <v>853</v>
      </c>
      <c r="D217" s="835">
        <v>25766</v>
      </c>
    </row>
    <row r="218" spans="1:4" x14ac:dyDescent="0.2">
      <c r="A218" s="832" t="s">
        <v>177</v>
      </c>
      <c r="B218" s="833" t="s">
        <v>255</v>
      </c>
      <c r="C218" s="834">
        <v>406</v>
      </c>
      <c r="D218" s="835">
        <v>118224</v>
      </c>
    </row>
    <row r="219" spans="1:4" x14ac:dyDescent="0.2">
      <c r="A219" s="828" t="s">
        <v>178</v>
      </c>
      <c r="B219" s="829" t="s">
        <v>253</v>
      </c>
      <c r="C219" s="830">
        <v>2</v>
      </c>
      <c r="D219" s="831">
        <v>932</v>
      </c>
    </row>
    <row r="220" spans="1:4" x14ac:dyDescent="0.2">
      <c r="A220" s="832" t="s">
        <v>178</v>
      </c>
      <c r="B220" s="833" t="s">
        <v>507</v>
      </c>
      <c r="C220" s="834">
        <v>2</v>
      </c>
      <c r="D220" s="835">
        <v>309</v>
      </c>
    </row>
    <row r="221" spans="1:4" x14ac:dyDescent="0.2">
      <c r="A221" s="832" t="s">
        <v>178</v>
      </c>
      <c r="B221" s="833" t="s">
        <v>250</v>
      </c>
      <c r="C221" s="834">
        <v>232</v>
      </c>
      <c r="D221" s="835">
        <v>46833</v>
      </c>
    </row>
    <row r="222" spans="1:4" x14ac:dyDescent="0.2">
      <c r="A222" s="832" t="s">
        <v>178</v>
      </c>
      <c r="B222" s="833" t="s">
        <v>500</v>
      </c>
      <c r="C222" s="834">
        <v>12</v>
      </c>
      <c r="D222" s="835">
        <v>115</v>
      </c>
    </row>
    <row r="223" spans="1:4" x14ac:dyDescent="0.2">
      <c r="A223" s="832" t="s">
        <v>178</v>
      </c>
      <c r="B223" s="833" t="s">
        <v>505</v>
      </c>
      <c r="C223" s="834">
        <v>5</v>
      </c>
      <c r="D223" s="835">
        <v>33</v>
      </c>
    </row>
    <row r="224" spans="1:4" x14ac:dyDescent="0.2">
      <c r="A224" s="832" t="s">
        <v>178</v>
      </c>
      <c r="B224" s="833" t="s">
        <v>506</v>
      </c>
      <c r="C224" s="834">
        <v>9</v>
      </c>
      <c r="D224" s="835">
        <v>75</v>
      </c>
    </row>
    <row r="225" spans="1:4" x14ac:dyDescent="0.2">
      <c r="A225" s="832" t="s">
        <v>178</v>
      </c>
      <c r="B225" s="833" t="s">
        <v>497</v>
      </c>
      <c r="C225" s="834">
        <v>23</v>
      </c>
      <c r="D225" s="835">
        <v>2077</v>
      </c>
    </row>
    <row r="226" spans="1:4" x14ac:dyDescent="0.2">
      <c r="A226" s="832" t="s">
        <v>178</v>
      </c>
      <c r="B226" s="833" t="s">
        <v>495</v>
      </c>
      <c r="C226" s="834">
        <v>1500</v>
      </c>
      <c r="D226" s="835">
        <v>89425</v>
      </c>
    </row>
    <row r="227" spans="1:4" x14ac:dyDescent="0.2">
      <c r="A227" s="832" t="s">
        <v>178</v>
      </c>
      <c r="B227" s="833" t="s">
        <v>499</v>
      </c>
      <c r="C227" s="834">
        <v>271</v>
      </c>
      <c r="D227" s="835">
        <v>24340</v>
      </c>
    </row>
    <row r="228" spans="1:4" x14ac:dyDescent="0.2">
      <c r="A228" s="832" t="s">
        <v>178</v>
      </c>
      <c r="B228" s="833" t="s">
        <v>494</v>
      </c>
      <c r="C228" s="834">
        <v>224</v>
      </c>
      <c r="D228" s="835">
        <v>22944</v>
      </c>
    </row>
    <row r="229" spans="1:4" x14ac:dyDescent="0.2">
      <c r="A229" s="832" t="s">
        <v>178</v>
      </c>
      <c r="B229" s="833" t="s">
        <v>508</v>
      </c>
      <c r="C229" s="834">
        <v>80</v>
      </c>
      <c r="D229" s="835">
        <v>7647</v>
      </c>
    </row>
    <row r="230" spans="1:4" x14ac:dyDescent="0.2">
      <c r="A230" s="832" t="s">
        <v>178</v>
      </c>
      <c r="B230" s="833" t="s">
        <v>254</v>
      </c>
      <c r="C230" s="834">
        <v>35</v>
      </c>
      <c r="D230" s="835">
        <v>51771</v>
      </c>
    </row>
    <row r="231" spans="1:4" x14ac:dyDescent="0.2">
      <c r="A231" s="832" t="s">
        <v>178</v>
      </c>
      <c r="B231" s="833" t="s">
        <v>252</v>
      </c>
      <c r="C231" s="834">
        <v>66</v>
      </c>
      <c r="D231" s="835">
        <v>110398</v>
      </c>
    </row>
    <row r="232" spans="1:4" x14ac:dyDescent="0.2">
      <c r="A232" s="832" t="s">
        <v>178</v>
      </c>
      <c r="B232" s="833" t="s">
        <v>256</v>
      </c>
      <c r="C232" s="834">
        <v>1</v>
      </c>
      <c r="D232" s="835">
        <v>7065</v>
      </c>
    </row>
    <row r="233" spans="1:4" x14ac:dyDescent="0.2">
      <c r="A233" s="832" t="s">
        <v>178</v>
      </c>
      <c r="B233" s="833" t="s">
        <v>521</v>
      </c>
      <c r="C233" s="834">
        <v>1</v>
      </c>
      <c r="D233" s="835">
        <v>50</v>
      </c>
    </row>
    <row r="234" spans="1:4" x14ac:dyDescent="0.2">
      <c r="A234" s="832" t="s">
        <v>178</v>
      </c>
      <c r="B234" s="833" t="s">
        <v>257</v>
      </c>
      <c r="C234" s="834">
        <v>19</v>
      </c>
      <c r="D234" s="835">
        <v>17112</v>
      </c>
    </row>
    <row r="235" spans="1:4" x14ac:dyDescent="0.2">
      <c r="A235" s="832" t="s">
        <v>178</v>
      </c>
      <c r="B235" s="833" t="s">
        <v>251</v>
      </c>
      <c r="C235" s="834">
        <v>2</v>
      </c>
      <c r="D235" s="835">
        <v>515</v>
      </c>
    </row>
    <row r="236" spans="1:4" x14ac:dyDescent="0.2">
      <c r="A236" s="832" t="s">
        <v>178</v>
      </c>
      <c r="B236" s="833" t="s">
        <v>511</v>
      </c>
      <c r="C236" s="834">
        <v>14</v>
      </c>
      <c r="D236" s="835">
        <v>723</v>
      </c>
    </row>
    <row r="237" spans="1:4" x14ac:dyDescent="0.2">
      <c r="A237" s="832" t="s">
        <v>178</v>
      </c>
      <c r="B237" s="833" t="s">
        <v>498</v>
      </c>
      <c r="C237" s="834">
        <v>14</v>
      </c>
      <c r="D237" s="835">
        <v>816</v>
      </c>
    </row>
    <row r="238" spans="1:4" x14ac:dyDescent="0.2">
      <c r="A238" s="832" t="s">
        <v>178</v>
      </c>
      <c r="B238" s="833" t="s">
        <v>503</v>
      </c>
      <c r="C238" s="834">
        <v>8</v>
      </c>
      <c r="D238" s="835">
        <v>1581</v>
      </c>
    </row>
    <row r="239" spans="1:4" x14ac:dyDescent="0.2">
      <c r="A239" s="832" t="s">
        <v>178</v>
      </c>
      <c r="B239" s="833" t="s">
        <v>527</v>
      </c>
      <c r="C239" s="834">
        <v>1</v>
      </c>
      <c r="D239" s="835">
        <v>4</v>
      </c>
    </row>
    <row r="240" spans="1:4" x14ac:dyDescent="0.2">
      <c r="A240" s="832" t="s">
        <v>178</v>
      </c>
      <c r="B240" s="833" t="s">
        <v>514</v>
      </c>
      <c r="C240" s="834">
        <v>50</v>
      </c>
      <c r="D240" s="835">
        <v>571</v>
      </c>
    </row>
    <row r="241" spans="1:4" x14ac:dyDescent="0.2">
      <c r="A241" s="832" t="s">
        <v>178</v>
      </c>
      <c r="B241" s="833" t="s">
        <v>523</v>
      </c>
      <c r="C241" s="834">
        <v>32</v>
      </c>
      <c r="D241" s="835">
        <v>108</v>
      </c>
    </row>
    <row r="242" spans="1:4" x14ac:dyDescent="0.2">
      <c r="A242" s="832" t="s">
        <v>178</v>
      </c>
      <c r="B242" s="833" t="s">
        <v>509</v>
      </c>
      <c r="C242" s="834">
        <v>6</v>
      </c>
      <c r="D242" s="835">
        <v>8</v>
      </c>
    </row>
    <row r="243" spans="1:4" x14ac:dyDescent="0.2">
      <c r="A243" s="832" t="s">
        <v>178</v>
      </c>
      <c r="B243" s="833" t="s">
        <v>510</v>
      </c>
      <c r="C243" s="834">
        <v>39</v>
      </c>
      <c r="D243" s="835">
        <v>319</v>
      </c>
    </row>
    <row r="244" spans="1:4" x14ac:dyDescent="0.2">
      <c r="A244" s="832" t="s">
        <v>178</v>
      </c>
      <c r="B244" s="833" t="s">
        <v>518</v>
      </c>
      <c r="C244" s="834">
        <v>3</v>
      </c>
      <c r="D244" s="835">
        <v>24</v>
      </c>
    </row>
    <row r="245" spans="1:4" x14ac:dyDescent="0.2">
      <c r="A245" s="832" t="s">
        <v>178</v>
      </c>
      <c r="B245" s="833" t="s">
        <v>515</v>
      </c>
      <c r="C245" s="834">
        <v>1</v>
      </c>
      <c r="D245" s="835">
        <v>2</v>
      </c>
    </row>
    <row r="246" spans="1:4" x14ac:dyDescent="0.2">
      <c r="A246" s="832" t="s">
        <v>178</v>
      </c>
      <c r="B246" s="833" t="s">
        <v>489</v>
      </c>
      <c r="C246" s="834">
        <v>449</v>
      </c>
      <c r="D246" s="835">
        <v>9370</v>
      </c>
    </row>
    <row r="247" spans="1:4" x14ac:dyDescent="0.2">
      <c r="A247" s="832" t="s">
        <v>178</v>
      </c>
      <c r="B247" s="833" t="s">
        <v>496</v>
      </c>
      <c r="C247" s="834">
        <v>12286</v>
      </c>
      <c r="D247" s="835">
        <v>45341</v>
      </c>
    </row>
    <row r="248" spans="1:4" x14ac:dyDescent="0.2">
      <c r="A248" s="832" t="s">
        <v>178</v>
      </c>
      <c r="B248" s="833" t="s">
        <v>504</v>
      </c>
      <c r="C248" s="834">
        <v>27</v>
      </c>
      <c r="D248" s="835">
        <v>146</v>
      </c>
    </row>
    <row r="249" spans="1:4" x14ac:dyDescent="0.2">
      <c r="A249" s="832" t="s">
        <v>178</v>
      </c>
      <c r="B249" s="833" t="s">
        <v>519</v>
      </c>
      <c r="C249" s="834">
        <v>6</v>
      </c>
      <c r="D249" s="835">
        <v>74</v>
      </c>
    </row>
    <row r="250" spans="1:4" x14ac:dyDescent="0.2">
      <c r="A250" s="832" t="s">
        <v>178</v>
      </c>
      <c r="B250" s="833" t="s">
        <v>490</v>
      </c>
      <c r="C250" s="834">
        <v>36</v>
      </c>
      <c r="D250" s="835">
        <v>503</v>
      </c>
    </row>
    <row r="251" spans="1:4" x14ac:dyDescent="0.2">
      <c r="A251" s="832" t="s">
        <v>178</v>
      </c>
      <c r="B251" s="833" t="s">
        <v>491</v>
      </c>
      <c r="C251" s="834">
        <v>794</v>
      </c>
      <c r="D251" s="835">
        <v>12000</v>
      </c>
    </row>
    <row r="252" spans="1:4" x14ac:dyDescent="0.2">
      <c r="A252" s="832" t="s">
        <v>178</v>
      </c>
      <c r="B252" s="833" t="s">
        <v>525</v>
      </c>
      <c r="C252" s="834">
        <v>6</v>
      </c>
      <c r="D252" s="835">
        <v>117</v>
      </c>
    </row>
    <row r="253" spans="1:4" x14ac:dyDescent="0.2">
      <c r="A253" s="832" t="s">
        <v>178</v>
      </c>
      <c r="B253" s="833" t="s">
        <v>520</v>
      </c>
      <c r="C253" s="834">
        <v>1</v>
      </c>
      <c r="D253" s="835">
        <v>15</v>
      </c>
    </row>
    <row r="254" spans="1:4" x14ac:dyDescent="0.2">
      <c r="A254" s="832" t="s">
        <v>178</v>
      </c>
      <c r="B254" s="833" t="s">
        <v>492</v>
      </c>
      <c r="C254" s="834">
        <v>27871</v>
      </c>
      <c r="D254" s="835">
        <v>109156</v>
      </c>
    </row>
    <row r="255" spans="1:4" x14ac:dyDescent="0.2">
      <c r="A255" s="832" t="s">
        <v>178</v>
      </c>
      <c r="B255" s="833" t="s">
        <v>501</v>
      </c>
      <c r="C255" s="834">
        <v>472</v>
      </c>
      <c r="D255" s="835">
        <v>4626</v>
      </c>
    </row>
    <row r="256" spans="1:4" x14ac:dyDescent="0.2">
      <c r="A256" s="832" t="s">
        <v>178</v>
      </c>
      <c r="B256" s="833" t="s">
        <v>516</v>
      </c>
      <c r="C256" s="834">
        <v>3</v>
      </c>
      <c r="D256" s="835">
        <v>49</v>
      </c>
    </row>
    <row r="257" spans="1:4" x14ac:dyDescent="0.2">
      <c r="A257" s="832" t="s">
        <v>178</v>
      </c>
      <c r="B257" s="833" t="s">
        <v>493</v>
      </c>
      <c r="C257" s="834">
        <v>510</v>
      </c>
      <c r="D257" s="835">
        <v>12125</v>
      </c>
    </row>
    <row r="258" spans="1:4" x14ac:dyDescent="0.2">
      <c r="A258" s="832" t="s">
        <v>178</v>
      </c>
      <c r="B258" s="833" t="s">
        <v>255</v>
      </c>
      <c r="C258" s="834">
        <v>358</v>
      </c>
      <c r="D258" s="835">
        <v>52135</v>
      </c>
    </row>
    <row r="259" spans="1:4" x14ac:dyDescent="0.2">
      <c r="A259" s="828" t="s">
        <v>179</v>
      </c>
      <c r="B259" s="829" t="s">
        <v>253</v>
      </c>
      <c r="C259" s="830">
        <v>7</v>
      </c>
      <c r="D259" s="831">
        <v>9540</v>
      </c>
    </row>
    <row r="260" spans="1:4" x14ac:dyDescent="0.2">
      <c r="A260" s="832" t="s">
        <v>179</v>
      </c>
      <c r="B260" s="833" t="s">
        <v>507</v>
      </c>
      <c r="C260" s="834">
        <v>1</v>
      </c>
      <c r="D260" s="835">
        <v>700</v>
      </c>
    </row>
    <row r="261" spans="1:4" x14ac:dyDescent="0.2">
      <c r="A261" s="832" t="s">
        <v>179</v>
      </c>
      <c r="B261" s="833" t="s">
        <v>295</v>
      </c>
      <c r="C261" s="834">
        <v>1</v>
      </c>
      <c r="D261" s="835">
        <v>614</v>
      </c>
    </row>
    <row r="262" spans="1:4" x14ac:dyDescent="0.2">
      <c r="A262" s="832" t="s">
        <v>179</v>
      </c>
      <c r="B262" s="833" t="s">
        <v>286</v>
      </c>
      <c r="C262" s="834">
        <v>2</v>
      </c>
      <c r="D262" s="835">
        <v>253</v>
      </c>
    </row>
    <row r="263" spans="1:4" x14ac:dyDescent="0.2">
      <c r="A263" s="832" t="s">
        <v>179</v>
      </c>
      <c r="B263" s="833" t="s">
        <v>250</v>
      </c>
      <c r="C263" s="834">
        <v>335</v>
      </c>
      <c r="D263" s="835">
        <v>59860</v>
      </c>
    </row>
    <row r="264" spans="1:4" x14ac:dyDescent="0.2">
      <c r="A264" s="832" t="s">
        <v>179</v>
      </c>
      <c r="B264" s="833" t="s">
        <v>500</v>
      </c>
      <c r="C264" s="834">
        <v>39</v>
      </c>
      <c r="D264" s="835">
        <v>516</v>
      </c>
    </row>
    <row r="265" spans="1:4" x14ac:dyDescent="0.2">
      <c r="A265" s="832" t="s">
        <v>179</v>
      </c>
      <c r="B265" s="833" t="s">
        <v>505</v>
      </c>
      <c r="C265" s="834">
        <v>6</v>
      </c>
      <c r="D265" s="835">
        <v>70</v>
      </c>
    </row>
    <row r="266" spans="1:4" x14ac:dyDescent="0.2">
      <c r="A266" s="832" t="s">
        <v>179</v>
      </c>
      <c r="B266" s="833" t="s">
        <v>506</v>
      </c>
      <c r="C266" s="834">
        <v>13</v>
      </c>
      <c r="D266" s="835">
        <v>158</v>
      </c>
    </row>
    <row r="267" spans="1:4" x14ac:dyDescent="0.2">
      <c r="A267" s="832" t="s">
        <v>179</v>
      </c>
      <c r="B267" s="833" t="s">
        <v>502</v>
      </c>
      <c r="C267" s="834">
        <v>1</v>
      </c>
      <c r="D267" s="835">
        <v>15</v>
      </c>
    </row>
    <row r="268" spans="1:4" x14ac:dyDescent="0.2">
      <c r="A268" s="832" t="s">
        <v>179</v>
      </c>
      <c r="B268" s="833" t="s">
        <v>497</v>
      </c>
      <c r="C268" s="834">
        <v>15</v>
      </c>
      <c r="D268" s="835">
        <v>1784</v>
      </c>
    </row>
    <row r="269" spans="1:4" x14ac:dyDescent="0.2">
      <c r="A269" s="832" t="s">
        <v>179</v>
      </c>
      <c r="B269" s="833" t="s">
        <v>495</v>
      </c>
      <c r="C269" s="834">
        <v>2520</v>
      </c>
      <c r="D269" s="835">
        <v>164924</v>
      </c>
    </row>
    <row r="270" spans="1:4" x14ac:dyDescent="0.2">
      <c r="A270" s="832" t="s">
        <v>179</v>
      </c>
      <c r="B270" s="833" t="s">
        <v>499</v>
      </c>
      <c r="C270" s="834">
        <v>480</v>
      </c>
      <c r="D270" s="835">
        <v>45776</v>
      </c>
    </row>
    <row r="271" spans="1:4" x14ac:dyDescent="0.2">
      <c r="A271" s="832" t="s">
        <v>179</v>
      </c>
      <c r="B271" s="833" t="s">
        <v>494</v>
      </c>
      <c r="C271" s="834">
        <v>453</v>
      </c>
      <c r="D271" s="835">
        <v>68506</v>
      </c>
    </row>
    <row r="272" spans="1:4" x14ac:dyDescent="0.2">
      <c r="A272" s="832" t="s">
        <v>179</v>
      </c>
      <c r="B272" s="833" t="s">
        <v>508</v>
      </c>
      <c r="C272" s="834">
        <v>45</v>
      </c>
      <c r="D272" s="835">
        <v>8236</v>
      </c>
    </row>
    <row r="273" spans="1:4" x14ac:dyDescent="0.2">
      <c r="A273" s="832" t="s">
        <v>179</v>
      </c>
      <c r="B273" s="833" t="s">
        <v>254</v>
      </c>
      <c r="C273" s="834">
        <v>41</v>
      </c>
      <c r="D273" s="835">
        <v>134961</v>
      </c>
    </row>
    <row r="274" spans="1:4" x14ac:dyDescent="0.2">
      <c r="A274" s="832" t="s">
        <v>179</v>
      </c>
      <c r="B274" s="833" t="s">
        <v>252</v>
      </c>
      <c r="C274" s="834">
        <v>89</v>
      </c>
      <c r="D274" s="835">
        <v>202438</v>
      </c>
    </row>
    <row r="275" spans="1:4" x14ac:dyDescent="0.2">
      <c r="A275" s="832" t="s">
        <v>179</v>
      </c>
      <c r="B275" s="833" t="s">
        <v>256</v>
      </c>
      <c r="C275" s="834">
        <v>1</v>
      </c>
      <c r="D275" s="835">
        <v>21338</v>
      </c>
    </row>
    <row r="276" spans="1:4" x14ac:dyDescent="0.2">
      <c r="A276" s="832" t="s">
        <v>179</v>
      </c>
      <c r="B276" s="833" t="s">
        <v>521</v>
      </c>
      <c r="C276" s="834">
        <v>1</v>
      </c>
      <c r="D276" s="835">
        <v>533</v>
      </c>
    </row>
    <row r="277" spans="1:4" x14ac:dyDescent="0.2">
      <c r="A277" s="832" t="s">
        <v>179</v>
      </c>
      <c r="B277" s="833" t="s">
        <v>257</v>
      </c>
      <c r="C277" s="834">
        <v>53</v>
      </c>
      <c r="D277" s="835">
        <v>23729</v>
      </c>
    </row>
    <row r="278" spans="1:4" x14ac:dyDescent="0.2">
      <c r="A278" s="832" t="s">
        <v>179</v>
      </c>
      <c r="B278" s="833" t="s">
        <v>251</v>
      </c>
      <c r="C278" s="834">
        <v>3</v>
      </c>
      <c r="D278" s="835">
        <v>45468</v>
      </c>
    </row>
    <row r="279" spans="1:4" x14ac:dyDescent="0.2">
      <c r="A279" s="832" t="s">
        <v>179</v>
      </c>
      <c r="B279" s="833" t="s">
        <v>511</v>
      </c>
      <c r="C279" s="834">
        <v>20</v>
      </c>
      <c r="D279" s="835">
        <v>2066</v>
      </c>
    </row>
    <row r="280" spans="1:4" x14ac:dyDescent="0.2">
      <c r="A280" s="832" t="s">
        <v>179</v>
      </c>
      <c r="B280" s="833" t="s">
        <v>498</v>
      </c>
      <c r="C280" s="834">
        <v>39</v>
      </c>
      <c r="D280" s="835">
        <v>1774</v>
      </c>
    </row>
    <row r="281" spans="1:4" x14ac:dyDescent="0.2">
      <c r="A281" s="832" t="s">
        <v>179</v>
      </c>
      <c r="B281" s="833" t="s">
        <v>503</v>
      </c>
      <c r="C281" s="834">
        <v>6</v>
      </c>
      <c r="D281" s="835">
        <v>357</v>
      </c>
    </row>
    <row r="282" spans="1:4" x14ac:dyDescent="0.2">
      <c r="A282" s="832" t="s">
        <v>179</v>
      </c>
      <c r="B282" s="833" t="s">
        <v>514</v>
      </c>
      <c r="C282" s="834">
        <v>1</v>
      </c>
      <c r="D282" s="835">
        <v>3</v>
      </c>
    </row>
    <row r="283" spans="1:4" x14ac:dyDescent="0.2">
      <c r="A283" s="832" t="s">
        <v>179</v>
      </c>
      <c r="B283" s="833" t="s">
        <v>509</v>
      </c>
      <c r="C283" s="834">
        <v>1</v>
      </c>
      <c r="D283" s="835">
        <v>1</v>
      </c>
    </row>
    <row r="284" spans="1:4" x14ac:dyDescent="0.2">
      <c r="A284" s="832" t="s">
        <v>179</v>
      </c>
      <c r="B284" s="833" t="s">
        <v>510</v>
      </c>
      <c r="C284" s="834">
        <v>7</v>
      </c>
      <c r="D284" s="835">
        <v>127</v>
      </c>
    </row>
    <row r="285" spans="1:4" x14ac:dyDescent="0.2">
      <c r="A285" s="832" t="s">
        <v>179</v>
      </c>
      <c r="B285" s="833" t="s">
        <v>258</v>
      </c>
      <c r="C285" s="834">
        <v>2</v>
      </c>
      <c r="D285" s="835">
        <v>73212</v>
      </c>
    </row>
    <row r="286" spans="1:4" x14ac:dyDescent="0.2">
      <c r="A286" s="832" t="s">
        <v>179</v>
      </c>
      <c r="B286" s="833" t="s">
        <v>517</v>
      </c>
      <c r="C286" s="834">
        <v>1</v>
      </c>
      <c r="D286" s="835">
        <v>19</v>
      </c>
    </row>
    <row r="287" spans="1:4" x14ac:dyDescent="0.2">
      <c r="A287" s="832" t="s">
        <v>179</v>
      </c>
      <c r="B287" s="833" t="s">
        <v>489</v>
      </c>
      <c r="C287" s="834">
        <v>282</v>
      </c>
      <c r="D287" s="835">
        <v>6990</v>
      </c>
    </row>
    <row r="288" spans="1:4" x14ac:dyDescent="0.2">
      <c r="A288" s="832" t="s">
        <v>179</v>
      </c>
      <c r="B288" s="833" t="s">
        <v>496</v>
      </c>
      <c r="C288" s="834">
        <v>12187</v>
      </c>
      <c r="D288" s="835">
        <v>47925</v>
      </c>
    </row>
    <row r="289" spans="1:4" x14ac:dyDescent="0.2">
      <c r="A289" s="832" t="s">
        <v>179</v>
      </c>
      <c r="B289" s="833" t="s">
        <v>504</v>
      </c>
      <c r="C289" s="834">
        <v>35</v>
      </c>
      <c r="D289" s="835">
        <v>195</v>
      </c>
    </row>
    <row r="290" spans="1:4" x14ac:dyDescent="0.2">
      <c r="A290" s="832" t="s">
        <v>179</v>
      </c>
      <c r="B290" s="833" t="s">
        <v>519</v>
      </c>
      <c r="C290" s="834">
        <v>12</v>
      </c>
      <c r="D290" s="835">
        <v>144</v>
      </c>
    </row>
    <row r="291" spans="1:4" x14ac:dyDescent="0.2">
      <c r="A291" s="832" t="s">
        <v>179</v>
      </c>
      <c r="B291" s="833" t="s">
        <v>490</v>
      </c>
      <c r="C291" s="834">
        <v>121</v>
      </c>
      <c r="D291" s="835">
        <v>2105</v>
      </c>
    </row>
    <row r="292" spans="1:4" x14ac:dyDescent="0.2">
      <c r="A292" s="832" t="s">
        <v>179</v>
      </c>
      <c r="B292" s="833" t="s">
        <v>491</v>
      </c>
      <c r="C292" s="834">
        <v>2030</v>
      </c>
      <c r="D292" s="835">
        <v>33340</v>
      </c>
    </row>
    <row r="293" spans="1:4" x14ac:dyDescent="0.2">
      <c r="A293" s="832" t="s">
        <v>179</v>
      </c>
      <c r="B293" s="833" t="s">
        <v>520</v>
      </c>
      <c r="C293" s="834">
        <v>3</v>
      </c>
      <c r="D293" s="835">
        <v>45</v>
      </c>
    </row>
    <row r="294" spans="1:4" x14ac:dyDescent="0.2">
      <c r="A294" s="832" t="s">
        <v>179</v>
      </c>
      <c r="B294" s="833" t="s">
        <v>492</v>
      </c>
      <c r="C294" s="834">
        <v>34092</v>
      </c>
      <c r="D294" s="835">
        <v>134285</v>
      </c>
    </row>
    <row r="295" spans="1:4" x14ac:dyDescent="0.2">
      <c r="A295" s="832" t="s">
        <v>179</v>
      </c>
      <c r="B295" s="833" t="s">
        <v>501</v>
      </c>
      <c r="C295" s="834">
        <v>453</v>
      </c>
      <c r="D295" s="835">
        <v>8048</v>
      </c>
    </row>
    <row r="296" spans="1:4" x14ac:dyDescent="0.2">
      <c r="A296" s="832" t="s">
        <v>179</v>
      </c>
      <c r="B296" s="833" t="s">
        <v>493</v>
      </c>
      <c r="C296" s="834">
        <v>1549</v>
      </c>
      <c r="D296" s="835">
        <v>41307</v>
      </c>
    </row>
    <row r="297" spans="1:4" x14ac:dyDescent="0.2">
      <c r="A297" s="832" t="s">
        <v>179</v>
      </c>
      <c r="B297" s="833" t="s">
        <v>255</v>
      </c>
      <c r="C297" s="834">
        <v>400</v>
      </c>
      <c r="D297" s="835">
        <v>88568</v>
      </c>
    </row>
    <row r="298" spans="1:4" x14ac:dyDescent="0.2">
      <c r="A298" s="828" t="s">
        <v>180</v>
      </c>
      <c r="B298" s="829" t="s">
        <v>253</v>
      </c>
      <c r="C298" s="830">
        <v>10</v>
      </c>
      <c r="D298" s="831">
        <v>5895</v>
      </c>
    </row>
    <row r="299" spans="1:4" x14ac:dyDescent="0.2">
      <c r="A299" s="832" t="s">
        <v>180</v>
      </c>
      <c r="B299" s="833" t="s">
        <v>507</v>
      </c>
      <c r="C299" s="834">
        <v>20</v>
      </c>
      <c r="D299" s="835">
        <v>3153</v>
      </c>
    </row>
    <row r="300" spans="1:4" x14ac:dyDescent="0.2">
      <c r="A300" s="832" t="s">
        <v>180</v>
      </c>
      <c r="B300" s="833" t="s">
        <v>250</v>
      </c>
      <c r="C300" s="834">
        <v>140</v>
      </c>
      <c r="D300" s="835">
        <v>94134</v>
      </c>
    </row>
    <row r="301" spans="1:4" x14ac:dyDescent="0.2">
      <c r="A301" s="832" t="s">
        <v>180</v>
      </c>
      <c r="B301" s="833" t="s">
        <v>500</v>
      </c>
      <c r="C301" s="834">
        <v>44</v>
      </c>
      <c r="D301" s="835">
        <v>537</v>
      </c>
    </row>
    <row r="302" spans="1:4" x14ac:dyDescent="0.2">
      <c r="A302" s="832" t="s">
        <v>180</v>
      </c>
      <c r="B302" s="833" t="s">
        <v>505</v>
      </c>
      <c r="C302" s="834">
        <v>6</v>
      </c>
      <c r="D302" s="835">
        <v>83</v>
      </c>
    </row>
    <row r="303" spans="1:4" x14ac:dyDescent="0.2">
      <c r="A303" s="832" t="s">
        <v>180</v>
      </c>
      <c r="B303" s="833" t="s">
        <v>506</v>
      </c>
      <c r="C303" s="834">
        <v>24</v>
      </c>
      <c r="D303" s="835">
        <v>333</v>
      </c>
    </row>
    <row r="304" spans="1:4" x14ac:dyDescent="0.2">
      <c r="A304" s="832" t="s">
        <v>180</v>
      </c>
      <c r="B304" s="833" t="s">
        <v>502</v>
      </c>
      <c r="C304" s="834">
        <v>2</v>
      </c>
      <c r="D304" s="835">
        <v>33</v>
      </c>
    </row>
    <row r="305" spans="1:4" x14ac:dyDescent="0.2">
      <c r="A305" s="832" t="s">
        <v>180</v>
      </c>
      <c r="B305" s="833" t="s">
        <v>497</v>
      </c>
      <c r="C305" s="834">
        <v>9</v>
      </c>
      <c r="D305" s="835">
        <v>786</v>
      </c>
    </row>
    <row r="306" spans="1:4" x14ac:dyDescent="0.2">
      <c r="A306" s="832" t="s">
        <v>180</v>
      </c>
      <c r="B306" s="833" t="s">
        <v>495</v>
      </c>
      <c r="C306" s="834">
        <v>1034</v>
      </c>
      <c r="D306" s="835">
        <v>92111</v>
      </c>
    </row>
    <row r="307" spans="1:4" x14ac:dyDescent="0.2">
      <c r="A307" s="832" t="s">
        <v>180</v>
      </c>
      <c r="B307" s="833" t="s">
        <v>499</v>
      </c>
      <c r="C307" s="834">
        <v>127</v>
      </c>
      <c r="D307" s="835">
        <v>16655</v>
      </c>
    </row>
    <row r="308" spans="1:4" x14ac:dyDescent="0.2">
      <c r="A308" s="832" t="s">
        <v>180</v>
      </c>
      <c r="B308" s="833" t="s">
        <v>494</v>
      </c>
      <c r="C308" s="834">
        <v>195</v>
      </c>
      <c r="D308" s="835">
        <v>32086</v>
      </c>
    </row>
    <row r="309" spans="1:4" x14ac:dyDescent="0.2">
      <c r="A309" s="832" t="s">
        <v>180</v>
      </c>
      <c r="B309" s="833" t="s">
        <v>508</v>
      </c>
      <c r="C309" s="834">
        <v>26</v>
      </c>
      <c r="D309" s="835">
        <v>6846</v>
      </c>
    </row>
    <row r="310" spans="1:4" x14ac:dyDescent="0.2">
      <c r="A310" s="832" t="s">
        <v>180</v>
      </c>
      <c r="B310" s="833" t="s">
        <v>254</v>
      </c>
      <c r="C310" s="834">
        <v>28</v>
      </c>
      <c r="D310" s="835">
        <v>69316</v>
      </c>
    </row>
    <row r="311" spans="1:4" x14ac:dyDescent="0.2">
      <c r="A311" s="832" t="s">
        <v>180</v>
      </c>
      <c r="B311" s="833" t="s">
        <v>252</v>
      </c>
      <c r="C311" s="834">
        <v>29</v>
      </c>
      <c r="D311" s="835">
        <v>25624</v>
      </c>
    </row>
    <row r="312" spans="1:4" x14ac:dyDescent="0.2">
      <c r="A312" s="832" t="s">
        <v>180</v>
      </c>
      <c r="B312" s="833" t="s">
        <v>257</v>
      </c>
      <c r="C312" s="834">
        <v>32</v>
      </c>
      <c r="D312" s="835">
        <v>5455</v>
      </c>
    </row>
    <row r="313" spans="1:4" x14ac:dyDescent="0.2">
      <c r="A313" s="832" t="s">
        <v>180</v>
      </c>
      <c r="B313" s="833" t="s">
        <v>251</v>
      </c>
      <c r="C313" s="834">
        <v>2</v>
      </c>
      <c r="D313" s="835">
        <v>3621</v>
      </c>
    </row>
    <row r="314" spans="1:4" x14ac:dyDescent="0.2">
      <c r="A314" s="832" t="s">
        <v>180</v>
      </c>
      <c r="B314" s="833" t="s">
        <v>511</v>
      </c>
      <c r="C314" s="834">
        <v>91</v>
      </c>
      <c r="D314" s="835">
        <v>4611</v>
      </c>
    </row>
    <row r="315" spans="1:4" x14ac:dyDescent="0.2">
      <c r="A315" s="832" t="s">
        <v>180</v>
      </c>
      <c r="B315" s="833" t="s">
        <v>498</v>
      </c>
      <c r="C315" s="834">
        <v>60</v>
      </c>
      <c r="D315" s="835">
        <v>2815</v>
      </c>
    </row>
    <row r="316" spans="1:4" x14ac:dyDescent="0.2">
      <c r="A316" s="832" t="s">
        <v>180</v>
      </c>
      <c r="B316" s="833" t="s">
        <v>512</v>
      </c>
      <c r="C316" s="834">
        <v>10</v>
      </c>
      <c r="D316" s="835">
        <v>221</v>
      </c>
    </row>
    <row r="317" spans="1:4" x14ac:dyDescent="0.2">
      <c r="A317" s="832" t="s">
        <v>180</v>
      </c>
      <c r="B317" s="833" t="s">
        <v>503</v>
      </c>
      <c r="C317" s="834">
        <v>63</v>
      </c>
      <c r="D317" s="835">
        <v>3299</v>
      </c>
    </row>
    <row r="318" spans="1:4" x14ac:dyDescent="0.2">
      <c r="A318" s="832" t="s">
        <v>180</v>
      </c>
      <c r="B318" s="833" t="s">
        <v>514</v>
      </c>
      <c r="C318" s="834">
        <v>306</v>
      </c>
      <c r="D318" s="835">
        <v>4963</v>
      </c>
    </row>
    <row r="319" spans="1:4" x14ac:dyDescent="0.2">
      <c r="A319" s="832" t="s">
        <v>180</v>
      </c>
      <c r="B319" s="833" t="s">
        <v>523</v>
      </c>
      <c r="C319" s="834">
        <v>43</v>
      </c>
      <c r="D319" s="835">
        <v>123</v>
      </c>
    </row>
    <row r="320" spans="1:4" x14ac:dyDescent="0.2">
      <c r="A320" s="832" t="s">
        <v>180</v>
      </c>
      <c r="B320" s="833" t="s">
        <v>510</v>
      </c>
      <c r="C320" s="834">
        <v>23</v>
      </c>
      <c r="D320" s="835">
        <v>300</v>
      </c>
    </row>
    <row r="321" spans="1:4" x14ac:dyDescent="0.2">
      <c r="A321" s="832" t="s">
        <v>180</v>
      </c>
      <c r="B321" s="833" t="s">
        <v>518</v>
      </c>
      <c r="C321" s="834">
        <v>2</v>
      </c>
      <c r="D321" s="835">
        <v>96</v>
      </c>
    </row>
    <row r="322" spans="1:4" x14ac:dyDescent="0.2">
      <c r="A322" s="832" t="s">
        <v>180</v>
      </c>
      <c r="B322" s="833" t="s">
        <v>515</v>
      </c>
      <c r="C322" s="834">
        <v>11</v>
      </c>
      <c r="D322" s="835">
        <v>274</v>
      </c>
    </row>
    <row r="323" spans="1:4" x14ac:dyDescent="0.2">
      <c r="A323" s="832" t="s">
        <v>180</v>
      </c>
      <c r="B323" s="833" t="s">
        <v>528</v>
      </c>
      <c r="C323" s="834">
        <v>2</v>
      </c>
      <c r="D323" s="835">
        <v>11</v>
      </c>
    </row>
    <row r="324" spans="1:4" x14ac:dyDescent="0.2">
      <c r="A324" s="832" t="s">
        <v>180</v>
      </c>
      <c r="B324" s="833" t="s">
        <v>489</v>
      </c>
      <c r="C324" s="834">
        <v>781</v>
      </c>
      <c r="D324" s="835">
        <v>19888</v>
      </c>
    </row>
    <row r="325" spans="1:4" x14ac:dyDescent="0.2">
      <c r="A325" s="832" t="s">
        <v>180</v>
      </c>
      <c r="B325" s="833" t="s">
        <v>496</v>
      </c>
      <c r="C325" s="834">
        <v>22928</v>
      </c>
      <c r="D325" s="835">
        <v>89145</v>
      </c>
    </row>
    <row r="326" spans="1:4" x14ac:dyDescent="0.2">
      <c r="A326" s="832" t="s">
        <v>180</v>
      </c>
      <c r="B326" s="833" t="s">
        <v>504</v>
      </c>
      <c r="C326" s="834">
        <v>21</v>
      </c>
      <c r="D326" s="835">
        <v>95</v>
      </c>
    </row>
    <row r="327" spans="1:4" x14ac:dyDescent="0.2">
      <c r="A327" s="832" t="s">
        <v>180</v>
      </c>
      <c r="B327" s="833" t="s">
        <v>519</v>
      </c>
      <c r="C327" s="834">
        <v>1</v>
      </c>
      <c r="D327" s="835">
        <v>15</v>
      </c>
    </row>
    <row r="328" spans="1:4" x14ac:dyDescent="0.2">
      <c r="A328" s="832" t="s">
        <v>180</v>
      </c>
      <c r="B328" s="833" t="s">
        <v>490</v>
      </c>
      <c r="C328" s="834">
        <v>49</v>
      </c>
      <c r="D328" s="835">
        <v>765</v>
      </c>
    </row>
    <row r="329" spans="1:4" x14ac:dyDescent="0.2">
      <c r="A329" s="832" t="s">
        <v>180</v>
      </c>
      <c r="B329" s="833" t="s">
        <v>491</v>
      </c>
      <c r="C329" s="834">
        <v>830</v>
      </c>
      <c r="D329" s="835">
        <v>13519</v>
      </c>
    </row>
    <row r="330" spans="1:4" x14ac:dyDescent="0.2">
      <c r="A330" s="832" t="s">
        <v>180</v>
      </c>
      <c r="B330" s="833" t="s">
        <v>520</v>
      </c>
      <c r="C330" s="834">
        <v>3</v>
      </c>
      <c r="D330" s="835">
        <v>57</v>
      </c>
    </row>
    <row r="331" spans="1:4" x14ac:dyDescent="0.2">
      <c r="A331" s="832" t="s">
        <v>180</v>
      </c>
      <c r="B331" s="833" t="s">
        <v>492</v>
      </c>
      <c r="C331" s="834">
        <v>21679</v>
      </c>
      <c r="D331" s="835">
        <v>85778</v>
      </c>
    </row>
    <row r="332" spans="1:4" x14ac:dyDescent="0.2">
      <c r="A332" s="832" t="s">
        <v>180</v>
      </c>
      <c r="B332" s="833" t="s">
        <v>501</v>
      </c>
      <c r="C332" s="834">
        <v>105</v>
      </c>
      <c r="D332" s="835">
        <v>1305</v>
      </c>
    </row>
    <row r="333" spans="1:4" x14ac:dyDescent="0.2">
      <c r="A333" s="832" t="s">
        <v>180</v>
      </c>
      <c r="B333" s="833" t="s">
        <v>516</v>
      </c>
      <c r="C333" s="834">
        <v>1</v>
      </c>
      <c r="D333" s="835">
        <v>20</v>
      </c>
    </row>
    <row r="334" spans="1:4" x14ac:dyDescent="0.2">
      <c r="A334" s="832" t="s">
        <v>180</v>
      </c>
      <c r="B334" s="833" t="s">
        <v>493</v>
      </c>
      <c r="C334" s="834">
        <v>915</v>
      </c>
      <c r="D334" s="835">
        <v>20774</v>
      </c>
    </row>
    <row r="335" spans="1:4" x14ac:dyDescent="0.2">
      <c r="A335" s="832" t="s">
        <v>180</v>
      </c>
      <c r="B335" s="833" t="s">
        <v>255</v>
      </c>
      <c r="C335" s="834">
        <v>434</v>
      </c>
      <c r="D335" s="835">
        <v>456710</v>
      </c>
    </row>
    <row r="336" spans="1:4" x14ac:dyDescent="0.2">
      <c r="A336" s="828" t="s">
        <v>181</v>
      </c>
      <c r="B336" s="829" t="s">
        <v>253</v>
      </c>
      <c r="C336" s="830">
        <v>14</v>
      </c>
      <c r="D336" s="831">
        <v>3133</v>
      </c>
    </row>
    <row r="337" spans="1:4" x14ac:dyDescent="0.2">
      <c r="A337" s="832" t="s">
        <v>181</v>
      </c>
      <c r="B337" s="833" t="s">
        <v>507</v>
      </c>
      <c r="C337" s="834">
        <v>8</v>
      </c>
      <c r="D337" s="835">
        <v>18773</v>
      </c>
    </row>
    <row r="338" spans="1:4" x14ac:dyDescent="0.2">
      <c r="A338" s="832" t="s">
        <v>181</v>
      </c>
      <c r="B338" s="833" t="s">
        <v>295</v>
      </c>
      <c r="C338" s="834">
        <v>1</v>
      </c>
      <c r="D338" s="835">
        <v>288</v>
      </c>
    </row>
    <row r="339" spans="1:4" x14ac:dyDescent="0.2">
      <c r="A339" s="832" t="s">
        <v>181</v>
      </c>
      <c r="B339" s="833" t="s">
        <v>286</v>
      </c>
      <c r="C339" s="834">
        <v>2</v>
      </c>
      <c r="D339" s="835">
        <v>355</v>
      </c>
    </row>
    <row r="340" spans="1:4" x14ac:dyDescent="0.2">
      <c r="A340" s="832" t="s">
        <v>181</v>
      </c>
      <c r="B340" s="833" t="s">
        <v>291</v>
      </c>
      <c r="C340" s="834">
        <v>1</v>
      </c>
      <c r="D340" s="835">
        <v>1550</v>
      </c>
    </row>
    <row r="341" spans="1:4" x14ac:dyDescent="0.2">
      <c r="A341" s="832" t="s">
        <v>181</v>
      </c>
      <c r="B341" s="833" t="s">
        <v>288</v>
      </c>
      <c r="C341" s="834">
        <v>1</v>
      </c>
      <c r="D341" s="835">
        <v>7627</v>
      </c>
    </row>
    <row r="342" spans="1:4" x14ac:dyDescent="0.2">
      <c r="A342" s="832" t="s">
        <v>181</v>
      </c>
      <c r="B342" s="833" t="s">
        <v>250</v>
      </c>
      <c r="C342" s="834">
        <v>226</v>
      </c>
      <c r="D342" s="835">
        <v>50109</v>
      </c>
    </row>
    <row r="343" spans="1:4" x14ac:dyDescent="0.2">
      <c r="A343" s="832" t="s">
        <v>181</v>
      </c>
      <c r="B343" s="833" t="s">
        <v>500</v>
      </c>
      <c r="C343" s="834">
        <v>97</v>
      </c>
      <c r="D343" s="835">
        <v>1109</v>
      </c>
    </row>
    <row r="344" spans="1:4" x14ac:dyDescent="0.2">
      <c r="A344" s="832" t="s">
        <v>181</v>
      </c>
      <c r="B344" s="833" t="s">
        <v>505</v>
      </c>
      <c r="C344" s="834">
        <v>11</v>
      </c>
      <c r="D344" s="835">
        <v>88</v>
      </c>
    </row>
    <row r="345" spans="1:4" x14ac:dyDescent="0.2">
      <c r="A345" s="832" t="s">
        <v>181</v>
      </c>
      <c r="B345" s="833" t="s">
        <v>506</v>
      </c>
      <c r="C345" s="834">
        <v>54</v>
      </c>
      <c r="D345" s="835">
        <v>654</v>
      </c>
    </row>
    <row r="346" spans="1:4" x14ac:dyDescent="0.2">
      <c r="A346" s="832" t="s">
        <v>181</v>
      </c>
      <c r="B346" s="833" t="s">
        <v>502</v>
      </c>
      <c r="C346" s="834">
        <v>1</v>
      </c>
      <c r="D346" s="835">
        <v>20</v>
      </c>
    </row>
    <row r="347" spans="1:4" x14ac:dyDescent="0.2">
      <c r="A347" s="832" t="s">
        <v>181</v>
      </c>
      <c r="B347" s="833" t="s">
        <v>497</v>
      </c>
      <c r="C347" s="834">
        <v>15</v>
      </c>
      <c r="D347" s="835">
        <v>1121</v>
      </c>
    </row>
    <row r="348" spans="1:4" x14ac:dyDescent="0.2">
      <c r="A348" s="832" t="s">
        <v>181</v>
      </c>
      <c r="B348" s="833" t="s">
        <v>495</v>
      </c>
      <c r="C348" s="834">
        <v>1776</v>
      </c>
      <c r="D348" s="835">
        <v>113003</v>
      </c>
    </row>
    <row r="349" spans="1:4" x14ac:dyDescent="0.2">
      <c r="A349" s="832" t="s">
        <v>181</v>
      </c>
      <c r="B349" s="833" t="s">
        <v>499</v>
      </c>
      <c r="C349" s="834">
        <v>289</v>
      </c>
      <c r="D349" s="835">
        <v>26327</v>
      </c>
    </row>
    <row r="350" spans="1:4" x14ac:dyDescent="0.2">
      <c r="A350" s="832" t="s">
        <v>181</v>
      </c>
      <c r="B350" s="833" t="s">
        <v>494</v>
      </c>
      <c r="C350" s="834">
        <v>309</v>
      </c>
      <c r="D350" s="835">
        <v>32522</v>
      </c>
    </row>
    <row r="351" spans="1:4" x14ac:dyDescent="0.2">
      <c r="A351" s="832" t="s">
        <v>181</v>
      </c>
      <c r="B351" s="833" t="s">
        <v>508</v>
      </c>
      <c r="C351" s="834">
        <v>59</v>
      </c>
      <c r="D351" s="835">
        <v>5611</v>
      </c>
    </row>
    <row r="352" spans="1:4" x14ac:dyDescent="0.2">
      <c r="A352" s="832" t="s">
        <v>181</v>
      </c>
      <c r="B352" s="833" t="s">
        <v>254</v>
      </c>
      <c r="C352" s="834">
        <v>41</v>
      </c>
      <c r="D352" s="835">
        <v>23602</v>
      </c>
    </row>
    <row r="353" spans="1:4" x14ac:dyDescent="0.2">
      <c r="A353" s="832" t="s">
        <v>181</v>
      </c>
      <c r="B353" s="833" t="s">
        <v>252</v>
      </c>
      <c r="C353" s="834">
        <v>64</v>
      </c>
      <c r="D353" s="835">
        <v>26674</v>
      </c>
    </row>
    <row r="354" spans="1:4" x14ac:dyDescent="0.2">
      <c r="A354" s="832" t="s">
        <v>181</v>
      </c>
      <c r="B354" s="833" t="s">
        <v>257</v>
      </c>
      <c r="C354" s="834">
        <v>12</v>
      </c>
      <c r="D354" s="835">
        <v>9096</v>
      </c>
    </row>
    <row r="355" spans="1:4" x14ac:dyDescent="0.2">
      <c r="A355" s="832" t="s">
        <v>181</v>
      </c>
      <c r="B355" s="833" t="s">
        <v>251</v>
      </c>
      <c r="C355" s="834">
        <v>6</v>
      </c>
      <c r="D355" s="835">
        <v>114936</v>
      </c>
    </row>
    <row r="356" spans="1:4" x14ac:dyDescent="0.2">
      <c r="A356" s="832" t="s">
        <v>181</v>
      </c>
      <c r="B356" s="833" t="s">
        <v>511</v>
      </c>
      <c r="C356" s="834">
        <v>2</v>
      </c>
      <c r="D356" s="835">
        <v>450</v>
      </c>
    </row>
    <row r="357" spans="1:4" x14ac:dyDescent="0.2">
      <c r="A357" s="832" t="s">
        <v>181</v>
      </c>
      <c r="B357" s="833" t="s">
        <v>498</v>
      </c>
      <c r="C357" s="834">
        <v>7</v>
      </c>
      <c r="D357" s="835">
        <v>226</v>
      </c>
    </row>
    <row r="358" spans="1:4" x14ac:dyDescent="0.2">
      <c r="A358" s="832" t="s">
        <v>181</v>
      </c>
      <c r="B358" s="833" t="s">
        <v>512</v>
      </c>
      <c r="C358" s="834">
        <v>1</v>
      </c>
      <c r="D358" s="835">
        <v>63</v>
      </c>
    </row>
    <row r="359" spans="1:4" x14ac:dyDescent="0.2">
      <c r="A359" s="832" t="s">
        <v>181</v>
      </c>
      <c r="B359" s="833" t="s">
        <v>503</v>
      </c>
      <c r="C359" s="834">
        <v>5</v>
      </c>
      <c r="D359" s="835">
        <v>3099</v>
      </c>
    </row>
    <row r="360" spans="1:4" x14ac:dyDescent="0.2">
      <c r="A360" s="832" t="s">
        <v>181</v>
      </c>
      <c r="B360" s="833" t="s">
        <v>514</v>
      </c>
      <c r="C360" s="834">
        <v>32</v>
      </c>
      <c r="D360" s="835">
        <v>540</v>
      </c>
    </row>
    <row r="361" spans="1:4" x14ac:dyDescent="0.2">
      <c r="A361" s="832" t="s">
        <v>181</v>
      </c>
      <c r="B361" s="833" t="s">
        <v>513</v>
      </c>
      <c r="C361" s="834">
        <v>4</v>
      </c>
      <c r="D361" s="835">
        <v>30</v>
      </c>
    </row>
    <row r="362" spans="1:4" x14ac:dyDescent="0.2">
      <c r="A362" s="832" t="s">
        <v>181</v>
      </c>
      <c r="B362" s="833" t="s">
        <v>510</v>
      </c>
      <c r="C362" s="834">
        <v>2</v>
      </c>
      <c r="D362" s="835">
        <v>15</v>
      </c>
    </row>
    <row r="363" spans="1:4" x14ac:dyDescent="0.2">
      <c r="A363" s="832" t="s">
        <v>181</v>
      </c>
      <c r="B363" s="833" t="s">
        <v>515</v>
      </c>
      <c r="C363" s="834">
        <v>4</v>
      </c>
      <c r="D363" s="835">
        <v>40</v>
      </c>
    </row>
    <row r="364" spans="1:4" x14ac:dyDescent="0.2">
      <c r="A364" s="832" t="s">
        <v>181</v>
      </c>
      <c r="B364" s="833" t="s">
        <v>489</v>
      </c>
      <c r="C364" s="834">
        <v>353</v>
      </c>
      <c r="D364" s="835">
        <v>9172</v>
      </c>
    </row>
    <row r="365" spans="1:4" x14ac:dyDescent="0.2">
      <c r="A365" s="832" t="s">
        <v>181</v>
      </c>
      <c r="B365" s="833" t="s">
        <v>496</v>
      </c>
      <c r="C365" s="834">
        <v>5068</v>
      </c>
      <c r="D365" s="835">
        <v>19945</v>
      </c>
    </row>
    <row r="366" spans="1:4" x14ac:dyDescent="0.2">
      <c r="A366" s="832" t="s">
        <v>181</v>
      </c>
      <c r="B366" s="833" t="s">
        <v>504</v>
      </c>
      <c r="C366" s="834">
        <v>35</v>
      </c>
      <c r="D366" s="835">
        <v>158</v>
      </c>
    </row>
    <row r="367" spans="1:4" x14ac:dyDescent="0.2">
      <c r="A367" s="832" t="s">
        <v>181</v>
      </c>
      <c r="B367" s="833" t="s">
        <v>519</v>
      </c>
      <c r="C367" s="834">
        <v>4</v>
      </c>
      <c r="D367" s="835">
        <v>43</v>
      </c>
    </row>
    <row r="368" spans="1:4" x14ac:dyDescent="0.2">
      <c r="A368" s="832" t="s">
        <v>181</v>
      </c>
      <c r="B368" s="833" t="s">
        <v>490</v>
      </c>
      <c r="C368" s="834">
        <v>85</v>
      </c>
      <c r="D368" s="835">
        <v>1227</v>
      </c>
    </row>
    <row r="369" spans="1:4" x14ac:dyDescent="0.2">
      <c r="A369" s="832" t="s">
        <v>181</v>
      </c>
      <c r="B369" s="833" t="s">
        <v>491</v>
      </c>
      <c r="C369" s="834">
        <v>410</v>
      </c>
      <c r="D369" s="835">
        <v>6644</v>
      </c>
    </row>
    <row r="370" spans="1:4" x14ac:dyDescent="0.2">
      <c r="A370" s="832" t="s">
        <v>181</v>
      </c>
      <c r="B370" s="833" t="s">
        <v>525</v>
      </c>
      <c r="C370" s="834">
        <v>1</v>
      </c>
      <c r="D370" s="835">
        <v>20</v>
      </c>
    </row>
    <row r="371" spans="1:4" x14ac:dyDescent="0.2">
      <c r="A371" s="832" t="s">
        <v>181</v>
      </c>
      <c r="B371" s="833" t="s">
        <v>492</v>
      </c>
      <c r="C371" s="834">
        <v>18865</v>
      </c>
      <c r="D371" s="835">
        <v>74763</v>
      </c>
    </row>
    <row r="372" spans="1:4" x14ac:dyDescent="0.2">
      <c r="A372" s="832" t="s">
        <v>181</v>
      </c>
      <c r="B372" s="833" t="s">
        <v>501</v>
      </c>
      <c r="C372" s="834">
        <v>386</v>
      </c>
      <c r="D372" s="835">
        <v>4849</v>
      </c>
    </row>
    <row r="373" spans="1:4" x14ac:dyDescent="0.2">
      <c r="A373" s="832" t="s">
        <v>181</v>
      </c>
      <c r="B373" s="833" t="s">
        <v>516</v>
      </c>
      <c r="C373" s="834">
        <v>6</v>
      </c>
      <c r="D373" s="835">
        <v>87</v>
      </c>
    </row>
    <row r="374" spans="1:4" x14ac:dyDescent="0.2">
      <c r="A374" s="832" t="s">
        <v>181</v>
      </c>
      <c r="B374" s="833" t="s">
        <v>493</v>
      </c>
      <c r="C374" s="834">
        <v>607</v>
      </c>
      <c r="D374" s="835">
        <v>12068</v>
      </c>
    </row>
    <row r="375" spans="1:4" x14ac:dyDescent="0.2">
      <c r="A375" s="832" t="s">
        <v>181</v>
      </c>
      <c r="B375" s="833" t="s">
        <v>255</v>
      </c>
      <c r="C375" s="834">
        <v>279</v>
      </c>
      <c r="D375" s="835">
        <v>25622</v>
      </c>
    </row>
    <row r="376" spans="1:4" x14ac:dyDescent="0.2">
      <c r="A376" s="828" t="s">
        <v>182</v>
      </c>
      <c r="B376" s="829" t="s">
        <v>253</v>
      </c>
      <c r="C376" s="830">
        <v>3</v>
      </c>
      <c r="D376" s="831">
        <v>556</v>
      </c>
    </row>
    <row r="377" spans="1:4" x14ac:dyDescent="0.2">
      <c r="A377" s="832" t="s">
        <v>182</v>
      </c>
      <c r="B377" s="833" t="s">
        <v>295</v>
      </c>
      <c r="C377" s="834">
        <v>2</v>
      </c>
      <c r="D377" s="835">
        <v>160</v>
      </c>
    </row>
    <row r="378" spans="1:4" x14ac:dyDescent="0.2">
      <c r="A378" s="832" t="s">
        <v>182</v>
      </c>
      <c r="B378" s="833" t="s">
        <v>250</v>
      </c>
      <c r="C378" s="834">
        <v>108</v>
      </c>
      <c r="D378" s="835">
        <v>12290</v>
      </c>
    </row>
    <row r="379" spans="1:4" x14ac:dyDescent="0.2">
      <c r="A379" s="832" t="s">
        <v>182</v>
      </c>
      <c r="B379" s="833" t="s">
        <v>500</v>
      </c>
      <c r="C379" s="834">
        <v>51</v>
      </c>
      <c r="D379" s="835">
        <v>699</v>
      </c>
    </row>
    <row r="380" spans="1:4" x14ac:dyDescent="0.2">
      <c r="A380" s="832" t="s">
        <v>182</v>
      </c>
      <c r="B380" s="833" t="s">
        <v>505</v>
      </c>
      <c r="C380" s="834">
        <v>8</v>
      </c>
      <c r="D380" s="835">
        <v>122</v>
      </c>
    </row>
    <row r="381" spans="1:4" x14ac:dyDescent="0.2">
      <c r="A381" s="832" t="s">
        <v>182</v>
      </c>
      <c r="B381" s="833" t="s">
        <v>506</v>
      </c>
      <c r="C381" s="834">
        <v>26</v>
      </c>
      <c r="D381" s="835">
        <v>383</v>
      </c>
    </row>
    <row r="382" spans="1:4" x14ac:dyDescent="0.2">
      <c r="A382" s="832" t="s">
        <v>182</v>
      </c>
      <c r="B382" s="833" t="s">
        <v>497</v>
      </c>
      <c r="C382" s="834">
        <v>4</v>
      </c>
      <c r="D382" s="835">
        <v>1083</v>
      </c>
    </row>
    <row r="383" spans="1:4" x14ac:dyDescent="0.2">
      <c r="A383" s="832" t="s">
        <v>182</v>
      </c>
      <c r="B383" s="833" t="s">
        <v>495</v>
      </c>
      <c r="C383" s="834">
        <v>894</v>
      </c>
      <c r="D383" s="835">
        <v>55040</v>
      </c>
    </row>
    <row r="384" spans="1:4" x14ac:dyDescent="0.2">
      <c r="A384" s="832" t="s">
        <v>182</v>
      </c>
      <c r="B384" s="833" t="s">
        <v>499</v>
      </c>
      <c r="C384" s="834">
        <v>120</v>
      </c>
      <c r="D384" s="835">
        <v>11769</v>
      </c>
    </row>
    <row r="385" spans="1:4" x14ac:dyDescent="0.2">
      <c r="A385" s="832" t="s">
        <v>182</v>
      </c>
      <c r="B385" s="833" t="s">
        <v>494</v>
      </c>
      <c r="C385" s="834">
        <v>241</v>
      </c>
      <c r="D385" s="835">
        <v>27305</v>
      </c>
    </row>
    <row r="386" spans="1:4" x14ac:dyDescent="0.2">
      <c r="A386" s="832" t="s">
        <v>182</v>
      </c>
      <c r="B386" s="833" t="s">
        <v>508</v>
      </c>
      <c r="C386" s="834">
        <v>10</v>
      </c>
      <c r="D386" s="835">
        <v>1058</v>
      </c>
    </row>
    <row r="387" spans="1:4" x14ac:dyDescent="0.2">
      <c r="A387" s="832" t="s">
        <v>182</v>
      </c>
      <c r="B387" s="833" t="s">
        <v>254</v>
      </c>
      <c r="C387" s="834">
        <v>21</v>
      </c>
      <c r="D387" s="835">
        <v>18872</v>
      </c>
    </row>
    <row r="388" spans="1:4" x14ac:dyDescent="0.2">
      <c r="A388" s="832" t="s">
        <v>182</v>
      </c>
      <c r="B388" s="833" t="s">
        <v>252</v>
      </c>
      <c r="C388" s="834">
        <v>41</v>
      </c>
      <c r="D388" s="835">
        <v>50897</v>
      </c>
    </row>
    <row r="389" spans="1:4" x14ac:dyDescent="0.2">
      <c r="A389" s="832" t="s">
        <v>182</v>
      </c>
      <c r="B389" s="833" t="s">
        <v>521</v>
      </c>
      <c r="C389" s="834">
        <v>1</v>
      </c>
      <c r="D389" s="835">
        <v>9888</v>
      </c>
    </row>
    <row r="390" spans="1:4" x14ac:dyDescent="0.2">
      <c r="A390" s="832" t="s">
        <v>182</v>
      </c>
      <c r="B390" s="833" t="s">
        <v>257</v>
      </c>
      <c r="C390" s="834">
        <v>6</v>
      </c>
      <c r="D390" s="835">
        <v>749</v>
      </c>
    </row>
    <row r="391" spans="1:4" x14ac:dyDescent="0.2">
      <c r="A391" s="832" t="s">
        <v>182</v>
      </c>
      <c r="B391" s="833" t="s">
        <v>251</v>
      </c>
      <c r="C391" s="834">
        <v>1</v>
      </c>
      <c r="D391" s="835">
        <v>833</v>
      </c>
    </row>
    <row r="392" spans="1:4" x14ac:dyDescent="0.2">
      <c r="A392" s="832" t="s">
        <v>182</v>
      </c>
      <c r="B392" s="833" t="s">
        <v>511</v>
      </c>
      <c r="C392" s="834">
        <v>12</v>
      </c>
      <c r="D392" s="835">
        <v>161</v>
      </c>
    </row>
    <row r="393" spans="1:4" x14ac:dyDescent="0.2">
      <c r="A393" s="832" t="s">
        <v>182</v>
      </c>
      <c r="B393" s="833" t="s">
        <v>498</v>
      </c>
      <c r="C393" s="834">
        <v>26</v>
      </c>
      <c r="D393" s="835">
        <v>642</v>
      </c>
    </row>
    <row r="394" spans="1:4" x14ac:dyDescent="0.2">
      <c r="A394" s="832" t="s">
        <v>182</v>
      </c>
      <c r="B394" s="833" t="s">
        <v>512</v>
      </c>
      <c r="C394" s="834">
        <v>1</v>
      </c>
      <c r="D394" s="835">
        <v>3</v>
      </c>
    </row>
    <row r="395" spans="1:4" x14ac:dyDescent="0.2">
      <c r="A395" s="832" t="s">
        <v>182</v>
      </c>
      <c r="B395" s="833" t="s">
        <v>503</v>
      </c>
      <c r="C395" s="834">
        <v>19</v>
      </c>
      <c r="D395" s="835">
        <v>3408</v>
      </c>
    </row>
    <row r="396" spans="1:4" x14ac:dyDescent="0.2">
      <c r="A396" s="832" t="s">
        <v>182</v>
      </c>
      <c r="B396" s="833" t="s">
        <v>514</v>
      </c>
      <c r="C396" s="834">
        <v>1</v>
      </c>
      <c r="D396" s="835">
        <v>11</v>
      </c>
    </row>
    <row r="397" spans="1:4" x14ac:dyDescent="0.2">
      <c r="A397" s="832" t="s">
        <v>182</v>
      </c>
      <c r="B397" s="833" t="s">
        <v>509</v>
      </c>
      <c r="C397" s="834">
        <v>1</v>
      </c>
      <c r="D397" s="835">
        <v>1</v>
      </c>
    </row>
    <row r="398" spans="1:4" x14ac:dyDescent="0.2">
      <c r="A398" s="832" t="s">
        <v>182</v>
      </c>
      <c r="B398" s="833" t="s">
        <v>510</v>
      </c>
      <c r="C398" s="834">
        <v>5</v>
      </c>
      <c r="D398" s="835">
        <v>25</v>
      </c>
    </row>
    <row r="399" spans="1:4" x14ac:dyDescent="0.2">
      <c r="A399" s="832" t="s">
        <v>182</v>
      </c>
      <c r="B399" s="833" t="s">
        <v>518</v>
      </c>
      <c r="C399" s="834">
        <v>1</v>
      </c>
      <c r="D399" s="835">
        <v>3</v>
      </c>
    </row>
    <row r="400" spans="1:4" x14ac:dyDescent="0.2">
      <c r="A400" s="832" t="s">
        <v>182</v>
      </c>
      <c r="B400" s="833" t="s">
        <v>489</v>
      </c>
      <c r="C400" s="834">
        <v>452</v>
      </c>
      <c r="D400" s="835">
        <v>9009</v>
      </c>
    </row>
    <row r="401" spans="1:4" x14ac:dyDescent="0.2">
      <c r="A401" s="832" t="s">
        <v>182</v>
      </c>
      <c r="B401" s="833" t="s">
        <v>496</v>
      </c>
      <c r="C401" s="834">
        <v>8760</v>
      </c>
      <c r="D401" s="835">
        <v>33352</v>
      </c>
    </row>
    <row r="402" spans="1:4" x14ac:dyDescent="0.2">
      <c r="A402" s="832" t="s">
        <v>182</v>
      </c>
      <c r="B402" s="833" t="s">
        <v>504</v>
      </c>
      <c r="C402" s="834">
        <v>315</v>
      </c>
      <c r="D402" s="835">
        <v>1691</v>
      </c>
    </row>
    <row r="403" spans="1:4" x14ac:dyDescent="0.2">
      <c r="A403" s="832" t="s">
        <v>182</v>
      </c>
      <c r="B403" s="833" t="s">
        <v>519</v>
      </c>
      <c r="C403" s="834">
        <v>3</v>
      </c>
      <c r="D403" s="835">
        <v>44</v>
      </c>
    </row>
    <row r="404" spans="1:4" x14ac:dyDescent="0.2">
      <c r="A404" s="832" t="s">
        <v>182</v>
      </c>
      <c r="B404" s="833" t="s">
        <v>490</v>
      </c>
      <c r="C404" s="834">
        <v>30</v>
      </c>
      <c r="D404" s="835">
        <v>464</v>
      </c>
    </row>
    <row r="405" spans="1:4" x14ac:dyDescent="0.2">
      <c r="A405" s="832" t="s">
        <v>182</v>
      </c>
      <c r="B405" s="833" t="s">
        <v>491</v>
      </c>
      <c r="C405" s="834">
        <v>102</v>
      </c>
      <c r="D405" s="835">
        <v>1098</v>
      </c>
    </row>
    <row r="406" spans="1:4" x14ac:dyDescent="0.2">
      <c r="A406" s="832" t="s">
        <v>182</v>
      </c>
      <c r="B406" s="833" t="s">
        <v>520</v>
      </c>
      <c r="C406" s="834">
        <v>1</v>
      </c>
      <c r="D406" s="835">
        <v>20</v>
      </c>
    </row>
    <row r="407" spans="1:4" x14ac:dyDescent="0.2">
      <c r="A407" s="832" t="s">
        <v>182</v>
      </c>
      <c r="B407" s="833" t="s">
        <v>492</v>
      </c>
      <c r="C407" s="834">
        <v>6599</v>
      </c>
      <c r="D407" s="835">
        <v>25668</v>
      </c>
    </row>
    <row r="408" spans="1:4" x14ac:dyDescent="0.2">
      <c r="A408" s="832" t="s">
        <v>182</v>
      </c>
      <c r="B408" s="833" t="s">
        <v>501</v>
      </c>
      <c r="C408" s="834">
        <v>772</v>
      </c>
      <c r="D408" s="835">
        <v>12500</v>
      </c>
    </row>
    <row r="409" spans="1:4" x14ac:dyDescent="0.2">
      <c r="A409" s="832" t="s">
        <v>182</v>
      </c>
      <c r="B409" s="833" t="s">
        <v>516</v>
      </c>
      <c r="C409" s="834">
        <v>1</v>
      </c>
      <c r="D409" s="835">
        <v>12</v>
      </c>
    </row>
    <row r="410" spans="1:4" x14ac:dyDescent="0.2">
      <c r="A410" s="832" t="s">
        <v>182</v>
      </c>
      <c r="B410" s="833" t="s">
        <v>493</v>
      </c>
      <c r="C410" s="834">
        <v>329</v>
      </c>
      <c r="D410" s="835">
        <v>8588</v>
      </c>
    </row>
    <row r="411" spans="1:4" x14ac:dyDescent="0.2">
      <c r="A411" s="832" t="s">
        <v>182</v>
      </c>
      <c r="B411" s="833" t="s">
        <v>255</v>
      </c>
      <c r="C411" s="834">
        <v>617</v>
      </c>
      <c r="D411" s="835">
        <v>83721</v>
      </c>
    </row>
    <row r="412" spans="1:4" ht="24" customHeight="1" x14ac:dyDescent="0.2">
      <c r="A412" s="1430" t="s">
        <v>29</v>
      </c>
      <c r="B412" s="1430"/>
      <c r="C412" s="375">
        <f>SUM(C8:C411)</f>
        <v>506116.99979999999</v>
      </c>
      <c r="D412" s="171">
        <f>SUM(D8:D411)</f>
        <v>11495227</v>
      </c>
    </row>
  </sheetData>
  <sheetProtection password="9C8D" sheet="1" objects="1" scenarios="1"/>
  <mergeCells count="4">
    <mergeCell ref="A1:D1"/>
    <mergeCell ref="A2:D2"/>
    <mergeCell ref="A3:D3"/>
    <mergeCell ref="A412:B412"/>
  </mergeCells>
  <pageMargins left="0.511811024" right="0.511811024" top="0.78740157499999996" bottom="0.78740157499999996" header="0.31496062000000002" footer="0.31496062000000002"/>
  <pageSetup paperSize="9" orientation="portrait" verticalDpi="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windowProtection="1" showGridLines="0" workbookViewId="0">
      <selection activeCell="A2" sqref="A2:D2"/>
    </sheetView>
  </sheetViews>
  <sheetFormatPr defaultRowHeight="12.75" x14ac:dyDescent="0.2"/>
  <cols>
    <col min="1" max="1" width="12" style="368" customWidth="1"/>
    <col min="2" max="2" width="23.5703125" customWidth="1"/>
    <col min="3" max="3" width="14.140625" bestFit="1" customWidth="1"/>
    <col min="4" max="4" width="26.42578125" customWidth="1"/>
  </cols>
  <sheetData>
    <row r="1" spans="1:4" ht="15.75" x14ac:dyDescent="0.25">
      <c r="A1" s="1225" t="s">
        <v>735</v>
      </c>
      <c r="B1" s="1225"/>
      <c r="C1" s="1225"/>
      <c r="D1" s="1225"/>
    </row>
    <row r="2" spans="1:4" ht="18" x14ac:dyDescent="0.2">
      <c r="A2" s="1226" t="s">
        <v>731</v>
      </c>
      <c r="B2" s="1226"/>
      <c r="C2" s="1226"/>
      <c r="D2" s="1226"/>
    </row>
    <row r="3" spans="1:4" ht="15" x14ac:dyDescent="0.2">
      <c r="A3" s="1226" t="str">
        <f>[1]Dados!$A18</f>
        <v>Exercício 2015</v>
      </c>
      <c r="B3" s="1226"/>
      <c r="C3" s="1226"/>
      <c r="D3" s="1226"/>
    </row>
    <row r="4" spans="1:4" ht="15" x14ac:dyDescent="0.2">
      <c r="A4" s="818"/>
      <c r="B4" s="818"/>
      <c r="C4" s="818"/>
      <c r="D4" s="818"/>
    </row>
    <row r="5" spans="1:4" x14ac:dyDescent="0.2">
      <c r="D5" s="817" t="s">
        <v>1</v>
      </c>
    </row>
    <row r="6" spans="1:4" ht="26.25" customHeight="1" x14ac:dyDescent="0.2">
      <c r="A6" s="816" t="s">
        <v>241</v>
      </c>
      <c r="B6" s="816" t="s">
        <v>135</v>
      </c>
      <c r="C6" s="816" t="s">
        <v>249</v>
      </c>
      <c r="D6" s="816" t="s">
        <v>7</v>
      </c>
    </row>
    <row r="7" spans="1:4" x14ac:dyDescent="0.2">
      <c r="A7" s="836" t="s">
        <v>168</v>
      </c>
      <c r="B7" s="351" t="s">
        <v>242</v>
      </c>
      <c r="C7" s="837">
        <v>6170</v>
      </c>
      <c r="D7" s="837">
        <v>45148</v>
      </c>
    </row>
    <row r="8" spans="1:4" x14ac:dyDescent="0.2">
      <c r="A8" s="836"/>
      <c r="B8" s="351" t="s">
        <v>243</v>
      </c>
      <c r="C8" s="837">
        <v>232</v>
      </c>
      <c r="D8" s="837">
        <v>26442</v>
      </c>
    </row>
    <row r="9" spans="1:4" x14ac:dyDescent="0.2">
      <c r="A9" s="836"/>
      <c r="B9" s="351" t="s">
        <v>244</v>
      </c>
      <c r="C9" s="837">
        <v>733</v>
      </c>
      <c r="D9" s="837">
        <v>125785</v>
      </c>
    </row>
    <row r="10" spans="1:4" x14ac:dyDescent="0.2">
      <c r="A10" s="836"/>
      <c r="B10" s="351" t="s">
        <v>245</v>
      </c>
      <c r="C10" s="837">
        <v>71</v>
      </c>
      <c r="D10" s="837">
        <v>32689</v>
      </c>
    </row>
    <row r="11" spans="1:4" x14ac:dyDescent="0.2">
      <c r="A11" s="836"/>
      <c r="B11" s="351" t="s">
        <v>246</v>
      </c>
      <c r="C11" s="837">
        <v>19628</v>
      </c>
      <c r="D11" s="837">
        <v>114876</v>
      </c>
    </row>
    <row r="12" spans="1:4" x14ac:dyDescent="0.2">
      <c r="A12" s="838"/>
      <c r="B12" s="839" t="s">
        <v>143</v>
      </c>
      <c r="C12" s="840">
        <v>16</v>
      </c>
      <c r="D12" s="840">
        <v>85800</v>
      </c>
    </row>
    <row r="13" spans="1:4" x14ac:dyDescent="0.2">
      <c r="A13" s="836" t="s">
        <v>172</v>
      </c>
      <c r="B13" s="351" t="s">
        <v>242</v>
      </c>
      <c r="C13" s="837">
        <v>18829</v>
      </c>
      <c r="D13" s="837">
        <v>1282113</v>
      </c>
    </row>
    <row r="14" spans="1:4" x14ac:dyDescent="0.2">
      <c r="A14" s="836"/>
      <c r="B14" s="351" t="s">
        <v>243</v>
      </c>
      <c r="C14" s="837">
        <v>362</v>
      </c>
      <c r="D14" s="837">
        <v>16242</v>
      </c>
    </row>
    <row r="15" spans="1:4" x14ac:dyDescent="0.2">
      <c r="A15" s="836"/>
      <c r="B15" s="351" t="s">
        <v>244</v>
      </c>
      <c r="C15" s="837">
        <v>4724</v>
      </c>
      <c r="D15" s="837">
        <v>888622</v>
      </c>
    </row>
    <row r="16" spans="1:4" x14ac:dyDescent="0.2">
      <c r="A16" s="836"/>
      <c r="B16" s="351" t="s">
        <v>245</v>
      </c>
      <c r="C16" s="837">
        <v>489</v>
      </c>
      <c r="D16" s="837">
        <v>216155</v>
      </c>
    </row>
    <row r="17" spans="1:4" x14ac:dyDescent="0.2">
      <c r="A17" s="836"/>
      <c r="B17" s="351" t="s">
        <v>141</v>
      </c>
      <c r="C17" s="837">
        <v>2</v>
      </c>
      <c r="D17" s="837">
        <v>44810</v>
      </c>
    </row>
    <row r="18" spans="1:4" x14ac:dyDescent="0.2">
      <c r="A18" s="836"/>
      <c r="B18" s="351" t="s">
        <v>246</v>
      </c>
      <c r="C18" s="837">
        <v>85303</v>
      </c>
      <c r="D18" s="837">
        <v>595719</v>
      </c>
    </row>
    <row r="19" spans="1:4" x14ac:dyDescent="0.2">
      <c r="A19" s="838"/>
      <c r="B19" s="839" t="s">
        <v>143</v>
      </c>
      <c r="C19" s="840">
        <v>52</v>
      </c>
      <c r="D19" s="840">
        <v>167907</v>
      </c>
    </row>
    <row r="20" spans="1:4" x14ac:dyDescent="0.2">
      <c r="A20" s="836" t="s">
        <v>174</v>
      </c>
      <c r="B20" s="351" t="s">
        <v>242</v>
      </c>
      <c r="C20" s="837">
        <v>15417</v>
      </c>
      <c r="D20" s="837">
        <v>110447</v>
      </c>
    </row>
    <row r="21" spans="1:4" x14ac:dyDescent="0.2">
      <c r="A21" s="836"/>
      <c r="B21" s="351" t="s">
        <v>243</v>
      </c>
      <c r="C21" s="837">
        <v>739</v>
      </c>
      <c r="D21" s="837">
        <v>9530</v>
      </c>
    </row>
    <row r="22" spans="1:4" x14ac:dyDescent="0.2">
      <c r="A22" s="836"/>
      <c r="B22" s="351" t="s">
        <v>244</v>
      </c>
      <c r="C22" s="837">
        <v>4516</v>
      </c>
      <c r="D22" s="837">
        <v>549583</v>
      </c>
    </row>
    <row r="23" spans="1:4" x14ac:dyDescent="0.2">
      <c r="A23" s="836"/>
      <c r="B23" s="351" t="s">
        <v>245</v>
      </c>
      <c r="C23" s="837">
        <v>750</v>
      </c>
      <c r="D23" s="837">
        <v>352024</v>
      </c>
    </row>
    <row r="24" spans="1:4" x14ac:dyDescent="0.2">
      <c r="A24" s="836"/>
      <c r="B24" s="351" t="s">
        <v>141</v>
      </c>
      <c r="C24" s="837">
        <v>2</v>
      </c>
      <c r="D24" s="837">
        <v>370615</v>
      </c>
    </row>
    <row r="25" spans="1:4" x14ac:dyDescent="0.2">
      <c r="A25" s="836"/>
      <c r="B25" s="351" t="s">
        <v>246</v>
      </c>
      <c r="C25" s="837">
        <v>48591</v>
      </c>
      <c r="D25" s="837">
        <v>333159</v>
      </c>
    </row>
    <row r="26" spans="1:4" x14ac:dyDescent="0.2">
      <c r="A26" s="838"/>
      <c r="B26" s="839" t="s">
        <v>143</v>
      </c>
      <c r="C26" s="840">
        <v>246</v>
      </c>
      <c r="D26" s="840">
        <v>69988</v>
      </c>
    </row>
    <row r="27" spans="1:4" x14ac:dyDescent="0.2">
      <c r="A27" s="836" t="s">
        <v>175</v>
      </c>
      <c r="B27" s="351" t="s">
        <v>242</v>
      </c>
      <c r="C27" s="837">
        <v>448</v>
      </c>
      <c r="D27" s="837">
        <v>31094</v>
      </c>
    </row>
    <row r="28" spans="1:4" x14ac:dyDescent="0.2">
      <c r="A28" s="836"/>
      <c r="B28" s="351" t="s">
        <v>243</v>
      </c>
      <c r="C28" s="837">
        <v>3</v>
      </c>
      <c r="D28" s="837">
        <v>22437</v>
      </c>
    </row>
    <row r="29" spans="1:4" x14ac:dyDescent="0.2">
      <c r="A29" s="836"/>
      <c r="B29" s="351" t="s">
        <v>244</v>
      </c>
      <c r="C29" s="837">
        <v>346</v>
      </c>
      <c r="D29" s="837">
        <v>40518</v>
      </c>
    </row>
    <row r="30" spans="1:4" x14ac:dyDescent="0.2">
      <c r="A30" s="836"/>
      <c r="B30" s="351" t="s">
        <v>245</v>
      </c>
      <c r="C30" s="837">
        <v>76</v>
      </c>
      <c r="D30" s="837">
        <v>33542</v>
      </c>
    </row>
    <row r="31" spans="1:4" x14ac:dyDescent="0.2">
      <c r="A31" s="836"/>
      <c r="B31" s="351" t="s">
        <v>246</v>
      </c>
      <c r="C31" s="837">
        <v>96</v>
      </c>
      <c r="D31" s="837">
        <v>21570</v>
      </c>
    </row>
    <row r="32" spans="1:4" x14ac:dyDescent="0.2">
      <c r="A32" s="364"/>
      <c r="B32" s="365" t="s">
        <v>143</v>
      </c>
      <c r="C32" s="841">
        <v>2</v>
      </c>
      <c r="D32" s="841">
        <v>2611</v>
      </c>
    </row>
    <row r="33" spans="1:4" x14ac:dyDescent="0.2">
      <c r="A33" s="842" t="s">
        <v>176</v>
      </c>
      <c r="B33" s="843" t="s">
        <v>242</v>
      </c>
      <c r="C33" s="844">
        <v>4582</v>
      </c>
      <c r="D33" s="844">
        <v>346611</v>
      </c>
    </row>
    <row r="34" spans="1:4" x14ac:dyDescent="0.2">
      <c r="A34" s="836"/>
      <c r="B34" s="351" t="s">
        <v>243</v>
      </c>
      <c r="C34" s="837">
        <v>576</v>
      </c>
      <c r="D34" s="837">
        <v>3221</v>
      </c>
    </row>
    <row r="35" spans="1:4" x14ac:dyDescent="0.2">
      <c r="A35" s="836"/>
      <c r="B35" s="351" t="s">
        <v>244</v>
      </c>
      <c r="C35" s="837">
        <v>1946</v>
      </c>
      <c r="D35" s="837">
        <v>341223</v>
      </c>
    </row>
    <row r="36" spans="1:4" x14ac:dyDescent="0.2">
      <c r="A36" s="836"/>
      <c r="B36" s="351" t="s">
        <v>245</v>
      </c>
      <c r="C36" s="837">
        <v>120</v>
      </c>
      <c r="D36" s="837">
        <v>33011</v>
      </c>
    </row>
    <row r="37" spans="1:4" x14ac:dyDescent="0.2">
      <c r="A37" s="836"/>
      <c r="B37" s="351" t="s">
        <v>246</v>
      </c>
      <c r="C37" s="837">
        <v>42325</v>
      </c>
      <c r="D37" s="837">
        <v>490208</v>
      </c>
    </row>
    <row r="38" spans="1:4" x14ac:dyDescent="0.2">
      <c r="A38" s="364"/>
      <c r="B38" s="365" t="s">
        <v>143</v>
      </c>
      <c r="C38" s="841">
        <v>18</v>
      </c>
      <c r="D38" s="841">
        <v>4056</v>
      </c>
    </row>
    <row r="39" spans="1:4" x14ac:dyDescent="0.2">
      <c r="A39" s="842" t="s">
        <v>177</v>
      </c>
      <c r="B39" s="843" t="s">
        <v>242</v>
      </c>
      <c r="C39" s="844">
        <v>5779</v>
      </c>
      <c r="D39" s="844">
        <v>124388</v>
      </c>
    </row>
    <row r="40" spans="1:4" x14ac:dyDescent="0.2">
      <c r="A40" s="836"/>
      <c r="B40" s="351" t="s">
        <v>243</v>
      </c>
      <c r="C40" s="837">
        <v>562</v>
      </c>
      <c r="D40" s="837">
        <v>2365</v>
      </c>
    </row>
    <row r="41" spans="1:4" x14ac:dyDescent="0.2">
      <c r="A41" s="836"/>
      <c r="B41" s="351" t="s">
        <v>244</v>
      </c>
      <c r="C41" s="837">
        <v>1401</v>
      </c>
      <c r="D41" s="837">
        <v>141115</v>
      </c>
    </row>
    <row r="42" spans="1:4" x14ac:dyDescent="0.2">
      <c r="A42" s="836"/>
      <c r="B42" s="351" t="s">
        <v>245</v>
      </c>
      <c r="C42" s="837">
        <v>92</v>
      </c>
      <c r="D42" s="837">
        <v>243399</v>
      </c>
    </row>
    <row r="43" spans="1:4" x14ac:dyDescent="0.2">
      <c r="A43" s="836"/>
      <c r="B43" s="351" t="s">
        <v>246</v>
      </c>
      <c r="C43" s="837">
        <v>41236</v>
      </c>
      <c r="D43" s="837">
        <v>284923</v>
      </c>
    </row>
    <row r="44" spans="1:4" x14ac:dyDescent="0.2">
      <c r="A44" s="364"/>
      <c r="B44" s="365" t="s">
        <v>143</v>
      </c>
      <c r="C44" s="841">
        <v>6</v>
      </c>
      <c r="D44" s="841">
        <v>661</v>
      </c>
    </row>
    <row r="45" spans="1:4" x14ac:dyDescent="0.2">
      <c r="A45" s="842" t="s">
        <v>178</v>
      </c>
      <c r="B45" s="843" t="s">
        <v>242</v>
      </c>
      <c r="C45" s="844">
        <v>6475</v>
      </c>
      <c r="D45" s="844">
        <v>58449</v>
      </c>
    </row>
    <row r="46" spans="1:4" x14ac:dyDescent="0.2">
      <c r="A46" s="836"/>
      <c r="B46" s="351" t="s">
        <v>243</v>
      </c>
      <c r="C46" s="837">
        <v>77</v>
      </c>
      <c r="D46" s="837">
        <v>3225</v>
      </c>
    </row>
    <row r="47" spans="1:4" x14ac:dyDescent="0.2">
      <c r="A47" s="836"/>
      <c r="B47" s="351" t="s">
        <v>244</v>
      </c>
      <c r="C47" s="837">
        <v>2013</v>
      </c>
      <c r="D47" s="837">
        <v>211213</v>
      </c>
    </row>
    <row r="48" spans="1:4" x14ac:dyDescent="0.2">
      <c r="A48" s="836"/>
      <c r="B48" s="351" t="s">
        <v>245</v>
      </c>
      <c r="C48" s="837">
        <v>343</v>
      </c>
      <c r="D48" s="837">
        <v>141836</v>
      </c>
    </row>
    <row r="49" spans="1:4" x14ac:dyDescent="0.2">
      <c r="A49" s="836"/>
      <c r="B49" s="351" t="s">
        <v>246</v>
      </c>
      <c r="C49" s="837">
        <v>36481</v>
      </c>
      <c r="D49" s="837">
        <v>208569</v>
      </c>
    </row>
    <row r="50" spans="1:4" x14ac:dyDescent="0.2">
      <c r="A50" s="838"/>
      <c r="B50" s="839" t="s">
        <v>143</v>
      </c>
      <c r="C50" s="840">
        <v>82</v>
      </c>
      <c r="D50" s="840">
        <v>8162</v>
      </c>
    </row>
    <row r="51" spans="1:4" x14ac:dyDescent="0.2">
      <c r="A51" s="836" t="s">
        <v>179</v>
      </c>
      <c r="B51" s="351" t="s">
        <v>242</v>
      </c>
      <c r="C51" s="837">
        <v>7020</v>
      </c>
      <c r="D51" s="837">
        <v>100239</v>
      </c>
    </row>
    <row r="52" spans="1:4" x14ac:dyDescent="0.2">
      <c r="A52" s="836"/>
      <c r="B52" s="351" t="s">
        <v>243</v>
      </c>
      <c r="C52" s="837">
        <v>55</v>
      </c>
      <c r="D52" s="837">
        <v>25127</v>
      </c>
    </row>
    <row r="53" spans="1:4" x14ac:dyDescent="0.2">
      <c r="A53" s="836"/>
      <c r="B53" s="351" t="s">
        <v>244</v>
      </c>
      <c r="C53" s="837">
        <v>3405</v>
      </c>
      <c r="D53" s="837">
        <v>430325</v>
      </c>
    </row>
    <row r="54" spans="1:4" x14ac:dyDescent="0.2">
      <c r="A54" s="836"/>
      <c r="B54" s="351" t="s">
        <v>245</v>
      </c>
      <c r="C54" s="837">
        <v>576</v>
      </c>
      <c r="D54" s="837">
        <v>269621</v>
      </c>
    </row>
    <row r="55" spans="1:4" x14ac:dyDescent="0.2">
      <c r="A55" s="836"/>
      <c r="B55" s="351" t="s">
        <v>141</v>
      </c>
      <c r="C55" s="837">
        <v>2</v>
      </c>
      <c r="D55" s="837">
        <v>73212</v>
      </c>
    </row>
    <row r="56" spans="1:4" x14ac:dyDescent="0.2">
      <c r="A56" s="836"/>
      <c r="B56" s="351" t="s">
        <v>246</v>
      </c>
      <c r="C56" s="837">
        <v>44240</v>
      </c>
      <c r="D56" s="837">
        <v>277687</v>
      </c>
    </row>
    <row r="57" spans="1:4" x14ac:dyDescent="0.2">
      <c r="A57" s="838"/>
      <c r="B57" s="839" t="s">
        <v>143</v>
      </c>
      <c r="C57" s="840">
        <v>49</v>
      </c>
      <c r="D57" s="840">
        <v>53719</v>
      </c>
    </row>
    <row r="58" spans="1:4" x14ac:dyDescent="0.2">
      <c r="A58" s="836" t="s">
        <v>180</v>
      </c>
      <c r="B58" s="351" t="s">
        <v>242</v>
      </c>
      <c r="C58" s="837">
        <v>2757</v>
      </c>
      <c r="D58" s="837">
        <v>453585</v>
      </c>
    </row>
    <row r="59" spans="1:4" x14ac:dyDescent="0.2">
      <c r="A59" s="836"/>
      <c r="B59" s="351" t="s">
        <v>243</v>
      </c>
      <c r="C59" s="837">
        <v>347</v>
      </c>
      <c r="D59" s="837">
        <v>8741</v>
      </c>
    </row>
    <row r="60" spans="1:4" x14ac:dyDescent="0.2">
      <c r="A60" s="836"/>
      <c r="B60" s="351" t="s">
        <v>244</v>
      </c>
      <c r="C60" s="837">
        <v>1465</v>
      </c>
      <c r="D60" s="837">
        <v>288516</v>
      </c>
    </row>
    <row r="61" spans="1:4" x14ac:dyDescent="0.2">
      <c r="A61" s="836"/>
      <c r="B61" s="351" t="s">
        <v>245</v>
      </c>
      <c r="C61" s="837">
        <v>162</v>
      </c>
      <c r="D61" s="837">
        <v>42363</v>
      </c>
    </row>
    <row r="62" spans="1:4" x14ac:dyDescent="0.2">
      <c r="A62" s="836"/>
      <c r="B62" s="351" t="s">
        <v>246</v>
      </c>
      <c r="C62" s="837">
        <v>45325</v>
      </c>
      <c r="D62" s="837">
        <v>257748</v>
      </c>
    </row>
    <row r="63" spans="1:4" x14ac:dyDescent="0.2">
      <c r="A63" s="838"/>
      <c r="B63" s="839" t="s">
        <v>143</v>
      </c>
      <c r="C63" s="840">
        <v>30</v>
      </c>
      <c r="D63" s="840">
        <v>10499</v>
      </c>
    </row>
    <row r="64" spans="1:4" x14ac:dyDescent="0.2">
      <c r="A64" s="836" t="s">
        <v>181</v>
      </c>
      <c r="B64" s="351" t="s">
        <v>242</v>
      </c>
      <c r="C64" s="837">
        <v>2055</v>
      </c>
      <c r="D64" s="837">
        <v>36329</v>
      </c>
    </row>
    <row r="65" spans="1:4" x14ac:dyDescent="0.2">
      <c r="A65" s="836"/>
      <c r="B65" s="351" t="s">
        <v>243</v>
      </c>
      <c r="C65" s="837">
        <v>529</v>
      </c>
      <c r="D65" s="837">
        <v>6198</v>
      </c>
    </row>
    <row r="66" spans="1:4" x14ac:dyDescent="0.2">
      <c r="A66" s="836"/>
      <c r="B66" s="351" t="s">
        <v>244</v>
      </c>
      <c r="C66" s="837">
        <v>2506</v>
      </c>
      <c r="D66" s="837">
        <v>221643</v>
      </c>
    </row>
    <row r="67" spans="1:4" x14ac:dyDescent="0.2">
      <c r="A67" s="836"/>
      <c r="B67" s="351" t="s">
        <v>245</v>
      </c>
      <c r="C67" s="837">
        <v>365</v>
      </c>
      <c r="D67" s="837">
        <v>54639</v>
      </c>
    </row>
    <row r="68" spans="1:4" x14ac:dyDescent="0.2">
      <c r="A68" s="836"/>
      <c r="B68" s="351" t="s">
        <v>246</v>
      </c>
      <c r="C68" s="837">
        <v>23622</v>
      </c>
      <c r="D68" s="837">
        <v>156281</v>
      </c>
    </row>
    <row r="69" spans="1:4" x14ac:dyDescent="0.2">
      <c r="A69" s="838"/>
      <c r="B69" s="839" t="s">
        <v>143</v>
      </c>
      <c r="C69" s="840">
        <v>66</v>
      </c>
      <c r="D69" s="840">
        <v>120568</v>
      </c>
    </row>
    <row r="70" spans="1:4" x14ac:dyDescent="0.2">
      <c r="A70" s="836" t="s">
        <v>182</v>
      </c>
      <c r="B70" s="351" t="s">
        <v>242</v>
      </c>
      <c r="C70" s="837">
        <v>3195</v>
      </c>
      <c r="D70" s="837">
        <v>78961</v>
      </c>
    </row>
    <row r="71" spans="1:4" x14ac:dyDescent="0.2">
      <c r="A71" s="836"/>
      <c r="B71" s="351" t="s">
        <v>243</v>
      </c>
      <c r="C71" s="837">
        <v>59</v>
      </c>
      <c r="D71" s="837">
        <v>1871</v>
      </c>
    </row>
    <row r="72" spans="1:4" x14ac:dyDescent="0.2">
      <c r="A72" s="836"/>
      <c r="B72" s="351" t="s">
        <v>244</v>
      </c>
      <c r="C72" s="837">
        <v>1344</v>
      </c>
      <c r="D72" s="837">
        <v>124637</v>
      </c>
    </row>
    <row r="73" spans="1:4" x14ac:dyDescent="0.2">
      <c r="A73" s="836"/>
      <c r="B73" s="351" t="s">
        <v>245</v>
      </c>
      <c r="C73" s="837">
        <v>169</v>
      </c>
      <c r="D73" s="837">
        <v>62788</v>
      </c>
    </row>
    <row r="74" spans="1:4" x14ac:dyDescent="0.2">
      <c r="A74" s="836"/>
      <c r="B74" s="351" t="s">
        <v>246</v>
      </c>
      <c r="C74" s="837">
        <v>14806</v>
      </c>
      <c r="D74" s="837">
        <v>101977</v>
      </c>
    </row>
    <row r="75" spans="1:4" x14ac:dyDescent="0.2">
      <c r="A75" s="836"/>
      <c r="B75" s="351" t="s">
        <v>143</v>
      </c>
      <c r="C75" s="837">
        <v>11</v>
      </c>
      <c r="D75" s="837">
        <v>1892</v>
      </c>
    </row>
    <row r="76" spans="1:4" ht="22.5" customHeight="1" x14ac:dyDescent="0.2">
      <c r="A76" s="1430" t="s">
        <v>29</v>
      </c>
      <c r="B76" s="1430"/>
      <c r="C76" s="375">
        <f>SUM(C7:C75)</f>
        <v>506117</v>
      </c>
      <c r="D76" s="171">
        <f>SUM(D7:D75)</f>
        <v>11495227</v>
      </c>
    </row>
  </sheetData>
  <sheetProtection password="9C8D" sheet="1" objects="1" scenarios="1"/>
  <mergeCells count="4">
    <mergeCell ref="A1:D1"/>
    <mergeCell ref="A2:D2"/>
    <mergeCell ref="A3:D3"/>
    <mergeCell ref="A76:B76"/>
  </mergeCells>
  <pageMargins left="0.511811024" right="0.511811024" top="0.78740157499999996" bottom="0.78740157499999996" header="0.31496062000000002" footer="0.3149606200000000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windowProtection="1" showGridLines="0" workbookViewId="0">
      <selection activeCell="A2" sqref="A2:D2"/>
    </sheetView>
  </sheetViews>
  <sheetFormatPr defaultRowHeight="12.75" x14ac:dyDescent="0.2"/>
  <cols>
    <col min="1" max="1" width="9.140625" style="368"/>
    <col min="2" max="2" width="27.140625" bestFit="1" customWidth="1"/>
    <col min="3" max="3" width="14.140625" bestFit="1" customWidth="1"/>
    <col min="4" max="4" width="23.28515625" style="54" customWidth="1"/>
  </cols>
  <sheetData>
    <row r="1" spans="1:4" ht="15.75" x14ac:dyDescent="0.25">
      <c r="A1" s="1225" t="s">
        <v>739</v>
      </c>
      <c r="B1" s="1225"/>
      <c r="C1" s="1225"/>
      <c r="D1" s="1225"/>
    </row>
    <row r="2" spans="1:4" ht="18" x14ac:dyDescent="0.2">
      <c r="A2" s="1226" t="s">
        <v>732</v>
      </c>
      <c r="B2" s="1226"/>
      <c r="C2" s="1226"/>
      <c r="D2" s="1226"/>
    </row>
    <row r="3" spans="1:4" ht="15" x14ac:dyDescent="0.2">
      <c r="A3" s="1226" t="str">
        <f>[1]Dados!$A18</f>
        <v>Exercício 2015</v>
      </c>
      <c r="B3" s="1226"/>
      <c r="C3" s="1226"/>
      <c r="D3" s="1226"/>
    </row>
    <row r="5" spans="1:4" x14ac:dyDescent="0.2">
      <c r="D5" s="817" t="s">
        <v>1</v>
      </c>
    </row>
    <row r="6" spans="1:4" ht="30.75" customHeight="1" x14ac:dyDescent="0.2">
      <c r="A6" s="816" t="s">
        <v>241</v>
      </c>
      <c r="B6" s="816" t="s">
        <v>216</v>
      </c>
      <c r="C6" s="816" t="s">
        <v>249</v>
      </c>
      <c r="D6" s="845" t="s">
        <v>7</v>
      </c>
    </row>
    <row r="7" spans="1:4" x14ac:dyDescent="0.2">
      <c r="A7" s="836" t="s">
        <v>168</v>
      </c>
      <c r="B7" s="351" t="s">
        <v>297</v>
      </c>
      <c r="C7" s="846">
        <v>170</v>
      </c>
      <c r="D7" s="846">
        <v>5927</v>
      </c>
    </row>
    <row r="8" spans="1:4" x14ac:dyDescent="0.2">
      <c r="A8" s="836"/>
      <c r="B8" s="351" t="s">
        <v>289</v>
      </c>
      <c r="C8" s="846">
        <v>25968</v>
      </c>
      <c r="D8" s="846">
        <v>141977</v>
      </c>
    </row>
    <row r="9" spans="1:4" x14ac:dyDescent="0.2">
      <c r="A9" s="836"/>
      <c r="B9" s="351" t="s">
        <v>287</v>
      </c>
      <c r="C9" s="846">
        <v>588</v>
      </c>
      <c r="D9" s="846">
        <v>73272</v>
      </c>
    </row>
    <row r="10" spans="1:4" x14ac:dyDescent="0.2">
      <c r="A10" s="836"/>
      <c r="B10" s="351" t="s">
        <v>293</v>
      </c>
      <c r="C10" s="846">
        <v>69</v>
      </c>
      <c r="D10" s="846">
        <v>36667</v>
      </c>
    </row>
    <row r="11" spans="1:4" x14ac:dyDescent="0.2">
      <c r="A11" s="836"/>
      <c r="B11" s="351" t="s">
        <v>296</v>
      </c>
      <c r="C11" s="846">
        <v>43</v>
      </c>
      <c r="D11" s="846">
        <v>29181</v>
      </c>
    </row>
    <row r="12" spans="1:4" x14ac:dyDescent="0.2">
      <c r="A12" s="838"/>
      <c r="B12" s="839" t="s">
        <v>294</v>
      </c>
      <c r="C12" s="847">
        <v>12</v>
      </c>
      <c r="D12" s="847">
        <v>143716</v>
      </c>
    </row>
    <row r="13" spans="1:4" x14ac:dyDescent="0.2">
      <c r="A13" s="836" t="s">
        <v>172</v>
      </c>
      <c r="B13" s="351" t="s">
        <v>297</v>
      </c>
      <c r="C13" s="846">
        <v>1397</v>
      </c>
      <c r="D13" s="846">
        <v>49747</v>
      </c>
    </row>
    <row r="14" spans="1:4" x14ac:dyDescent="0.2">
      <c r="A14" s="836"/>
      <c r="B14" s="351" t="s">
        <v>289</v>
      </c>
      <c r="C14" s="846">
        <v>103511</v>
      </c>
      <c r="D14" s="846">
        <v>576060</v>
      </c>
    </row>
    <row r="15" spans="1:4" x14ac:dyDescent="0.2">
      <c r="A15" s="836"/>
      <c r="B15" s="351" t="s">
        <v>287</v>
      </c>
      <c r="C15" s="846">
        <v>3990</v>
      </c>
      <c r="D15" s="846">
        <v>628854</v>
      </c>
    </row>
    <row r="16" spans="1:4" x14ac:dyDescent="0.2">
      <c r="A16" s="836"/>
      <c r="B16" s="351" t="s">
        <v>293</v>
      </c>
      <c r="C16" s="846">
        <v>517</v>
      </c>
      <c r="D16" s="846">
        <v>379268</v>
      </c>
    </row>
    <row r="17" spans="1:4" x14ac:dyDescent="0.2">
      <c r="A17" s="836"/>
      <c r="B17" s="351" t="s">
        <v>296</v>
      </c>
      <c r="C17" s="846">
        <v>293</v>
      </c>
      <c r="D17" s="846">
        <v>746009</v>
      </c>
    </row>
    <row r="18" spans="1:4" x14ac:dyDescent="0.2">
      <c r="A18" s="838"/>
      <c r="B18" s="839" t="s">
        <v>294</v>
      </c>
      <c r="C18" s="847">
        <v>53</v>
      </c>
      <c r="D18" s="847">
        <v>831630</v>
      </c>
    </row>
    <row r="19" spans="1:4" x14ac:dyDescent="0.2">
      <c r="A19" s="836" t="s">
        <v>174</v>
      </c>
      <c r="B19" s="351" t="s">
        <v>297</v>
      </c>
      <c r="C19" s="846">
        <v>1706</v>
      </c>
      <c r="D19" s="846">
        <v>55085</v>
      </c>
    </row>
    <row r="20" spans="1:4" x14ac:dyDescent="0.2">
      <c r="A20" s="836"/>
      <c r="B20" s="351" t="s">
        <v>289</v>
      </c>
      <c r="C20" s="846">
        <v>64631</v>
      </c>
      <c r="D20" s="846">
        <v>393595</v>
      </c>
    </row>
    <row r="21" spans="1:4" x14ac:dyDescent="0.2">
      <c r="A21" s="836"/>
      <c r="B21" s="351" t="s">
        <v>287</v>
      </c>
      <c r="C21" s="846">
        <v>3319</v>
      </c>
      <c r="D21" s="846">
        <v>351246</v>
      </c>
    </row>
    <row r="22" spans="1:4" x14ac:dyDescent="0.2">
      <c r="A22" s="836"/>
      <c r="B22" s="351" t="s">
        <v>293</v>
      </c>
      <c r="C22" s="846">
        <v>395</v>
      </c>
      <c r="D22" s="846">
        <v>117318</v>
      </c>
    </row>
    <row r="23" spans="1:4" x14ac:dyDescent="0.2">
      <c r="A23" s="836"/>
      <c r="B23" s="351" t="s">
        <v>296</v>
      </c>
      <c r="C23" s="846">
        <v>170</v>
      </c>
      <c r="D23" s="846">
        <v>141609</v>
      </c>
    </row>
    <row r="24" spans="1:4" x14ac:dyDescent="0.2">
      <c r="A24" s="838"/>
      <c r="B24" s="839" t="s">
        <v>294</v>
      </c>
      <c r="C24" s="847">
        <v>40</v>
      </c>
      <c r="D24" s="847">
        <v>736493</v>
      </c>
    </row>
    <row r="25" spans="1:4" x14ac:dyDescent="0.2">
      <c r="A25" s="836" t="s">
        <v>175</v>
      </c>
      <c r="B25" s="351" t="s">
        <v>297</v>
      </c>
      <c r="C25" s="846">
        <v>106</v>
      </c>
      <c r="D25" s="846">
        <v>4772</v>
      </c>
    </row>
    <row r="26" spans="1:4" x14ac:dyDescent="0.2">
      <c r="A26" s="836"/>
      <c r="B26" s="351" t="s">
        <v>289</v>
      </c>
      <c r="C26" s="846">
        <v>467</v>
      </c>
      <c r="D26" s="846">
        <v>17739</v>
      </c>
    </row>
    <row r="27" spans="1:4" x14ac:dyDescent="0.2">
      <c r="A27" s="836"/>
      <c r="B27" s="351" t="s">
        <v>287</v>
      </c>
      <c r="C27" s="846">
        <v>327</v>
      </c>
      <c r="D27" s="846">
        <v>54457</v>
      </c>
    </row>
    <row r="28" spans="1:4" x14ac:dyDescent="0.2">
      <c r="A28" s="836"/>
      <c r="B28" s="351" t="s">
        <v>293</v>
      </c>
      <c r="C28" s="846">
        <v>39</v>
      </c>
      <c r="D28" s="846">
        <v>28371</v>
      </c>
    </row>
    <row r="29" spans="1:4" x14ac:dyDescent="0.2">
      <c r="A29" s="836"/>
      <c r="B29" s="351" t="s">
        <v>296</v>
      </c>
      <c r="C29" s="846">
        <v>27</v>
      </c>
      <c r="D29" s="846">
        <v>15819</v>
      </c>
    </row>
    <row r="30" spans="1:4" x14ac:dyDescent="0.2">
      <c r="A30" s="838"/>
      <c r="B30" s="839" t="s">
        <v>294</v>
      </c>
      <c r="C30" s="847">
        <v>5</v>
      </c>
      <c r="D30" s="847">
        <v>30614</v>
      </c>
    </row>
    <row r="31" spans="1:4" x14ac:dyDescent="0.2">
      <c r="A31" s="836" t="s">
        <v>176</v>
      </c>
      <c r="B31" s="351" t="s">
        <v>297</v>
      </c>
      <c r="C31" s="846">
        <v>543</v>
      </c>
      <c r="D31" s="846">
        <v>20214</v>
      </c>
    </row>
    <row r="32" spans="1:4" x14ac:dyDescent="0.2">
      <c r="A32" s="836"/>
      <c r="B32" s="351" t="s">
        <v>289</v>
      </c>
      <c r="C32" s="846">
        <v>47075</v>
      </c>
      <c r="D32" s="846">
        <v>335310</v>
      </c>
    </row>
    <row r="33" spans="1:4" x14ac:dyDescent="0.2">
      <c r="A33" s="836"/>
      <c r="B33" s="351" t="s">
        <v>287</v>
      </c>
      <c r="C33" s="846">
        <v>1729</v>
      </c>
      <c r="D33" s="846">
        <v>321007</v>
      </c>
    </row>
    <row r="34" spans="1:4" x14ac:dyDescent="0.2">
      <c r="A34" s="836"/>
      <c r="B34" s="351" t="s">
        <v>293</v>
      </c>
      <c r="C34" s="846">
        <v>145</v>
      </c>
      <c r="D34" s="846">
        <v>146229</v>
      </c>
    </row>
    <row r="35" spans="1:4" x14ac:dyDescent="0.2">
      <c r="A35" s="836"/>
      <c r="B35" s="351" t="s">
        <v>296</v>
      </c>
      <c r="C35" s="846">
        <v>60</v>
      </c>
      <c r="D35" s="846">
        <v>113693</v>
      </c>
    </row>
    <row r="36" spans="1:4" x14ac:dyDescent="0.2">
      <c r="A36" s="838"/>
      <c r="B36" s="839" t="s">
        <v>294</v>
      </c>
      <c r="C36" s="847">
        <v>15</v>
      </c>
      <c r="D36" s="847">
        <v>281877</v>
      </c>
    </row>
    <row r="37" spans="1:4" x14ac:dyDescent="0.2">
      <c r="A37" s="836" t="s">
        <v>177</v>
      </c>
      <c r="B37" s="351" t="s">
        <v>297</v>
      </c>
      <c r="C37" s="846">
        <v>659</v>
      </c>
      <c r="D37" s="848">
        <v>25249</v>
      </c>
    </row>
    <row r="38" spans="1:4" x14ac:dyDescent="0.2">
      <c r="A38" s="836"/>
      <c r="B38" s="351" t="s">
        <v>289</v>
      </c>
      <c r="C38" s="846">
        <v>47340</v>
      </c>
      <c r="D38" s="848">
        <v>248324</v>
      </c>
    </row>
    <row r="39" spans="1:4" x14ac:dyDescent="0.2">
      <c r="A39" s="836"/>
      <c r="B39" s="351" t="s">
        <v>287</v>
      </c>
      <c r="C39" s="846">
        <v>894</v>
      </c>
      <c r="D39" s="848">
        <v>167363</v>
      </c>
    </row>
    <row r="40" spans="1:4" x14ac:dyDescent="0.2">
      <c r="A40" s="836"/>
      <c r="B40" s="351" t="s">
        <v>293</v>
      </c>
      <c r="C40" s="846">
        <v>118</v>
      </c>
      <c r="D40" s="848">
        <v>65125</v>
      </c>
    </row>
    <row r="41" spans="1:4" x14ac:dyDescent="0.2">
      <c r="A41" s="836"/>
      <c r="B41" s="351" t="s">
        <v>296</v>
      </c>
      <c r="C41" s="846">
        <v>56</v>
      </c>
      <c r="D41" s="848">
        <v>32422</v>
      </c>
    </row>
    <row r="42" spans="1:4" x14ac:dyDescent="0.2">
      <c r="A42" s="838"/>
      <c r="B42" s="839" t="s">
        <v>294</v>
      </c>
      <c r="C42" s="847">
        <v>9</v>
      </c>
      <c r="D42" s="849">
        <v>258369</v>
      </c>
    </row>
    <row r="43" spans="1:4" x14ac:dyDescent="0.2">
      <c r="A43" s="836" t="s">
        <v>178</v>
      </c>
      <c r="B43" s="351" t="s">
        <v>297</v>
      </c>
      <c r="C43" s="846">
        <v>751</v>
      </c>
      <c r="D43" s="846">
        <v>22681</v>
      </c>
    </row>
    <row r="44" spans="1:4" x14ac:dyDescent="0.2">
      <c r="A44" s="836"/>
      <c r="B44" s="351" t="s">
        <v>289</v>
      </c>
      <c r="C44" s="846">
        <v>42925</v>
      </c>
      <c r="D44" s="846">
        <v>216668</v>
      </c>
    </row>
    <row r="45" spans="1:4" x14ac:dyDescent="0.2">
      <c r="A45" s="836"/>
      <c r="B45" s="351" t="s">
        <v>287</v>
      </c>
      <c r="C45" s="846">
        <v>1445</v>
      </c>
      <c r="D45" s="846">
        <v>143210</v>
      </c>
    </row>
    <row r="46" spans="1:4" x14ac:dyDescent="0.2">
      <c r="A46" s="836"/>
      <c r="B46" s="351" t="s">
        <v>293</v>
      </c>
      <c r="C46" s="846">
        <v>233</v>
      </c>
      <c r="D46" s="846">
        <v>61486</v>
      </c>
    </row>
    <row r="47" spans="1:4" x14ac:dyDescent="0.2">
      <c r="A47" s="836"/>
      <c r="B47" s="351" t="s">
        <v>296</v>
      </c>
      <c r="C47" s="846">
        <v>102</v>
      </c>
      <c r="D47" s="846">
        <v>72469</v>
      </c>
    </row>
    <row r="48" spans="1:4" x14ac:dyDescent="0.2">
      <c r="A48" s="838"/>
      <c r="B48" s="839" t="s">
        <v>294</v>
      </c>
      <c r="C48" s="847">
        <v>15</v>
      </c>
      <c r="D48" s="847">
        <v>114940</v>
      </c>
    </row>
    <row r="49" spans="1:4" x14ac:dyDescent="0.2">
      <c r="A49" s="836" t="s">
        <v>179</v>
      </c>
      <c r="B49" s="351" t="s">
        <v>297</v>
      </c>
      <c r="C49" s="846">
        <v>980</v>
      </c>
      <c r="D49" s="846">
        <v>38969</v>
      </c>
    </row>
    <row r="50" spans="1:4" x14ac:dyDescent="0.2">
      <c r="A50" s="836"/>
      <c r="B50" s="351" t="s">
        <v>289</v>
      </c>
      <c r="C50" s="846">
        <v>51149</v>
      </c>
      <c r="D50" s="846">
        <v>306672</v>
      </c>
    </row>
    <row r="51" spans="1:4" x14ac:dyDescent="0.2">
      <c r="A51" s="836"/>
      <c r="B51" s="351" t="s">
        <v>287</v>
      </c>
      <c r="C51" s="846">
        <v>2720</v>
      </c>
      <c r="D51" s="846">
        <v>282853</v>
      </c>
    </row>
    <row r="52" spans="1:4" x14ac:dyDescent="0.2">
      <c r="A52" s="836"/>
      <c r="B52" s="351" t="s">
        <v>293</v>
      </c>
      <c r="C52" s="846">
        <v>335</v>
      </c>
      <c r="D52" s="846">
        <v>132573</v>
      </c>
    </row>
    <row r="53" spans="1:4" x14ac:dyDescent="0.2">
      <c r="A53" s="836"/>
      <c r="B53" s="351" t="s">
        <v>296</v>
      </c>
      <c r="C53" s="846">
        <v>133</v>
      </c>
      <c r="D53" s="846">
        <v>170557</v>
      </c>
    </row>
    <row r="54" spans="1:4" x14ac:dyDescent="0.2">
      <c r="A54" s="838"/>
      <c r="B54" s="839" t="s">
        <v>294</v>
      </c>
      <c r="C54" s="847">
        <v>30</v>
      </c>
      <c r="D54" s="847">
        <v>298306</v>
      </c>
    </row>
    <row r="55" spans="1:4" x14ac:dyDescent="0.2">
      <c r="A55" s="836" t="s">
        <v>180</v>
      </c>
      <c r="B55" s="351" t="s">
        <v>297</v>
      </c>
      <c r="C55" s="846">
        <v>466</v>
      </c>
      <c r="D55" s="846">
        <v>17826</v>
      </c>
    </row>
    <row r="56" spans="1:4" x14ac:dyDescent="0.2">
      <c r="A56" s="836"/>
      <c r="B56" s="351" t="s">
        <v>289</v>
      </c>
      <c r="C56" s="846">
        <v>48227</v>
      </c>
      <c r="D56" s="846">
        <v>265680</v>
      </c>
    </row>
    <row r="57" spans="1:4" x14ac:dyDescent="0.2">
      <c r="A57" s="836"/>
      <c r="B57" s="351" t="s">
        <v>287</v>
      </c>
      <c r="C57" s="846">
        <v>1099</v>
      </c>
      <c r="D57" s="846">
        <v>182894</v>
      </c>
    </row>
    <row r="58" spans="1:4" x14ac:dyDescent="0.2">
      <c r="A58" s="836"/>
      <c r="B58" s="351" t="s">
        <v>293</v>
      </c>
      <c r="C58" s="846">
        <v>182</v>
      </c>
      <c r="D58" s="846">
        <v>178561</v>
      </c>
    </row>
    <row r="59" spans="1:4" x14ac:dyDescent="0.2">
      <c r="A59" s="836"/>
      <c r="B59" s="351" t="s">
        <v>296</v>
      </c>
      <c r="C59" s="846">
        <v>94</v>
      </c>
      <c r="D59" s="846">
        <v>195044</v>
      </c>
    </row>
    <row r="60" spans="1:4" x14ac:dyDescent="0.2">
      <c r="A60" s="838"/>
      <c r="B60" s="839" t="s">
        <v>294</v>
      </c>
      <c r="C60" s="847">
        <v>18</v>
      </c>
      <c r="D60" s="847">
        <v>221447</v>
      </c>
    </row>
    <row r="61" spans="1:4" x14ac:dyDescent="0.2">
      <c r="A61" s="836" t="s">
        <v>181</v>
      </c>
      <c r="B61" s="351" t="s">
        <v>297</v>
      </c>
      <c r="C61" s="846">
        <v>905</v>
      </c>
      <c r="D61" s="846">
        <v>25591</v>
      </c>
    </row>
    <row r="62" spans="1:4" x14ac:dyDescent="0.2">
      <c r="A62" s="836"/>
      <c r="B62" s="351" t="s">
        <v>289</v>
      </c>
      <c r="C62" s="846">
        <v>26114</v>
      </c>
      <c r="D62" s="846">
        <v>149758</v>
      </c>
    </row>
    <row r="63" spans="1:4" x14ac:dyDescent="0.2">
      <c r="A63" s="836"/>
      <c r="B63" s="351" t="s">
        <v>287</v>
      </c>
      <c r="C63" s="846">
        <v>1768</v>
      </c>
      <c r="D63" s="846">
        <v>163082</v>
      </c>
    </row>
    <row r="64" spans="1:4" x14ac:dyDescent="0.2">
      <c r="A64" s="836"/>
      <c r="B64" s="351" t="s">
        <v>293</v>
      </c>
      <c r="C64" s="846">
        <v>195</v>
      </c>
      <c r="D64" s="846">
        <v>46172</v>
      </c>
    </row>
    <row r="65" spans="1:4" x14ac:dyDescent="0.2">
      <c r="A65" s="836"/>
      <c r="B65" s="351" t="s">
        <v>296</v>
      </c>
      <c r="C65" s="846">
        <v>150</v>
      </c>
      <c r="D65" s="846">
        <v>186261</v>
      </c>
    </row>
    <row r="66" spans="1:4" x14ac:dyDescent="0.2">
      <c r="A66" s="838"/>
      <c r="B66" s="839" t="s">
        <v>294</v>
      </c>
      <c r="C66" s="847">
        <v>11</v>
      </c>
      <c r="D66" s="847">
        <v>24794</v>
      </c>
    </row>
    <row r="67" spans="1:4" x14ac:dyDescent="0.2">
      <c r="A67" s="836" t="s">
        <v>182</v>
      </c>
      <c r="B67" s="351" t="s">
        <v>297</v>
      </c>
      <c r="C67" s="846">
        <v>552</v>
      </c>
      <c r="D67" s="846">
        <v>21774</v>
      </c>
    </row>
    <row r="68" spans="1:4" x14ac:dyDescent="0.2">
      <c r="A68" s="836"/>
      <c r="B68" s="351" t="s">
        <v>289</v>
      </c>
      <c r="C68" s="846">
        <v>17877</v>
      </c>
      <c r="D68" s="846">
        <v>147323</v>
      </c>
    </row>
    <row r="69" spans="1:4" x14ac:dyDescent="0.2">
      <c r="A69" s="836"/>
      <c r="B69" s="351" t="s">
        <v>287</v>
      </c>
      <c r="C69" s="846">
        <v>979</v>
      </c>
      <c r="D69" s="846">
        <v>122690</v>
      </c>
    </row>
    <row r="70" spans="1:4" x14ac:dyDescent="0.2">
      <c r="A70" s="836"/>
      <c r="B70" s="351" t="s">
        <v>293</v>
      </c>
      <c r="C70" s="846">
        <v>122</v>
      </c>
      <c r="D70" s="846">
        <v>31765</v>
      </c>
    </row>
    <row r="71" spans="1:4" x14ac:dyDescent="0.2">
      <c r="A71" s="836"/>
      <c r="B71" s="351" t="s">
        <v>296</v>
      </c>
      <c r="C71" s="846">
        <v>44</v>
      </c>
      <c r="D71" s="846">
        <v>35487</v>
      </c>
    </row>
    <row r="72" spans="1:4" x14ac:dyDescent="0.2">
      <c r="A72" s="836"/>
      <c r="B72" s="351" t="s">
        <v>294</v>
      </c>
      <c r="C72" s="846">
        <v>10</v>
      </c>
      <c r="D72" s="846">
        <v>13086</v>
      </c>
    </row>
    <row r="73" spans="1:4" ht="23.25" customHeight="1" x14ac:dyDescent="0.2">
      <c r="A73" s="1430" t="s">
        <v>29</v>
      </c>
      <c r="B73" s="1430"/>
      <c r="C73" s="375">
        <f>SUM(C7:C72)</f>
        <v>506117</v>
      </c>
      <c r="D73" s="171">
        <f>SUM(D7:D72)</f>
        <v>11495227</v>
      </c>
    </row>
  </sheetData>
  <sheetProtection password="9C8D" sheet="1" objects="1" scenarios="1"/>
  <mergeCells count="4">
    <mergeCell ref="A1:D1"/>
    <mergeCell ref="A2:D2"/>
    <mergeCell ref="A3:D3"/>
    <mergeCell ref="A73:B73"/>
  </mergeCells>
  <pageMargins left="0.511811024" right="0.511811024" top="0.78740157499999996" bottom="0.78740157499999996" header="0.31496062000000002" footer="0.3149606200000000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8"/>
  <sheetViews>
    <sheetView windowProtection="1" showGridLines="0" workbookViewId="0">
      <selection activeCell="A2" sqref="A2:D2"/>
    </sheetView>
  </sheetViews>
  <sheetFormatPr defaultRowHeight="12.75" x14ac:dyDescent="0.2"/>
  <cols>
    <col min="1" max="1" width="8.5703125" customWidth="1"/>
    <col min="2" max="2" width="38.42578125" customWidth="1"/>
    <col min="3" max="3" width="14.140625" customWidth="1"/>
    <col min="4" max="4" width="23.7109375" customWidth="1"/>
  </cols>
  <sheetData>
    <row r="1" spans="1:4" ht="15.75" x14ac:dyDescent="0.25">
      <c r="A1" s="1225" t="s">
        <v>740</v>
      </c>
      <c r="B1" s="1225"/>
      <c r="C1" s="1225"/>
      <c r="D1" s="1225"/>
    </row>
    <row r="2" spans="1:4" ht="18" x14ac:dyDescent="0.2">
      <c r="A2" s="1226" t="s">
        <v>723</v>
      </c>
      <c r="B2" s="1226"/>
      <c r="C2" s="1226"/>
      <c r="D2" s="1226"/>
    </row>
    <row r="3" spans="1:4" ht="15" x14ac:dyDescent="0.2">
      <c r="A3" s="1226" t="str">
        <f>[1]Dados!$A18</f>
        <v>Exercício 2015</v>
      </c>
      <c r="B3" s="1226"/>
      <c r="C3" s="1226"/>
      <c r="D3" s="1226"/>
    </row>
    <row r="4" spans="1:4" x14ac:dyDescent="0.2">
      <c r="A4" s="99"/>
      <c r="B4" s="99"/>
      <c r="C4" s="99"/>
      <c r="D4" s="99"/>
    </row>
    <row r="5" spans="1:4" x14ac:dyDescent="0.2">
      <c r="A5" s="1227" t="s">
        <v>1</v>
      </c>
      <c r="B5" s="1227"/>
      <c r="C5" s="1227"/>
      <c r="D5" s="1227"/>
    </row>
    <row r="6" spans="1:4" ht="27" customHeight="1" x14ac:dyDescent="0.2">
      <c r="A6" s="819" t="s">
        <v>241</v>
      </c>
      <c r="B6" s="819" t="s">
        <v>248</v>
      </c>
      <c r="C6" s="819" t="s">
        <v>249</v>
      </c>
      <c r="D6" s="819" t="s">
        <v>7</v>
      </c>
    </row>
    <row r="7" spans="1:4" x14ac:dyDescent="0.2">
      <c r="A7" s="784" t="s">
        <v>168</v>
      </c>
      <c r="B7" s="785" t="s">
        <v>514</v>
      </c>
      <c r="C7" s="786">
        <v>1</v>
      </c>
      <c r="D7" s="787">
        <v>5</v>
      </c>
    </row>
    <row r="8" spans="1:4" x14ac:dyDescent="0.2">
      <c r="A8" s="788" t="s">
        <v>168</v>
      </c>
      <c r="B8" s="789" t="s">
        <v>509</v>
      </c>
      <c r="C8" s="790">
        <v>16</v>
      </c>
      <c r="D8" s="791">
        <v>23</v>
      </c>
    </row>
    <row r="9" spans="1:4" x14ac:dyDescent="0.2">
      <c r="A9" s="788" t="s">
        <v>168</v>
      </c>
      <c r="B9" s="789" t="s">
        <v>513</v>
      </c>
      <c r="C9" s="790">
        <v>1</v>
      </c>
      <c r="D9" s="791">
        <v>8</v>
      </c>
    </row>
    <row r="10" spans="1:4" x14ac:dyDescent="0.2">
      <c r="A10" s="788" t="s">
        <v>168</v>
      </c>
      <c r="B10" s="789" t="s">
        <v>510</v>
      </c>
      <c r="C10" s="790">
        <v>12</v>
      </c>
      <c r="D10" s="791">
        <v>133</v>
      </c>
    </row>
    <row r="11" spans="1:4" x14ac:dyDescent="0.2">
      <c r="A11" s="788" t="s">
        <v>168</v>
      </c>
      <c r="B11" s="789" t="s">
        <v>515</v>
      </c>
      <c r="C11" s="790">
        <v>2</v>
      </c>
      <c r="D11" s="791">
        <v>29</v>
      </c>
    </row>
    <row r="12" spans="1:4" x14ac:dyDescent="0.2">
      <c r="A12" s="788" t="s">
        <v>168</v>
      </c>
      <c r="B12" s="789" t="s">
        <v>489</v>
      </c>
      <c r="C12" s="790">
        <v>278</v>
      </c>
      <c r="D12" s="791">
        <v>5714</v>
      </c>
    </row>
    <row r="13" spans="1:4" x14ac:dyDescent="0.2">
      <c r="A13" s="788" t="s">
        <v>168</v>
      </c>
      <c r="B13" s="789" t="s">
        <v>496</v>
      </c>
      <c r="C13" s="790">
        <v>10105</v>
      </c>
      <c r="D13" s="791">
        <v>39679</v>
      </c>
    </row>
    <row r="14" spans="1:4" x14ac:dyDescent="0.2">
      <c r="A14" s="788" t="s">
        <v>168</v>
      </c>
      <c r="B14" s="789" t="s">
        <v>504</v>
      </c>
      <c r="C14" s="790">
        <v>26</v>
      </c>
      <c r="D14" s="791">
        <v>180</v>
      </c>
    </row>
    <row r="15" spans="1:4" x14ac:dyDescent="0.2">
      <c r="A15" s="788" t="s">
        <v>168</v>
      </c>
      <c r="B15" s="789" t="s">
        <v>490</v>
      </c>
      <c r="C15" s="790">
        <v>33</v>
      </c>
      <c r="D15" s="791">
        <v>498</v>
      </c>
    </row>
    <row r="16" spans="1:4" x14ac:dyDescent="0.2">
      <c r="A16" s="788" t="s">
        <v>168</v>
      </c>
      <c r="B16" s="789" t="s">
        <v>491</v>
      </c>
      <c r="C16" s="790">
        <v>65</v>
      </c>
      <c r="D16" s="791">
        <v>933</v>
      </c>
    </row>
    <row r="17" spans="1:4" x14ac:dyDescent="0.2">
      <c r="A17" s="788" t="s">
        <v>168</v>
      </c>
      <c r="B17" s="789" t="s">
        <v>492</v>
      </c>
      <c r="C17" s="790">
        <v>13929</v>
      </c>
      <c r="D17" s="791">
        <v>55190</v>
      </c>
    </row>
    <row r="18" spans="1:4" x14ac:dyDescent="0.2">
      <c r="A18" s="788" t="s">
        <v>168</v>
      </c>
      <c r="B18" s="789" t="s">
        <v>501</v>
      </c>
      <c r="C18" s="790">
        <v>590</v>
      </c>
      <c r="D18" s="791">
        <v>6224</v>
      </c>
    </row>
    <row r="19" spans="1:4" x14ac:dyDescent="0.2">
      <c r="A19" s="788" t="s">
        <v>168</v>
      </c>
      <c r="B19" s="789" t="s">
        <v>493</v>
      </c>
      <c r="C19" s="790">
        <v>588</v>
      </c>
      <c r="D19" s="791">
        <v>12313</v>
      </c>
    </row>
    <row r="20" spans="1:4" x14ac:dyDescent="0.2">
      <c r="A20" s="784" t="s">
        <v>172</v>
      </c>
      <c r="B20" s="785" t="s">
        <v>514</v>
      </c>
      <c r="C20" s="786">
        <v>27</v>
      </c>
      <c r="D20" s="787">
        <v>282</v>
      </c>
    </row>
    <row r="21" spans="1:4" x14ac:dyDescent="0.2">
      <c r="A21" s="788" t="s">
        <v>172</v>
      </c>
      <c r="B21" s="789" t="s">
        <v>510</v>
      </c>
      <c r="C21" s="790">
        <v>110</v>
      </c>
      <c r="D21" s="791">
        <v>1280</v>
      </c>
    </row>
    <row r="22" spans="1:4" x14ac:dyDescent="0.2">
      <c r="A22" s="788" t="s">
        <v>172</v>
      </c>
      <c r="B22" s="789" t="s">
        <v>518</v>
      </c>
      <c r="C22" s="790">
        <v>3</v>
      </c>
      <c r="D22" s="791">
        <v>91</v>
      </c>
    </row>
    <row r="23" spans="1:4" x14ac:dyDescent="0.2">
      <c r="A23" s="788" t="s">
        <v>172</v>
      </c>
      <c r="B23" s="789" t="s">
        <v>515</v>
      </c>
      <c r="C23" s="790">
        <v>3</v>
      </c>
      <c r="D23" s="791">
        <v>35</v>
      </c>
    </row>
    <row r="24" spans="1:4" x14ac:dyDescent="0.2">
      <c r="A24" s="788" t="s">
        <v>172</v>
      </c>
      <c r="B24" s="789" t="s">
        <v>517</v>
      </c>
      <c r="C24" s="790">
        <v>42</v>
      </c>
      <c r="D24" s="791">
        <v>887</v>
      </c>
    </row>
    <row r="25" spans="1:4" x14ac:dyDescent="0.2">
      <c r="A25" s="788" t="s">
        <v>172</v>
      </c>
      <c r="B25" s="789" t="s">
        <v>489</v>
      </c>
      <c r="C25" s="790">
        <v>67</v>
      </c>
      <c r="D25" s="791">
        <v>1652</v>
      </c>
    </row>
    <row r="26" spans="1:4" x14ac:dyDescent="0.2">
      <c r="A26" s="788" t="s">
        <v>172</v>
      </c>
      <c r="B26" s="789" t="s">
        <v>496</v>
      </c>
      <c r="C26" s="790">
        <v>28910</v>
      </c>
      <c r="D26" s="791">
        <v>111656</v>
      </c>
    </row>
    <row r="27" spans="1:4" x14ac:dyDescent="0.2">
      <c r="A27" s="788" t="s">
        <v>172</v>
      </c>
      <c r="B27" s="789" t="s">
        <v>519</v>
      </c>
      <c r="C27" s="790">
        <v>6</v>
      </c>
      <c r="D27" s="791">
        <v>86</v>
      </c>
    </row>
    <row r="28" spans="1:4" x14ac:dyDescent="0.2">
      <c r="A28" s="788" t="s">
        <v>172</v>
      </c>
      <c r="B28" s="789" t="s">
        <v>490</v>
      </c>
      <c r="C28" s="790">
        <v>161</v>
      </c>
      <c r="D28" s="791">
        <v>2749</v>
      </c>
    </row>
    <row r="29" spans="1:4" x14ac:dyDescent="0.2">
      <c r="A29" s="788" t="s">
        <v>172</v>
      </c>
      <c r="B29" s="789" t="s">
        <v>491</v>
      </c>
      <c r="C29" s="790">
        <v>1912</v>
      </c>
      <c r="D29" s="791">
        <v>31118</v>
      </c>
    </row>
    <row r="30" spans="1:4" x14ac:dyDescent="0.2">
      <c r="A30" s="788" t="s">
        <v>172</v>
      </c>
      <c r="B30" s="789" t="s">
        <v>520</v>
      </c>
      <c r="C30" s="790">
        <v>4</v>
      </c>
      <c r="D30" s="791">
        <v>219</v>
      </c>
    </row>
    <row r="31" spans="1:4" x14ac:dyDescent="0.2">
      <c r="A31" s="788" t="s">
        <v>172</v>
      </c>
      <c r="B31" s="789" t="s">
        <v>492</v>
      </c>
      <c r="C31" s="790">
        <v>68134</v>
      </c>
      <c r="D31" s="791">
        <v>267647</v>
      </c>
    </row>
    <row r="32" spans="1:4" x14ac:dyDescent="0.2">
      <c r="A32" s="788" t="s">
        <v>172</v>
      </c>
      <c r="B32" s="789" t="s">
        <v>501</v>
      </c>
      <c r="C32" s="790">
        <v>549.99969999999996</v>
      </c>
      <c r="D32" s="791">
        <v>7424</v>
      </c>
    </row>
    <row r="33" spans="1:4" x14ac:dyDescent="0.2">
      <c r="A33" s="788" t="s">
        <v>172</v>
      </c>
      <c r="B33" s="789" t="s">
        <v>522</v>
      </c>
      <c r="C33" s="790">
        <v>1</v>
      </c>
      <c r="D33" s="791">
        <v>80</v>
      </c>
    </row>
    <row r="34" spans="1:4" x14ac:dyDescent="0.2">
      <c r="A34" s="788" t="s">
        <v>172</v>
      </c>
      <c r="B34" s="789" t="s">
        <v>516</v>
      </c>
      <c r="C34" s="790">
        <v>3</v>
      </c>
      <c r="D34" s="791">
        <v>69</v>
      </c>
    </row>
    <row r="35" spans="1:4" x14ac:dyDescent="0.2">
      <c r="A35" s="788" t="s">
        <v>172</v>
      </c>
      <c r="B35" s="789" t="s">
        <v>493</v>
      </c>
      <c r="C35" s="790">
        <v>2662</v>
      </c>
      <c r="D35" s="791">
        <v>70395</v>
      </c>
    </row>
    <row r="36" spans="1:4" x14ac:dyDescent="0.2">
      <c r="A36" s="784" t="s">
        <v>174</v>
      </c>
      <c r="B36" s="785" t="s">
        <v>514</v>
      </c>
      <c r="C36" s="786">
        <v>30</v>
      </c>
      <c r="D36" s="787">
        <v>362</v>
      </c>
    </row>
    <row r="37" spans="1:4" x14ac:dyDescent="0.2">
      <c r="A37" s="788" t="s">
        <v>174</v>
      </c>
      <c r="B37" s="789" t="s">
        <v>523</v>
      </c>
      <c r="C37" s="790">
        <v>12</v>
      </c>
      <c r="D37" s="791">
        <v>14</v>
      </c>
    </row>
    <row r="38" spans="1:4" x14ac:dyDescent="0.2">
      <c r="A38" s="788" t="s">
        <v>174</v>
      </c>
      <c r="B38" s="789" t="s">
        <v>509</v>
      </c>
      <c r="C38" s="790">
        <v>47</v>
      </c>
      <c r="D38" s="791">
        <v>56</v>
      </c>
    </row>
    <row r="39" spans="1:4" x14ac:dyDescent="0.2">
      <c r="A39" s="788" t="s">
        <v>174</v>
      </c>
      <c r="B39" s="789" t="s">
        <v>510</v>
      </c>
      <c r="C39" s="790">
        <v>2</v>
      </c>
      <c r="D39" s="791">
        <v>12</v>
      </c>
    </row>
    <row r="40" spans="1:4" x14ac:dyDescent="0.2">
      <c r="A40" s="788" t="s">
        <v>174</v>
      </c>
      <c r="B40" s="789" t="s">
        <v>517</v>
      </c>
      <c r="C40" s="790">
        <v>55</v>
      </c>
      <c r="D40" s="791">
        <v>868</v>
      </c>
    </row>
    <row r="41" spans="1:4" x14ac:dyDescent="0.2">
      <c r="A41" s="788" t="s">
        <v>174</v>
      </c>
      <c r="B41" s="789" t="s">
        <v>489</v>
      </c>
      <c r="C41" s="790">
        <v>154</v>
      </c>
      <c r="D41" s="791">
        <v>3689</v>
      </c>
    </row>
    <row r="42" spans="1:4" x14ac:dyDescent="0.2">
      <c r="A42" s="788" t="s">
        <v>174</v>
      </c>
      <c r="B42" s="789" t="s">
        <v>496</v>
      </c>
      <c r="C42" s="790">
        <v>18899</v>
      </c>
      <c r="D42" s="791">
        <v>67445</v>
      </c>
    </row>
    <row r="43" spans="1:4" x14ac:dyDescent="0.2">
      <c r="A43" s="788" t="s">
        <v>174</v>
      </c>
      <c r="B43" s="789" t="s">
        <v>504</v>
      </c>
      <c r="C43" s="790">
        <v>50</v>
      </c>
      <c r="D43" s="791">
        <v>208</v>
      </c>
    </row>
    <row r="44" spans="1:4" x14ac:dyDescent="0.2">
      <c r="A44" s="788" t="s">
        <v>174</v>
      </c>
      <c r="B44" s="789" t="s">
        <v>519</v>
      </c>
      <c r="C44" s="790">
        <v>6</v>
      </c>
      <c r="D44" s="791">
        <v>86</v>
      </c>
    </row>
    <row r="45" spans="1:4" x14ac:dyDescent="0.2">
      <c r="A45" s="788" t="s">
        <v>174</v>
      </c>
      <c r="B45" s="789" t="s">
        <v>490</v>
      </c>
      <c r="C45" s="790">
        <v>94</v>
      </c>
      <c r="D45" s="791">
        <v>1371</v>
      </c>
    </row>
    <row r="46" spans="1:4" x14ac:dyDescent="0.2">
      <c r="A46" s="788" t="s">
        <v>174</v>
      </c>
      <c r="B46" s="789" t="s">
        <v>491</v>
      </c>
      <c r="C46" s="790">
        <v>2516</v>
      </c>
      <c r="D46" s="791">
        <v>40977</v>
      </c>
    </row>
    <row r="47" spans="1:4" x14ac:dyDescent="0.2">
      <c r="A47" s="788" t="s">
        <v>174</v>
      </c>
      <c r="B47" s="789" t="s">
        <v>520</v>
      </c>
      <c r="C47" s="790">
        <v>3</v>
      </c>
      <c r="D47" s="791">
        <v>40</v>
      </c>
    </row>
    <row r="48" spans="1:4" x14ac:dyDescent="0.2">
      <c r="A48" s="788" t="s">
        <v>174</v>
      </c>
      <c r="B48" s="789" t="s">
        <v>492</v>
      </c>
      <c r="C48" s="790">
        <v>39956</v>
      </c>
      <c r="D48" s="791">
        <v>153098</v>
      </c>
    </row>
    <row r="49" spans="1:4" x14ac:dyDescent="0.2">
      <c r="A49" s="788" t="s">
        <v>174</v>
      </c>
      <c r="B49" s="789" t="s">
        <v>501</v>
      </c>
      <c r="C49" s="790">
        <v>880.99990000000003</v>
      </c>
      <c r="D49" s="791">
        <v>12165</v>
      </c>
    </row>
    <row r="50" spans="1:4" x14ac:dyDescent="0.2">
      <c r="A50" s="788" t="s">
        <v>174</v>
      </c>
      <c r="B50" s="789" t="s">
        <v>516</v>
      </c>
      <c r="C50" s="790">
        <v>22</v>
      </c>
      <c r="D50" s="791">
        <v>393</v>
      </c>
    </row>
    <row r="51" spans="1:4" x14ac:dyDescent="0.2">
      <c r="A51" s="788" t="s">
        <v>174</v>
      </c>
      <c r="B51" s="789" t="s">
        <v>493</v>
      </c>
      <c r="C51" s="790">
        <v>1009</v>
      </c>
      <c r="D51" s="791">
        <v>34519</v>
      </c>
    </row>
    <row r="52" spans="1:4" x14ac:dyDescent="0.2">
      <c r="A52" s="784" t="s">
        <v>175</v>
      </c>
      <c r="B52" s="785" t="s">
        <v>517</v>
      </c>
      <c r="C52" s="786">
        <v>39</v>
      </c>
      <c r="D52" s="787">
        <v>1338</v>
      </c>
    </row>
    <row r="53" spans="1:4" x14ac:dyDescent="0.2">
      <c r="A53" s="788" t="s">
        <v>175</v>
      </c>
      <c r="B53" s="789" t="s">
        <v>489</v>
      </c>
      <c r="C53" s="790">
        <v>50</v>
      </c>
      <c r="D53" s="791">
        <v>1299</v>
      </c>
    </row>
    <row r="54" spans="1:4" x14ac:dyDescent="0.2">
      <c r="A54" s="788" t="s">
        <v>175</v>
      </c>
      <c r="B54" s="789" t="s">
        <v>496</v>
      </c>
      <c r="C54" s="790">
        <v>2</v>
      </c>
      <c r="D54" s="791">
        <v>3</v>
      </c>
    </row>
    <row r="55" spans="1:4" x14ac:dyDescent="0.2">
      <c r="A55" s="788" t="s">
        <v>175</v>
      </c>
      <c r="B55" s="789" t="s">
        <v>519</v>
      </c>
      <c r="C55" s="790">
        <v>8</v>
      </c>
      <c r="D55" s="791">
        <v>119</v>
      </c>
    </row>
    <row r="56" spans="1:4" x14ac:dyDescent="0.2">
      <c r="A56" s="788" t="s">
        <v>175</v>
      </c>
      <c r="B56" s="789" t="s">
        <v>490</v>
      </c>
      <c r="C56" s="790">
        <v>35</v>
      </c>
      <c r="D56" s="791">
        <v>545</v>
      </c>
    </row>
    <row r="57" spans="1:4" x14ac:dyDescent="0.2">
      <c r="A57" s="788" t="s">
        <v>175</v>
      </c>
      <c r="B57" s="789" t="s">
        <v>525</v>
      </c>
      <c r="C57" s="790">
        <v>2</v>
      </c>
      <c r="D57" s="791">
        <v>68</v>
      </c>
    </row>
    <row r="58" spans="1:4" x14ac:dyDescent="0.2">
      <c r="A58" s="788" t="s">
        <v>175</v>
      </c>
      <c r="B58" s="789" t="s">
        <v>501</v>
      </c>
      <c r="C58" s="790">
        <v>66.999899999999997</v>
      </c>
      <c r="D58" s="791">
        <v>1792</v>
      </c>
    </row>
    <row r="59" spans="1:4" x14ac:dyDescent="0.2">
      <c r="A59" s="788" t="s">
        <v>175</v>
      </c>
      <c r="B59" s="789" t="s">
        <v>522</v>
      </c>
      <c r="C59" s="790">
        <v>1</v>
      </c>
      <c r="D59" s="791">
        <v>52</v>
      </c>
    </row>
    <row r="60" spans="1:4" x14ac:dyDescent="0.2">
      <c r="A60" s="788" t="s">
        <v>175</v>
      </c>
      <c r="B60" s="789" t="s">
        <v>493</v>
      </c>
      <c r="C60" s="790">
        <v>232</v>
      </c>
      <c r="D60" s="791">
        <v>8695</v>
      </c>
    </row>
    <row r="61" spans="1:4" x14ac:dyDescent="0.2">
      <c r="A61" s="784" t="s">
        <v>176</v>
      </c>
      <c r="B61" s="785" t="s">
        <v>514</v>
      </c>
      <c r="C61" s="786">
        <v>170</v>
      </c>
      <c r="D61" s="787">
        <v>2501</v>
      </c>
    </row>
    <row r="62" spans="1:4" x14ac:dyDescent="0.2">
      <c r="A62" s="788" t="s">
        <v>176</v>
      </c>
      <c r="B62" s="789" t="s">
        <v>509</v>
      </c>
      <c r="C62" s="790">
        <v>9</v>
      </c>
      <c r="D62" s="791">
        <v>12</v>
      </c>
    </row>
    <row r="63" spans="1:4" x14ac:dyDescent="0.2">
      <c r="A63" s="788" t="s">
        <v>176</v>
      </c>
      <c r="B63" s="789" t="s">
        <v>513</v>
      </c>
      <c r="C63" s="790">
        <v>9</v>
      </c>
      <c r="D63" s="791">
        <v>52</v>
      </c>
    </row>
    <row r="64" spans="1:4" x14ac:dyDescent="0.2">
      <c r="A64" s="788" t="s">
        <v>176</v>
      </c>
      <c r="B64" s="789" t="s">
        <v>510</v>
      </c>
      <c r="C64" s="790">
        <v>60</v>
      </c>
      <c r="D64" s="791">
        <v>493</v>
      </c>
    </row>
    <row r="65" spans="1:4" x14ac:dyDescent="0.2">
      <c r="A65" s="788" t="s">
        <v>176</v>
      </c>
      <c r="B65" s="789" t="s">
        <v>518</v>
      </c>
      <c r="C65" s="790">
        <v>2</v>
      </c>
      <c r="D65" s="791">
        <v>65</v>
      </c>
    </row>
    <row r="66" spans="1:4" x14ac:dyDescent="0.2">
      <c r="A66" s="788" t="s">
        <v>176</v>
      </c>
      <c r="B66" s="789" t="s">
        <v>515</v>
      </c>
      <c r="C66" s="790">
        <v>1</v>
      </c>
      <c r="D66" s="791">
        <v>6</v>
      </c>
    </row>
    <row r="67" spans="1:4" x14ac:dyDescent="0.2">
      <c r="A67" s="788" t="s">
        <v>176</v>
      </c>
      <c r="B67" s="789" t="s">
        <v>489</v>
      </c>
      <c r="C67" s="790">
        <v>796</v>
      </c>
      <c r="D67" s="791">
        <v>20070</v>
      </c>
    </row>
    <row r="68" spans="1:4" x14ac:dyDescent="0.2">
      <c r="A68" s="788" t="s">
        <v>176</v>
      </c>
      <c r="B68" s="789" t="s">
        <v>496</v>
      </c>
      <c r="C68" s="790">
        <v>42748</v>
      </c>
      <c r="D68" s="791">
        <v>168246</v>
      </c>
    </row>
    <row r="69" spans="1:4" x14ac:dyDescent="0.2">
      <c r="A69" s="788" t="s">
        <v>176</v>
      </c>
      <c r="B69" s="789" t="s">
        <v>504</v>
      </c>
      <c r="C69" s="790">
        <v>37</v>
      </c>
      <c r="D69" s="791">
        <v>149</v>
      </c>
    </row>
    <row r="70" spans="1:4" x14ac:dyDescent="0.2">
      <c r="A70" s="788" t="s">
        <v>176</v>
      </c>
      <c r="B70" s="789" t="s">
        <v>519</v>
      </c>
      <c r="C70" s="790">
        <v>20</v>
      </c>
      <c r="D70" s="791">
        <v>285</v>
      </c>
    </row>
    <row r="71" spans="1:4" x14ac:dyDescent="0.2">
      <c r="A71" s="788" t="s">
        <v>176</v>
      </c>
      <c r="B71" s="789" t="s">
        <v>490</v>
      </c>
      <c r="C71" s="790">
        <v>39</v>
      </c>
      <c r="D71" s="791">
        <v>782</v>
      </c>
    </row>
    <row r="72" spans="1:4" x14ac:dyDescent="0.2">
      <c r="A72" s="788" t="s">
        <v>176</v>
      </c>
      <c r="B72" s="789" t="s">
        <v>520</v>
      </c>
      <c r="C72" s="790">
        <v>2</v>
      </c>
      <c r="D72" s="791">
        <v>32</v>
      </c>
    </row>
    <row r="73" spans="1:4" x14ac:dyDescent="0.2">
      <c r="A73" s="788" t="s">
        <v>176</v>
      </c>
      <c r="B73" s="789" t="s">
        <v>492</v>
      </c>
      <c r="C73" s="790">
        <v>16</v>
      </c>
      <c r="D73" s="791">
        <v>64</v>
      </c>
    </row>
    <row r="74" spans="1:4" x14ac:dyDescent="0.2">
      <c r="A74" s="788" t="s">
        <v>176</v>
      </c>
      <c r="B74" s="789" t="s">
        <v>501</v>
      </c>
      <c r="C74" s="790">
        <v>518</v>
      </c>
      <c r="D74" s="791">
        <v>6167</v>
      </c>
    </row>
    <row r="75" spans="1:4" x14ac:dyDescent="0.2">
      <c r="A75" s="788" t="s">
        <v>176</v>
      </c>
      <c r="B75" s="789" t="s">
        <v>516</v>
      </c>
      <c r="C75" s="790">
        <v>1</v>
      </c>
      <c r="D75" s="791">
        <v>15</v>
      </c>
    </row>
    <row r="76" spans="1:4" x14ac:dyDescent="0.2">
      <c r="A76" s="788" t="s">
        <v>176</v>
      </c>
      <c r="B76" s="789" t="s">
        <v>493</v>
      </c>
      <c r="C76" s="790">
        <v>1180</v>
      </c>
      <c r="D76" s="791">
        <v>40781</v>
      </c>
    </row>
    <row r="77" spans="1:4" x14ac:dyDescent="0.2">
      <c r="A77" s="784" t="s">
        <v>177</v>
      </c>
      <c r="B77" s="785" t="s">
        <v>489</v>
      </c>
      <c r="C77" s="786">
        <v>210</v>
      </c>
      <c r="D77" s="787">
        <v>5391</v>
      </c>
    </row>
    <row r="78" spans="1:4" x14ac:dyDescent="0.2">
      <c r="A78" s="788" t="s">
        <v>177</v>
      </c>
      <c r="B78" s="789" t="s">
        <v>496</v>
      </c>
      <c r="C78" s="790">
        <v>19613</v>
      </c>
      <c r="D78" s="791">
        <v>75718</v>
      </c>
    </row>
    <row r="79" spans="1:4" x14ac:dyDescent="0.2">
      <c r="A79" s="788" t="s">
        <v>177</v>
      </c>
      <c r="B79" s="789" t="s">
        <v>504</v>
      </c>
      <c r="C79" s="790">
        <v>14</v>
      </c>
      <c r="D79" s="791">
        <v>80</v>
      </c>
    </row>
    <row r="80" spans="1:4" x14ac:dyDescent="0.2">
      <c r="A80" s="788" t="s">
        <v>177</v>
      </c>
      <c r="B80" s="789" t="s">
        <v>519</v>
      </c>
      <c r="C80" s="790">
        <v>2</v>
      </c>
      <c r="D80" s="791">
        <v>30</v>
      </c>
    </row>
    <row r="81" spans="1:4" x14ac:dyDescent="0.2">
      <c r="A81" s="788" t="s">
        <v>177</v>
      </c>
      <c r="B81" s="789" t="s">
        <v>490</v>
      </c>
      <c r="C81" s="790">
        <v>93</v>
      </c>
      <c r="D81" s="791">
        <v>1353</v>
      </c>
    </row>
    <row r="82" spans="1:4" x14ac:dyDescent="0.2">
      <c r="A82" s="788" t="s">
        <v>177</v>
      </c>
      <c r="B82" s="789" t="s">
        <v>491</v>
      </c>
      <c r="C82" s="790">
        <v>756</v>
      </c>
      <c r="D82" s="791">
        <v>11632</v>
      </c>
    </row>
    <row r="83" spans="1:4" x14ac:dyDescent="0.2">
      <c r="A83" s="788" t="s">
        <v>177</v>
      </c>
      <c r="B83" s="789" t="s">
        <v>520</v>
      </c>
      <c r="C83" s="790">
        <v>1</v>
      </c>
      <c r="D83" s="791">
        <v>10</v>
      </c>
    </row>
    <row r="84" spans="1:4" x14ac:dyDescent="0.2">
      <c r="A84" s="788" t="s">
        <v>177</v>
      </c>
      <c r="B84" s="789" t="s">
        <v>492</v>
      </c>
      <c r="C84" s="790">
        <v>25416</v>
      </c>
      <c r="D84" s="791">
        <v>99252</v>
      </c>
    </row>
    <row r="85" spans="1:4" x14ac:dyDescent="0.2">
      <c r="A85" s="788" t="s">
        <v>177</v>
      </c>
      <c r="B85" s="789" t="s">
        <v>501</v>
      </c>
      <c r="C85" s="790">
        <v>104.9999</v>
      </c>
      <c r="D85" s="791">
        <v>1638</v>
      </c>
    </row>
    <row r="86" spans="1:4" x14ac:dyDescent="0.2">
      <c r="A86" s="788" t="s">
        <v>177</v>
      </c>
      <c r="B86" s="789" t="s">
        <v>522</v>
      </c>
      <c r="C86" s="790">
        <v>11</v>
      </c>
      <c r="D86" s="791">
        <v>622</v>
      </c>
    </row>
    <row r="87" spans="1:4" x14ac:dyDescent="0.2">
      <c r="A87" s="788" t="s">
        <v>177</v>
      </c>
      <c r="B87" s="789" t="s">
        <v>493</v>
      </c>
      <c r="C87" s="790">
        <v>853</v>
      </c>
      <c r="D87" s="791">
        <v>25766</v>
      </c>
    </row>
    <row r="88" spans="1:4" x14ac:dyDescent="0.2">
      <c r="A88" s="784" t="s">
        <v>178</v>
      </c>
      <c r="B88" s="785" t="s">
        <v>527</v>
      </c>
      <c r="C88" s="786">
        <v>1</v>
      </c>
      <c r="D88" s="787">
        <v>4</v>
      </c>
    </row>
    <row r="89" spans="1:4" x14ac:dyDescent="0.2">
      <c r="A89" s="788" t="s">
        <v>178</v>
      </c>
      <c r="B89" s="789" t="s">
        <v>514</v>
      </c>
      <c r="C89" s="790">
        <v>50</v>
      </c>
      <c r="D89" s="791">
        <v>571</v>
      </c>
    </row>
    <row r="90" spans="1:4" x14ac:dyDescent="0.2">
      <c r="A90" s="788" t="s">
        <v>178</v>
      </c>
      <c r="B90" s="789" t="s">
        <v>523</v>
      </c>
      <c r="C90" s="790">
        <v>32</v>
      </c>
      <c r="D90" s="791">
        <v>108</v>
      </c>
    </row>
    <row r="91" spans="1:4" x14ac:dyDescent="0.2">
      <c r="A91" s="788" t="s">
        <v>178</v>
      </c>
      <c r="B91" s="789" t="s">
        <v>509</v>
      </c>
      <c r="C91" s="790">
        <v>6</v>
      </c>
      <c r="D91" s="791">
        <v>8</v>
      </c>
    </row>
    <row r="92" spans="1:4" x14ac:dyDescent="0.2">
      <c r="A92" s="788" t="s">
        <v>178</v>
      </c>
      <c r="B92" s="789" t="s">
        <v>510</v>
      </c>
      <c r="C92" s="790">
        <v>39</v>
      </c>
      <c r="D92" s="791">
        <v>319</v>
      </c>
    </row>
    <row r="93" spans="1:4" x14ac:dyDescent="0.2">
      <c r="A93" s="788" t="s">
        <v>178</v>
      </c>
      <c r="B93" s="789" t="s">
        <v>518</v>
      </c>
      <c r="C93" s="790">
        <v>3</v>
      </c>
      <c r="D93" s="791">
        <v>24</v>
      </c>
    </row>
    <row r="94" spans="1:4" x14ac:dyDescent="0.2">
      <c r="A94" s="788" t="s">
        <v>178</v>
      </c>
      <c r="B94" s="789" t="s">
        <v>515</v>
      </c>
      <c r="C94" s="790">
        <v>1</v>
      </c>
      <c r="D94" s="791">
        <v>2</v>
      </c>
    </row>
    <row r="95" spans="1:4" x14ac:dyDescent="0.2">
      <c r="A95" s="788" t="s">
        <v>178</v>
      </c>
      <c r="B95" s="789" t="s">
        <v>489</v>
      </c>
      <c r="C95" s="790">
        <v>449</v>
      </c>
      <c r="D95" s="791">
        <v>9370</v>
      </c>
    </row>
    <row r="96" spans="1:4" x14ac:dyDescent="0.2">
      <c r="A96" s="788" t="s">
        <v>178</v>
      </c>
      <c r="B96" s="789" t="s">
        <v>496</v>
      </c>
      <c r="C96" s="790">
        <v>12286</v>
      </c>
      <c r="D96" s="791">
        <v>45341</v>
      </c>
    </row>
    <row r="97" spans="1:4" x14ac:dyDescent="0.2">
      <c r="A97" s="788" t="s">
        <v>178</v>
      </c>
      <c r="B97" s="789" t="s">
        <v>504</v>
      </c>
      <c r="C97" s="790">
        <v>27</v>
      </c>
      <c r="D97" s="791">
        <v>146</v>
      </c>
    </row>
    <row r="98" spans="1:4" x14ac:dyDescent="0.2">
      <c r="A98" s="788" t="s">
        <v>178</v>
      </c>
      <c r="B98" s="789" t="s">
        <v>519</v>
      </c>
      <c r="C98" s="790">
        <v>6</v>
      </c>
      <c r="D98" s="791">
        <v>74</v>
      </c>
    </row>
    <row r="99" spans="1:4" x14ac:dyDescent="0.2">
      <c r="A99" s="788" t="s">
        <v>178</v>
      </c>
      <c r="B99" s="789" t="s">
        <v>490</v>
      </c>
      <c r="C99" s="790">
        <v>36</v>
      </c>
      <c r="D99" s="791">
        <v>503</v>
      </c>
    </row>
    <row r="100" spans="1:4" x14ac:dyDescent="0.2">
      <c r="A100" s="788" t="s">
        <v>178</v>
      </c>
      <c r="B100" s="789" t="s">
        <v>491</v>
      </c>
      <c r="C100" s="790">
        <v>794</v>
      </c>
      <c r="D100" s="791">
        <v>12000</v>
      </c>
    </row>
    <row r="101" spans="1:4" x14ac:dyDescent="0.2">
      <c r="A101" s="788" t="s">
        <v>178</v>
      </c>
      <c r="B101" s="789" t="s">
        <v>525</v>
      </c>
      <c r="C101" s="790">
        <v>6</v>
      </c>
      <c r="D101" s="791">
        <v>117</v>
      </c>
    </row>
    <row r="102" spans="1:4" x14ac:dyDescent="0.2">
      <c r="A102" s="788" t="s">
        <v>178</v>
      </c>
      <c r="B102" s="789" t="s">
        <v>520</v>
      </c>
      <c r="C102" s="790">
        <v>1</v>
      </c>
      <c r="D102" s="791">
        <v>15</v>
      </c>
    </row>
    <row r="103" spans="1:4" x14ac:dyDescent="0.2">
      <c r="A103" s="788" t="s">
        <v>178</v>
      </c>
      <c r="B103" s="789" t="s">
        <v>492</v>
      </c>
      <c r="C103" s="790">
        <v>27871</v>
      </c>
      <c r="D103" s="791">
        <v>109156</v>
      </c>
    </row>
    <row r="104" spans="1:4" x14ac:dyDescent="0.2">
      <c r="A104" s="788" t="s">
        <v>178</v>
      </c>
      <c r="B104" s="789" t="s">
        <v>501</v>
      </c>
      <c r="C104" s="790">
        <v>472</v>
      </c>
      <c r="D104" s="791">
        <v>4627</v>
      </c>
    </row>
    <row r="105" spans="1:4" x14ac:dyDescent="0.2">
      <c r="A105" s="788" t="s">
        <v>178</v>
      </c>
      <c r="B105" s="789" t="s">
        <v>516</v>
      </c>
      <c r="C105" s="790">
        <v>3</v>
      </c>
      <c r="D105" s="791">
        <v>49</v>
      </c>
    </row>
    <row r="106" spans="1:4" x14ac:dyDescent="0.2">
      <c r="A106" s="788" t="s">
        <v>178</v>
      </c>
      <c r="B106" s="789" t="s">
        <v>493</v>
      </c>
      <c r="C106" s="790">
        <v>510</v>
      </c>
      <c r="D106" s="791">
        <v>12125</v>
      </c>
    </row>
    <row r="107" spans="1:4" x14ac:dyDescent="0.2">
      <c r="A107" s="784" t="s">
        <v>179</v>
      </c>
      <c r="B107" s="785" t="s">
        <v>514</v>
      </c>
      <c r="C107" s="786">
        <v>1</v>
      </c>
      <c r="D107" s="787">
        <v>3</v>
      </c>
    </row>
    <row r="108" spans="1:4" x14ac:dyDescent="0.2">
      <c r="A108" s="788" t="s">
        <v>179</v>
      </c>
      <c r="B108" s="789" t="s">
        <v>509</v>
      </c>
      <c r="C108" s="790">
        <v>1</v>
      </c>
      <c r="D108" s="791">
        <v>1</v>
      </c>
    </row>
    <row r="109" spans="1:4" x14ac:dyDescent="0.2">
      <c r="A109" s="788" t="s">
        <v>179</v>
      </c>
      <c r="B109" s="789" t="s">
        <v>510</v>
      </c>
      <c r="C109" s="790">
        <v>7</v>
      </c>
      <c r="D109" s="791">
        <v>127</v>
      </c>
    </row>
    <row r="110" spans="1:4" x14ac:dyDescent="0.2">
      <c r="A110" s="788" t="s">
        <v>179</v>
      </c>
      <c r="B110" s="789" t="s">
        <v>517</v>
      </c>
      <c r="C110" s="790">
        <v>1</v>
      </c>
      <c r="D110" s="791">
        <v>19</v>
      </c>
    </row>
    <row r="111" spans="1:4" x14ac:dyDescent="0.2">
      <c r="A111" s="788" t="s">
        <v>179</v>
      </c>
      <c r="B111" s="789" t="s">
        <v>489</v>
      </c>
      <c r="C111" s="790">
        <v>282</v>
      </c>
      <c r="D111" s="791">
        <v>6990</v>
      </c>
    </row>
    <row r="112" spans="1:4" x14ac:dyDescent="0.2">
      <c r="A112" s="788" t="s">
        <v>179</v>
      </c>
      <c r="B112" s="789" t="s">
        <v>496</v>
      </c>
      <c r="C112" s="790">
        <v>12187</v>
      </c>
      <c r="D112" s="791">
        <v>47925</v>
      </c>
    </row>
    <row r="113" spans="1:4" x14ac:dyDescent="0.2">
      <c r="A113" s="788" t="s">
        <v>179</v>
      </c>
      <c r="B113" s="789" t="s">
        <v>504</v>
      </c>
      <c r="C113" s="790">
        <v>35</v>
      </c>
      <c r="D113" s="791">
        <v>196</v>
      </c>
    </row>
    <row r="114" spans="1:4" x14ac:dyDescent="0.2">
      <c r="A114" s="788" t="s">
        <v>179</v>
      </c>
      <c r="B114" s="789" t="s">
        <v>519</v>
      </c>
      <c r="C114" s="790">
        <v>12</v>
      </c>
      <c r="D114" s="791">
        <v>145</v>
      </c>
    </row>
    <row r="115" spans="1:4" x14ac:dyDescent="0.2">
      <c r="A115" s="788" t="s">
        <v>179</v>
      </c>
      <c r="B115" s="789" t="s">
        <v>490</v>
      </c>
      <c r="C115" s="790">
        <v>121</v>
      </c>
      <c r="D115" s="791">
        <v>2105</v>
      </c>
    </row>
    <row r="116" spans="1:4" x14ac:dyDescent="0.2">
      <c r="A116" s="788" t="s">
        <v>179</v>
      </c>
      <c r="B116" s="789" t="s">
        <v>491</v>
      </c>
      <c r="C116" s="790">
        <v>2030</v>
      </c>
      <c r="D116" s="791">
        <v>33340</v>
      </c>
    </row>
    <row r="117" spans="1:4" x14ac:dyDescent="0.2">
      <c r="A117" s="788" t="s">
        <v>179</v>
      </c>
      <c r="B117" s="789" t="s">
        <v>520</v>
      </c>
      <c r="C117" s="790">
        <v>3</v>
      </c>
      <c r="D117" s="791">
        <v>45</v>
      </c>
    </row>
    <row r="118" spans="1:4" x14ac:dyDescent="0.2">
      <c r="A118" s="788" t="s">
        <v>179</v>
      </c>
      <c r="B118" s="789" t="s">
        <v>492</v>
      </c>
      <c r="C118" s="790">
        <v>34092</v>
      </c>
      <c r="D118" s="791">
        <v>134285</v>
      </c>
    </row>
    <row r="119" spans="1:4" x14ac:dyDescent="0.2">
      <c r="A119" s="788" t="s">
        <v>179</v>
      </c>
      <c r="B119" s="789" t="s">
        <v>501</v>
      </c>
      <c r="C119" s="790">
        <v>452.99990000000003</v>
      </c>
      <c r="D119" s="791">
        <v>8048</v>
      </c>
    </row>
    <row r="120" spans="1:4" x14ac:dyDescent="0.2">
      <c r="A120" s="788" t="s">
        <v>179</v>
      </c>
      <c r="B120" s="789" t="s">
        <v>493</v>
      </c>
      <c r="C120" s="790">
        <v>1549</v>
      </c>
      <c r="D120" s="791">
        <v>41307</v>
      </c>
    </row>
    <row r="121" spans="1:4" x14ac:dyDescent="0.2">
      <c r="A121" s="784" t="s">
        <v>180</v>
      </c>
      <c r="B121" s="785" t="s">
        <v>514</v>
      </c>
      <c r="C121" s="786">
        <v>306</v>
      </c>
      <c r="D121" s="787">
        <v>4963</v>
      </c>
    </row>
    <row r="122" spans="1:4" x14ac:dyDescent="0.2">
      <c r="A122" s="788" t="s">
        <v>180</v>
      </c>
      <c r="B122" s="789" t="s">
        <v>523</v>
      </c>
      <c r="C122" s="790">
        <v>43</v>
      </c>
      <c r="D122" s="791">
        <v>126</v>
      </c>
    </row>
    <row r="123" spans="1:4" x14ac:dyDescent="0.2">
      <c r="A123" s="788" t="s">
        <v>180</v>
      </c>
      <c r="B123" s="789" t="s">
        <v>510</v>
      </c>
      <c r="C123" s="790">
        <v>23</v>
      </c>
      <c r="D123" s="791">
        <v>299</v>
      </c>
    </row>
    <row r="124" spans="1:4" x14ac:dyDescent="0.2">
      <c r="A124" s="788" t="s">
        <v>180</v>
      </c>
      <c r="B124" s="789" t="s">
        <v>518</v>
      </c>
      <c r="C124" s="790">
        <v>2</v>
      </c>
      <c r="D124" s="791">
        <v>96</v>
      </c>
    </row>
    <row r="125" spans="1:4" x14ac:dyDescent="0.2">
      <c r="A125" s="788" t="s">
        <v>180</v>
      </c>
      <c r="B125" s="789" t="s">
        <v>515</v>
      </c>
      <c r="C125" s="790">
        <v>11</v>
      </c>
      <c r="D125" s="791">
        <v>274</v>
      </c>
    </row>
    <row r="126" spans="1:4" x14ac:dyDescent="0.2">
      <c r="A126" s="788" t="s">
        <v>180</v>
      </c>
      <c r="B126" s="789" t="s">
        <v>528</v>
      </c>
      <c r="C126" s="790">
        <v>2</v>
      </c>
      <c r="D126" s="791">
        <v>13</v>
      </c>
    </row>
    <row r="127" spans="1:4" x14ac:dyDescent="0.2">
      <c r="A127" s="788" t="s">
        <v>180</v>
      </c>
      <c r="B127" s="789" t="s">
        <v>489</v>
      </c>
      <c r="C127" s="790">
        <v>781</v>
      </c>
      <c r="D127" s="791">
        <v>19887</v>
      </c>
    </row>
    <row r="128" spans="1:4" x14ac:dyDescent="0.2">
      <c r="A128" s="788" t="s">
        <v>180</v>
      </c>
      <c r="B128" s="789" t="s">
        <v>496</v>
      </c>
      <c r="C128" s="790">
        <v>22928</v>
      </c>
      <c r="D128" s="791">
        <v>89145</v>
      </c>
    </row>
    <row r="129" spans="1:4" x14ac:dyDescent="0.2">
      <c r="A129" s="788" t="s">
        <v>180</v>
      </c>
      <c r="B129" s="789" t="s">
        <v>504</v>
      </c>
      <c r="C129" s="790">
        <v>21</v>
      </c>
      <c r="D129" s="791">
        <v>95</v>
      </c>
    </row>
    <row r="130" spans="1:4" x14ac:dyDescent="0.2">
      <c r="A130" s="788" t="s">
        <v>180</v>
      </c>
      <c r="B130" s="789" t="s">
        <v>519</v>
      </c>
      <c r="C130" s="790">
        <v>1</v>
      </c>
      <c r="D130" s="791">
        <v>15</v>
      </c>
    </row>
    <row r="131" spans="1:4" x14ac:dyDescent="0.2">
      <c r="A131" s="788" t="s">
        <v>180</v>
      </c>
      <c r="B131" s="789" t="s">
        <v>490</v>
      </c>
      <c r="C131" s="790">
        <v>49</v>
      </c>
      <c r="D131" s="791">
        <v>765</v>
      </c>
    </row>
    <row r="132" spans="1:4" x14ac:dyDescent="0.2">
      <c r="A132" s="788" t="s">
        <v>180</v>
      </c>
      <c r="B132" s="789" t="s">
        <v>491</v>
      </c>
      <c r="C132" s="790">
        <v>830</v>
      </c>
      <c r="D132" s="791">
        <v>13519</v>
      </c>
    </row>
    <row r="133" spans="1:4" x14ac:dyDescent="0.2">
      <c r="A133" s="788" t="s">
        <v>180</v>
      </c>
      <c r="B133" s="789" t="s">
        <v>520</v>
      </c>
      <c r="C133" s="790">
        <v>3</v>
      </c>
      <c r="D133" s="791">
        <v>57</v>
      </c>
    </row>
    <row r="134" spans="1:4" x14ac:dyDescent="0.2">
      <c r="A134" s="788" t="s">
        <v>180</v>
      </c>
      <c r="B134" s="789" t="s">
        <v>492</v>
      </c>
      <c r="C134" s="790">
        <v>21679</v>
      </c>
      <c r="D134" s="791">
        <v>85778</v>
      </c>
    </row>
    <row r="135" spans="1:4" x14ac:dyDescent="0.2">
      <c r="A135" s="788" t="s">
        <v>180</v>
      </c>
      <c r="B135" s="789" t="s">
        <v>501</v>
      </c>
      <c r="C135" s="790">
        <v>104.9999</v>
      </c>
      <c r="D135" s="791">
        <v>1304</v>
      </c>
    </row>
    <row r="136" spans="1:4" x14ac:dyDescent="0.2">
      <c r="A136" s="788" t="s">
        <v>180</v>
      </c>
      <c r="B136" s="789" t="s">
        <v>516</v>
      </c>
      <c r="C136" s="790">
        <v>1</v>
      </c>
      <c r="D136" s="791">
        <v>20</v>
      </c>
    </row>
    <row r="137" spans="1:4" x14ac:dyDescent="0.2">
      <c r="A137" s="788" t="s">
        <v>180</v>
      </c>
      <c r="B137" s="789" t="s">
        <v>493</v>
      </c>
      <c r="C137" s="790">
        <v>915</v>
      </c>
      <c r="D137" s="791">
        <v>20774</v>
      </c>
    </row>
    <row r="138" spans="1:4" x14ac:dyDescent="0.2">
      <c r="A138" s="784" t="s">
        <v>181</v>
      </c>
      <c r="B138" s="785" t="s">
        <v>514</v>
      </c>
      <c r="C138" s="786">
        <v>32</v>
      </c>
      <c r="D138" s="787">
        <v>540</v>
      </c>
    </row>
    <row r="139" spans="1:4" x14ac:dyDescent="0.2">
      <c r="A139" s="788" t="s">
        <v>181</v>
      </c>
      <c r="B139" s="789" t="s">
        <v>513</v>
      </c>
      <c r="C139" s="790">
        <v>4</v>
      </c>
      <c r="D139" s="791">
        <v>29</v>
      </c>
    </row>
    <row r="140" spans="1:4" x14ac:dyDescent="0.2">
      <c r="A140" s="788" t="s">
        <v>181</v>
      </c>
      <c r="B140" s="789" t="s">
        <v>510</v>
      </c>
      <c r="C140" s="790">
        <v>2</v>
      </c>
      <c r="D140" s="791">
        <v>14</v>
      </c>
    </row>
    <row r="141" spans="1:4" x14ac:dyDescent="0.2">
      <c r="A141" s="788" t="s">
        <v>181</v>
      </c>
      <c r="B141" s="789" t="s">
        <v>515</v>
      </c>
      <c r="C141" s="790">
        <v>4</v>
      </c>
      <c r="D141" s="791">
        <v>39</v>
      </c>
    </row>
    <row r="142" spans="1:4" x14ac:dyDescent="0.2">
      <c r="A142" s="788" t="s">
        <v>181</v>
      </c>
      <c r="B142" s="789" t="s">
        <v>489</v>
      </c>
      <c r="C142" s="790">
        <v>353</v>
      </c>
      <c r="D142" s="791">
        <v>9172</v>
      </c>
    </row>
    <row r="143" spans="1:4" x14ac:dyDescent="0.2">
      <c r="A143" s="788" t="s">
        <v>181</v>
      </c>
      <c r="B143" s="789" t="s">
        <v>496</v>
      </c>
      <c r="C143" s="790">
        <v>5068</v>
      </c>
      <c r="D143" s="791">
        <v>19945</v>
      </c>
    </row>
    <row r="144" spans="1:4" x14ac:dyDescent="0.2">
      <c r="A144" s="788" t="s">
        <v>181</v>
      </c>
      <c r="B144" s="789" t="s">
        <v>504</v>
      </c>
      <c r="C144" s="790">
        <v>35</v>
      </c>
      <c r="D144" s="791">
        <v>158</v>
      </c>
    </row>
    <row r="145" spans="1:4" x14ac:dyDescent="0.2">
      <c r="A145" s="788" t="s">
        <v>181</v>
      </c>
      <c r="B145" s="789" t="s">
        <v>519</v>
      </c>
      <c r="C145" s="790">
        <v>4</v>
      </c>
      <c r="D145" s="791">
        <v>43</v>
      </c>
    </row>
    <row r="146" spans="1:4" x14ac:dyDescent="0.2">
      <c r="A146" s="788" t="s">
        <v>181</v>
      </c>
      <c r="B146" s="789" t="s">
        <v>490</v>
      </c>
      <c r="C146" s="790">
        <v>85</v>
      </c>
      <c r="D146" s="791">
        <v>1227</v>
      </c>
    </row>
    <row r="147" spans="1:4" x14ac:dyDescent="0.2">
      <c r="A147" s="788" t="s">
        <v>181</v>
      </c>
      <c r="B147" s="789" t="s">
        <v>491</v>
      </c>
      <c r="C147" s="790">
        <v>410</v>
      </c>
      <c r="D147" s="791">
        <v>6644</v>
      </c>
    </row>
    <row r="148" spans="1:4" x14ac:dyDescent="0.2">
      <c r="A148" s="788" t="s">
        <v>181</v>
      </c>
      <c r="B148" s="789" t="s">
        <v>525</v>
      </c>
      <c r="C148" s="790">
        <v>1</v>
      </c>
      <c r="D148" s="791">
        <v>20</v>
      </c>
    </row>
    <row r="149" spans="1:4" x14ac:dyDescent="0.2">
      <c r="A149" s="788" t="s">
        <v>181</v>
      </c>
      <c r="B149" s="789" t="s">
        <v>492</v>
      </c>
      <c r="C149" s="790">
        <v>18865</v>
      </c>
      <c r="D149" s="791">
        <v>74763</v>
      </c>
    </row>
    <row r="150" spans="1:4" x14ac:dyDescent="0.2">
      <c r="A150" s="788" t="s">
        <v>181</v>
      </c>
      <c r="B150" s="789" t="s">
        <v>501</v>
      </c>
      <c r="C150" s="790">
        <v>386</v>
      </c>
      <c r="D150" s="791">
        <v>4849</v>
      </c>
    </row>
    <row r="151" spans="1:4" x14ac:dyDescent="0.2">
      <c r="A151" s="788" t="s">
        <v>181</v>
      </c>
      <c r="B151" s="789" t="s">
        <v>516</v>
      </c>
      <c r="C151" s="790">
        <v>6</v>
      </c>
      <c r="D151" s="791">
        <v>87</v>
      </c>
    </row>
    <row r="152" spans="1:4" x14ac:dyDescent="0.2">
      <c r="A152" s="788" t="s">
        <v>181</v>
      </c>
      <c r="B152" s="789" t="s">
        <v>493</v>
      </c>
      <c r="C152" s="790">
        <v>607</v>
      </c>
      <c r="D152" s="791">
        <v>12068</v>
      </c>
    </row>
    <row r="153" spans="1:4" x14ac:dyDescent="0.2">
      <c r="A153" s="784" t="s">
        <v>182</v>
      </c>
      <c r="B153" s="785" t="s">
        <v>514</v>
      </c>
      <c r="C153" s="786">
        <v>1</v>
      </c>
      <c r="D153" s="787">
        <v>13</v>
      </c>
    </row>
    <row r="154" spans="1:4" x14ac:dyDescent="0.2">
      <c r="A154" s="788" t="s">
        <v>182</v>
      </c>
      <c r="B154" s="789" t="s">
        <v>509</v>
      </c>
      <c r="C154" s="790">
        <v>1</v>
      </c>
      <c r="D154" s="791">
        <v>1</v>
      </c>
    </row>
    <row r="155" spans="1:4" x14ac:dyDescent="0.2">
      <c r="A155" s="788" t="s">
        <v>182</v>
      </c>
      <c r="B155" s="789" t="s">
        <v>510</v>
      </c>
      <c r="C155" s="790">
        <v>5</v>
      </c>
      <c r="D155" s="791">
        <v>25</v>
      </c>
    </row>
    <row r="156" spans="1:4" x14ac:dyDescent="0.2">
      <c r="A156" s="788" t="s">
        <v>182</v>
      </c>
      <c r="B156" s="789" t="s">
        <v>518</v>
      </c>
      <c r="C156" s="790">
        <v>1</v>
      </c>
      <c r="D156" s="791">
        <v>2</v>
      </c>
    </row>
    <row r="157" spans="1:4" x14ac:dyDescent="0.2">
      <c r="A157" s="788" t="s">
        <v>182</v>
      </c>
      <c r="B157" s="789" t="s">
        <v>489</v>
      </c>
      <c r="C157" s="790">
        <v>452</v>
      </c>
      <c r="D157" s="791">
        <v>9009</v>
      </c>
    </row>
    <row r="158" spans="1:4" x14ac:dyDescent="0.2">
      <c r="A158" s="788" t="s">
        <v>182</v>
      </c>
      <c r="B158" s="789" t="s">
        <v>496</v>
      </c>
      <c r="C158" s="790">
        <v>8760</v>
      </c>
      <c r="D158" s="791">
        <v>33352</v>
      </c>
    </row>
    <row r="159" spans="1:4" x14ac:dyDescent="0.2">
      <c r="A159" s="788" t="s">
        <v>182</v>
      </c>
      <c r="B159" s="789" t="s">
        <v>504</v>
      </c>
      <c r="C159" s="790">
        <v>315</v>
      </c>
      <c r="D159" s="791">
        <v>1691</v>
      </c>
    </row>
    <row r="160" spans="1:4" x14ac:dyDescent="0.2">
      <c r="A160" s="788" t="s">
        <v>182</v>
      </c>
      <c r="B160" s="789" t="s">
        <v>519</v>
      </c>
      <c r="C160" s="790">
        <v>3</v>
      </c>
      <c r="D160" s="791">
        <v>44</v>
      </c>
    </row>
    <row r="161" spans="1:4" x14ac:dyDescent="0.2">
      <c r="A161" s="788" t="s">
        <v>182</v>
      </c>
      <c r="B161" s="789" t="s">
        <v>490</v>
      </c>
      <c r="C161" s="790">
        <v>40</v>
      </c>
      <c r="D161" s="791">
        <v>464</v>
      </c>
    </row>
    <row r="162" spans="1:4" x14ac:dyDescent="0.2">
      <c r="A162" s="788" t="s">
        <v>182</v>
      </c>
      <c r="B162" s="789" t="s">
        <v>491</v>
      </c>
      <c r="C162" s="790">
        <v>102</v>
      </c>
      <c r="D162" s="791">
        <v>1098</v>
      </c>
    </row>
    <row r="163" spans="1:4" x14ac:dyDescent="0.2">
      <c r="A163" s="788" t="s">
        <v>182</v>
      </c>
      <c r="B163" s="789" t="s">
        <v>520</v>
      </c>
      <c r="C163" s="790">
        <v>1</v>
      </c>
      <c r="D163" s="791">
        <v>20</v>
      </c>
    </row>
    <row r="164" spans="1:4" x14ac:dyDescent="0.2">
      <c r="A164" s="788" t="s">
        <v>182</v>
      </c>
      <c r="B164" s="789" t="s">
        <v>492</v>
      </c>
      <c r="C164" s="790">
        <v>6599</v>
      </c>
      <c r="D164" s="791">
        <v>25668</v>
      </c>
    </row>
    <row r="165" spans="1:4" x14ac:dyDescent="0.2">
      <c r="A165" s="788" t="s">
        <v>182</v>
      </c>
      <c r="B165" s="789" t="s">
        <v>501</v>
      </c>
      <c r="C165" s="790">
        <v>772</v>
      </c>
      <c r="D165" s="791">
        <v>12500</v>
      </c>
    </row>
    <row r="166" spans="1:4" x14ac:dyDescent="0.2">
      <c r="A166" s="788" t="s">
        <v>182</v>
      </c>
      <c r="B166" s="789" t="s">
        <v>516</v>
      </c>
      <c r="C166" s="790">
        <v>1</v>
      </c>
      <c r="D166" s="791">
        <v>12</v>
      </c>
    </row>
    <row r="167" spans="1:4" x14ac:dyDescent="0.2">
      <c r="A167" s="788" t="s">
        <v>182</v>
      </c>
      <c r="B167" s="789" t="s">
        <v>493</v>
      </c>
      <c r="C167" s="790">
        <v>328</v>
      </c>
      <c r="D167" s="791">
        <v>8588</v>
      </c>
    </row>
    <row r="168" spans="1:4" ht="27" customHeight="1" x14ac:dyDescent="0.2">
      <c r="A168" s="1292" t="s">
        <v>29</v>
      </c>
      <c r="B168" s="1292"/>
      <c r="C168" s="792">
        <f>SUM(C7:C167)</f>
        <v>469404.99919999996</v>
      </c>
      <c r="D168" s="793">
        <f>SUM(D7:D167)</f>
        <v>2335335</v>
      </c>
    </row>
  </sheetData>
  <sheetProtection password="9C8D" sheet="1" objects="1" scenarios="1"/>
  <mergeCells count="5">
    <mergeCell ref="A1:D1"/>
    <mergeCell ref="A2:D2"/>
    <mergeCell ref="A3:D3"/>
    <mergeCell ref="A5:D5"/>
    <mergeCell ref="A168:B168"/>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indowProtection="1" showGridLines="0" workbookViewId="0">
      <selection activeCell="E6" sqref="E6"/>
    </sheetView>
  </sheetViews>
  <sheetFormatPr defaultRowHeight="12.75" x14ac:dyDescent="0.2"/>
  <cols>
    <col min="1" max="1" width="47.7109375" customWidth="1"/>
    <col min="2" max="2" width="11" customWidth="1"/>
    <col min="3" max="3" width="12" customWidth="1"/>
    <col min="4" max="4" width="12.140625" customWidth="1"/>
    <col min="5" max="5" width="9.28515625" bestFit="1" customWidth="1"/>
  </cols>
  <sheetData>
    <row r="1" spans="1:7" ht="18" customHeight="1" x14ac:dyDescent="0.2">
      <c r="A1" s="1209" t="s">
        <v>68</v>
      </c>
      <c r="B1" s="1209"/>
      <c r="C1" s="1209"/>
      <c r="D1" s="1209"/>
    </row>
    <row r="2" spans="1:7" ht="18" customHeight="1" x14ac:dyDescent="0.2">
      <c r="A2" s="1188" t="s">
        <v>69</v>
      </c>
      <c r="B2" s="1188"/>
      <c r="C2" s="1188"/>
      <c r="D2" s="1188"/>
    </row>
    <row r="3" spans="1:7" ht="18" customHeight="1" x14ac:dyDescent="0.2">
      <c r="A3" s="1188" t="str">
        <f>[4]Dados!A18</f>
        <v>Exercício de 2015</v>
      </c>
      <c r="B3" s="1188"/>
      <c r="C3" s="1188"/>
      <c r="D3" s="1188"/>
    </row>
    <row r="4" spans="1:7" x14ac:dyDescent="0.2">
      <c r="A4" s="98"/>
      <c r="B4" s="98"/>
      <c r="C4" s="98"/>
      <c r="D4" s="99"/>
    </row>
    <row r="5" spans="1:7" x14ac:dyDescent="0.2">
      <c r="A5" s="1229" t="s">
        <v>1</v>
      </c>
      <c r="B5" s="1229"/>
      <c r="C5" s="1229"/>
      <c r="D5" s="1229"/>
    </row>
    <row r="6" spans="1:7" ht="27" customHeight="1" x14ac:dyDescent="0.2">
      <c r="A6" s="6" t="s">
        <v>34</v>
      </c>
      <c r="B6" s="6" t="s">
        <v>7</v>
      </c>
      <c r="C6" s="6" t="s">
        <v>35</v>
      </c>
      <c r="D6" s="6" t="s">
        <v>36</v>
      </c>
      <c r="E6" s="58"/>
    </row>
    <row r="7" spans="1:7" ht="15.95" customHeight="1" x14ac:dyDescent="0.2">
      <c r="A7" s="100" t="s">
        <v>70</v>
      </c>
      <c r="B7" s="101">
        <v>36448</v>
      </c>
      <c r="C7" s="102">
        <f>IF($B$24=0,0,ROUND(B7/$B$24*100,1))+0.1</f>
        <v>29.200000000000003</v>
      </c>
      <c r="D7" s="102">
        <f>IF('[4]2'!$D$37=0,0,ROUND(+B7/'[4]2'!$D$37*100,1))</f>
        <v>0.3</v>
      </c>
      <c r="E7" s="103"/>
      <c r="G7" s="104"/>
    </row>
    <row r="8" spans="1:7" ht="15.95" customHeight="1" x14ac:dyDescent="0.2">
      <c r="A8" s="105" t="s">
        <v>39</v>
      </c>
      <c r="B8" s="101">
        <v>45</v>
      </c>
      <c r="C8" s="102">
        <f t="shared" ref="C8:C23" si="0">IF($B$24=0,0,ROUND(B8/$B$24*100,1))</f>
        <v>0</v>
      </c>
      <c r="D8" s="102">
        <f>IF('[4]2'!$D$37=0,0,ROUND(+B8/'[4]2'!$D$37*100,1))</f>
        <v>0</v>
      </c>
      <c r="E8" s="103"/>
    </row>
    <row r="9" spans="1:7" ht="15.95" customHeight="1" x14ac:dyDescent="0.2">
      <c r="A9" s="105" t="s">
        <v>71</v>
      </c>
      <c r="B9" s="101">
        <v>285</v>
      </c>
      <c r="C9" s="102">
        <f t="shared" si="0"/>
        <v>0.2</v>
      </c>
      <c r="D9" s="102">
        <f>IF('[4]2'!$D$37=0,0,ROUND(+B9/'[4]2'!$D$37*100,1))</f>
        <v>0</v>
      </c>
      <c r="E9" s="103"/>
    </row>
    <row r="10" spans="1:7" ht="15.95" customHeight="1" x14ac:dyDescent="0.2">
      <c r="A10" s="105" t="s">
        <v>72</v>
      </c>
      <c r="B10" s="101">
        <v>5121</v>
      </c>
      <c r="C10" s="102">
        <f t="shared" si="0"/>
        <v>4.0999999999999996</v>
      </c>
      <c r="D10" s="102">
        <f>IF('[4]2'!$D$37=0,0,ROUND(+B10/'[4]2'!$D$37*100,1))</f>
        <v>0</v>
      </c>
      <c r="E10" s="103"/>
    </row>
    <row r="11" spans="1:7" ht="15.95" customHeight="1" x14ac:dyDescent="0.2">
      <c r="A11" s="105" t="s">
        <v>73</v>
      </c>
      <c r="B11" s="101">
        <v>1286</v>
      </c>
      <c r="C11" s="102">
        <f t="shared" si="0"/>
        <v>1</v>
      </c>
      <c r="D11" s="102">
        <f>IF('[4]2'!$D$37=0,0,ROUND(+B11/'[4]2'!$D$37*100,1))</f>
        <v>0</v>
      </c>
      <c r="E11" s="103"/>
    </row>
    <row r="12" spans="1:7" ht="15.95" customHeight="1" x14ac:dyDescent="0.2">
      <c r="A12" s="105" t="s">
        <v>74</v>
      </c>
      <c r="B12" s="101">
        <v>5611</v>
      </c>
      <c r="C12" s="102">
        <f t="shared" si="0"/>
        <v>4.5</v>
      </c>
      <c r="D12" s="102">
        <f>IF('[4]2'!$D$37=0,0,ROUND(+B12/'[4]2'!$D$37*100,1))</f>
        <v>0</v>
      </c>
      <c r="E12" s="103"/>
    </row>
    <row r="13" spans="1:7" ht="15.95" customHeight="1" x14ac:dyDescent="0.2">
      <c r="A13" s="105" t="s">
        <v>75</v>
      </c>
      <c r="B13" s="101">
        <v>4658</v>
      </c>
      <c r="C13" s="102">
        <f t="shared" si="0"/>
        <v>3.7</v>
      </c>
      <c r="D13" s="102">
        <f>IF('[4]2'!$D$37=0,0,ROUND(+B13/'[4]2'!$D$37*100,1))</f>
        <v>0</v>
      </c>
      <c r="E13" s="103"/>
    </row>
    <row r="14" spans="1:7" ht="15.95" customHeight="1" x14ac:dyDescent="0.2">
      <c r="A14" s="105" t="s">
        <v>76</v>
      </c>
      <c r="B14" s="101">
        <v>6810</v>
      </c>
      <c r="C14" s="102">
        <f t="shared" si="0"/>
        <v>5.4</v>
      </c>
      <c r="D14" s="102">
        <f>IF('[4]2'!$D$37=0,0,ROUND(+B14/'[4]2'!$D$37*100,1))+0.1</f>
        <v>0.2</v>
      </c>
      <c r="E14" s="103"/>
    </row>
    <row r="15" spans="1:7" ht="15.95" customHeight="1" x14ac:dyDescent="0.2">
      <c r="A15" s="105" t="s">
        <v>77</v>
      </c>
      <c r="B15" s="101">
        <v>42</v>
      </c>
      <c r="C15" s="102">
        <f t="shared" si="0"/>
        <v>0</v>
      </c>
      <c r="D15" s="102">
        <f>IF('[4]2'!$D$37=0,0,ROUND(+B15/'[4]2'!$D$37*100,1))</f>
        <v>0</v>
      </c>
      <c r="E15" s="103"/>
    </row>
    <row r="16" spans="1:7" ht="15.75" customHeight="1" x14ac:dyDescent="0.2">
      <c r="A16" s="105" t="s">
        <v>78</v>
      </c>
      <c r="B16" s="101">
        <v>43651</v>
      </c>
      <c r="C16" s="102">
        <f t="shared" si="0"/>
        <v>34.799999999999997</v>
      </c>
      <c r="D16" s="102">
        <f>IF('[4]2'!$D$37=0,0,ROUND(+B16/'[4]2'!$D$37*100,1))</f>
        <v>0.4</v>
      </c>
      <c r="E16" s="103"/>
    </row>
    <row r="17" spans="1:6" ht="15.95" customHeight="1" x14ac:dyDescent="0.2">
      <c r="A17" s="105" t="s">
        <v>79</v>
      </c>
      <c r="B17" s="101">
        <v>2127</v>
      </c>
      <c r="C17" s="102">
        <f t="shared" si="0"/>
        <v>1.7</v>
      </c>
      <c r="D17" s="102">
        <f>IF('[4]2'!$D$37=0,0,ROUND(+B17/'[4]2'!$D$37*100,1))</f>
        <v>0</v>
      </c>
      <c r="E17" s="103"/>
    </row>
    <row r="18" spans="1:6" ht="15.95" customHeight="1" x14ac:dyDescent="0.2">
      <c r="A18" s="105" t="s">
        <v>80</v>
      </c>
      <c r="B18" s="101">
        <v>6714</v>
      </c>
      <c r="C18" s="102">
        <f t="shared" si="0"/>
        <v>5.4</v>
      </c>
      <c r="D18" s="102">
        <f>IF('[4]2'!$D$37=0,0,ROUND(+B18/'[4]2'!$D$37*100,1))</f>
        <v>0.1</v>
      </c>
      <c r="E18" s="103"/>
    </row>
    <row r="19" spans="1:6" ht="15.95" customHeight="1" x14ac:dyDescent="0.2">
      <c r="A19" s="105" t="s">
        <v>81</v>
      </c>
      <c r="B19" s="101">
        <v>265</v>
      </c>
      <c r="C19" s="102">
        <f t="shared" si="0"/>
        <v>0.2</v>
      </c>
      <c r="D19" s="102">
        <f>IF('[4]2'!$D$37=0,0,ROUND(+B19/'[4]2'!$D$37*100,1))</f>
        <v>0</v>
      </c>
      <c r="E19" s="103"/>
    </row>
    <row r="20" spans="1:6" ht="15.95" customHeight="1" x14ac:dyDescent="0.2">
      <c r="A20" s="105" t="s">
        <v>82</v>
      </c>
      <c r="B20" s="101">
        <v>5386</v>
      </c>
      <c r="C20" s="102">
        <f t="shared" si="0"/>
        <v>4.3</v>
      </c>
      <c r="D20" s="102">
        <f>IF('[4]2'!$D$37=0,0,ROUND(+B20/'[4]2'!$D$37*100,1))</f>
        <v>0</v>
      </c>
      <c r="E20" s="103"/>
    </row>
    <row r="21" spans="1:6" ht="15.95" customHeight="1" x14ac:dyDescent="0.2">
      <c r="A21" s="105" t="s">
        <v>83</v>
      </c>
      <c r="B21" s="101">
        <v>134</v>
      </c>
      <c r="C21" s="102">
        <f t="shared" si="0"/>
        <v>0.1</v>
      </c>
      <c r="D21" s="102">
        <f>IF('[4]2'!$D$37=0,0,ROUND(+B21/'[4]2'!$D$37*100,1))</f>
        <v>0</v>
      </c>
      <c r="E21" s="103"/>
    </row>
    <row r="22" spans="1:6" ht="15.95" customHeight="1" x14ac:dyDescent="0.2">
      <c r="A22" s="105" t="s">
        <v>84</v>
      </c>
      <c r="B22" s="101">
        <v>27</v>
      </c>
      <c r="C22" s="102">
        <f t="shared" si="0"/>
        <v>0</v>
      </c>
      <c r="D22" s="102">
        <f>IF('[4]2'!$D$37=0,0,ROUND(+B22/'[4]2'!$D$37*100,1))</f>
        <v>0</v>
      </c>
      <c r="E22" s="103"/>
    </row>
    <row r="23" spans="1:6" ht="15.95" customHeight="1" x14ac:dyDescent="0.2">
      <c r="A23" s="106" t="s">
        <v>1009</v>
      </c>
      <c r="B23" s="101">
        <v>6790</v>
      </c>
      <c r="C23" s="102">
        <f t="shared" si="0"/>
        <v>5.4</v>
      </c>
      <c r="D23" s="102">
        <f>IF('[4]2'!$D$37=0,0,ROUND(+B23/'[4]2'!$D$37*100,1))</f>
        <v>0.1</v>
      </c>
      <c r="E23" s="103"/>
    </row>
    <row r="24" spans="1:6" ht="24.75" customHeight="1" x14ac:dyDescent="0.2">
      <c r="A24" s="6" t="s">
        <v>29</v>
      </c>
      <c r="B24" s="107">
        <f>SUM(B7:B23)</f>
        <v>125400</v>
      </c>
      <c r="C24" s="108">
        <f>SUM(C7:C23)</f>
        <v>100.00000000000001</v>
      </c>
      <c r="D24" s="108">
        <f>SUM(D7:D23)</f>
        <v>1.1000000000000001</v>
      </c>
      <c r="E24" s="13"/>
      <c r="F24" s="4"/>
    </row>
    <row r="25" spans="1:6" ht="15.95" customHeight="1" x14ac:dyDescent="0.2">
      <c r="A25" s="1230" t="s">
        <v>67</v>
      </c>
      <c r="B25" s="1230"/>
      <c r="C25" s="1230"/>
      <c r="D25" s="1230"/>
    </row>
    <row r="26" spans="1:6" s="258" customFormat="1" ht="26.25" customHeight="1" x14ac:dyDescent="0.2">
      <c r="A26" s="1212" t="s">
        <v>1014</v>
      </c>
      <c r="B26" s="1213"/>
      <c r="C26" s="1213"/>
      <c r="D26" s="1213"/>
    </row>
    <row r="27" spans="1:6" x14ac:dyDescent="0.2">
      <c r="B27" s="4"/>
      <c r="D27" s="109"/>
    </row>
    <row r="28" spans="1:6" x14ac:dyDescent="0.2">
      <c r="C28" s="45"/>
    </row>
    <row r="29" spans="1:6" x14ac:dyDescent="0.2">
      <c r="C29" s="4"/>
    </row>
  </sheetData>
  <sheetProtection password="9C8D" sheet="1" objects="1" scenarios="1"/>
  <mergeCells count="6">
    <mergeCell ref="A26:D26"/>
    <mergeCell ref="A1:D1"/>
    <mergeCell ref="A2:D2"/>
    <mergeCell ref="A3:D3"/>
    <mergeCell ref="A5:D5"/>
    <mergeCell ref="A25:D25"/>
  </mergeCells>
  <pageMargins left="0.78740157499999996" right="0.78740157499999996" top="0.984251969" bottom="0.984251969" header="0.49212598499999999" footer="0.49212598499999999"/>
  <pageSetup paperSize="9" scale="85" orientation="portrait" r:id="rId1"/>
  <headerFooter alignWithMargins="0"/>
</worksheet>
</file>

<file path=xl/worksheets/sheet9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8"/>
  <sheetViews>
    <sheetView windowProtection="1" showGridLines="0" workbookViewId="0">
      <selection activeCell="A2" sqref="A2:O2"/>
    </sheetView>
  </sheetViews>
  <sheetFormatPr defaultRowHeight="12.75" x14ac:dyDescent="0.2"/>
  <cols>
    <col min="1" max="1" width="41.28515625" customWidth="1"/>
    <col min="2" max="2" width="12.85546875" customWidth="1"/>
    <col min="3" max="3" width="14.140625" customWidth="1"/>
    <col min="4" max="4" width="12.140625" customWidth="1"/>
    <col min="5" max="5" width="11.140625" bestFit="1" customWidth="1"/>
    <col min="6" max="6" width="11.5703125" customWidth="1"/>
    <col min="7" max="7" width="12.28515625" customWidth="1"/>
    <col min="8" max="8" width="10.85546875" customWidth="1"/>
    <col min="9" max="9" width="12.140625" bestFit="1" customWidth="1"/>
    <col min="10" max="10" width="11.140625" customWidth="1"/>
    <col min="11" max="11" width="12.5703125" customWidth="1"/>
    <col min="12" max="12" width="11.28515625" customWidth="1"/>
    <col min="13" max="13" width="12.28515625" customWidth="1"/>
    <col min="14" max="14" width="12.140625" bestFit="1" customWidth="1"/>
    <col min="15" max="15" width="13.85546875" bestFit="1" customWidth="1"/>
  </cols>
  <sheetData>
    <row r="1" spans="1:15" ht="15.75" x14ac:dyDescent="0.25">
      <c r="A1" s="1225" t="s">
        <v>741</v>
      </c>
      <c r="B1" s="1225"/>
      <c r="C1" s="1225"/>
      <c r="D1" s="1225"/>
      <c r="E1" s="1225"/>
      <c r="F1" s="1225"/>
      <c r="G1" s="1225"/>
      <c r="H1" s="1225"/>
      <c r="I1" s="1225"/>
      <c r="J1" s="1225"/>
      <c r="K1" s="1225"/>
      <c r="L1" s="1225"/>
      <c r="M1" s="1225"/>
      <c r="N1" s="1225"/>
      <c r="O1" s="1225"/>
    </row>
    <row r="2" spans="1:15" ht="15" x14ac:dyDescent="0.2">
      <c r="A2" s="1226" t="s">
        <v>728</v>
      </c>
      <c r="B2" s="1226"/>
      <c r="C2" s="1226"/>
      <c r="D2" s="1226"/>
      <c r="E2" s="1226"/>
      <c r="F2" s="1226"/>
      <c r="G2" s="1226"/>
      <c r="H2" s="1226"/>
      <c r="I2" s="1226"/>
      <c r="J2" s="1226"/>
      <c r="K2" s="1226"/>
      <c r="L2" s="1226"/>
      <c r="M2" s="1226"/>
      <c r="N2" s="1226"/>
      <c r="O2" s="1226"/>
    </row>
    <row r="3" spans="1:15" ht="15" x14ac:dyDescent="0.2">
      <c r="A3" s="1226" t="str">
        <f>+[1]Dados!A18</f>
        <v>Exercício 2015</v>
      </c>
      <c r="B3" s="1226"/>
      <c r="C3" s="1226"/>
      <c r="D3" s="1226"/>
      <c r="E3" s="1226"/>
      <c r="F3" s="1226"/>
      <c r="G3" s="1226"/>
      <c r="H3" s="1226"/>
      <c r="I3" s="1226"/>
      <c r="J3" s="1226"/>
      <c r="K3" s="1226"/>
      <c r="L3" s="1226"/>
      <c r="M3" s="1226"/>
      <c r="N3" s="1226"/>
      <c r="O3" s="1226"/>
    </row>
    <row r="4" spans="1:15" x14ac:dyDescent="0.2">
      <c r="A4" s="1"/>
      <c r="B4" s="362"/>
      <c r="C4" s="362"/>
      <c r="D4" s="362"/>
      <c r="E4" s="362"/>
      <c r="F4" s="362"/>
      <c r="G4" s="362"/>
      <c r="H4" s="362"/>
      <c r="I4" s="362"/>
      <c r="J4" s="362"/>
      <c r="K4" s="362"/>
      <c r="L4" s="362"/>
      <c r="M4" s="362"/>
      <c r="N4" s="362"/>
      <c r="O4" s="362"/>
    </row>
    <row r="5" spans="1:15" x14ac:dyDescent="0.2">
      <c r="A5" s="99"/>
      <c r="B5" s="362"/>
      <c r="C5" s="782"/>
      <c r="D5" s="369"/>
      <c r="E5" s="782"/>
      <c r="F5" s="362"/>
      <c r="G5" s="782"/>
      <c r="H5" s="782"/>
      <c r="I5" s="782"/>
      <c r="J5" s="782"/>
      <c r="K5" s="782"/>
      <c r="L5" s="782"/>
      <c r="M5" s="782"/>
      <c r="N5" s="1432" t="s">
        <v>1</v>
      </c>
      <c r="O5" s="1432"/>
    </row>
    <row r="6" spans="1:15" x14ac:dyDescent="0.2">
      <c r="A6" s="1431" t="s">
        <v>279</v>
      </c>
      <c r="B6" s="1431" t="s">
        <v>138</v>
      </c>
      <c r="C6" s="1431"/>
      <c r="D6" s="1431" t="s">
        <v>262</v>
      </c>
      <c r="E6" s="1431"/>
      <c r="F6" s="1431" t="s">
        <v>412</v>
      </c>
      <c r="G6" s="1431"/>
      <c r="H6" s="1431" t="s">
        <v>143</v>
      </c>
      <c r="I6" s="1431"/>
      <c r="J6" s="1431" t="s">
        <v>141</v>
      </c>
      <c r="K6" s="1431"/>
      <c r="L6" s="1431" t="s">
        <v>191</v>
      </c>
      <c r="M6" s="1431"/>
      <c r="N6" s="1431" t="s">
        <v>29</v>
      </c>
      <c r="O6" s="1431"/>
    </row>
    <row r="7" spans="1:15" ht="25.5" x14ac:dyDescent="0.2">
      <c r="A7" s="1431"/>
      <c r="B7" s="819" t="s">
        <v>264</v>
      </c>
      <c r="C7" s="820" t="s">
        <v>7</v>
      </c>
      <c r="D7" s="819" t="s">
        <v>264</v>
      </c>
      <c r="E7" s="820" t="s">
        <v>7</v>
      </c>
      <c r="F7" s="819" t="s">
        <v>264</v>
      </c>
      <c r="G7" s="820" t="s">
        <v>7</v>
      </c>
      <c r="H7" s="819" t="s">
        <v>264</v>
      </c>
      <c r="I7" s="820" t="s">
        <v>7</v>
      </c>
      <c r="J7" s="819" t="s">
        <v>264</v>
      </c>
      <c r="K7" s="820" t="s">
        <v>7</v>
      </c>
      <c r="L7" s="819" t="s">
        <v>264</v>
      </c>
      <c r="M7" s="820" t="s">
        <v>7</v>
      </c>
      <c r="N7" s="819" t="s">
        <v>264</v>
      </c>
      <c r="O7" s="820" t="s">
        <v>7</v>
      </c>
    </row>
    <row r="8" spans="1:15" ht="20.100000000000001" customHeight="1" x14ac:dyDescent="0.2">
      <c r="A8" s="783" t="s">
        <v>718</v>
      </c>
      <c r="B8" s="370">
        <v>293</v>
      </c>
      <c r="C8" s="371">
        <v>269</v>
      </c>
      <c r="D8" s="370">
        <v>1</v>
      </c>
      <c r="E8" s="371">
        <v>1</v>
      </c>
      <c r="F8" s="370">
        <v>0</v>
      </c>
      <c r="G8" s="371">
        <v>0</v>
      </c>
      <c r="H8" s="370">
        <v>0</v>
      </c>
      <c r="I8" s="371">
        <v>0</v>
      </c>
      <c r="J8" s="370">
        <v>0</v>
      </c>
      <c r="K8" s="371">
        <v>0</v>
      </c>
      <c r="L8" s="370">
        <v>3</v>
      </c>
      <c r="M8" s="371">
        <v>3</v>
      </c>
      <c r="N8" s="370">
        <f>B8+D8+F8+H8+J8+L8</f>
        <v>297</v>
      </c>
      <c r="O8" s="370">
        <f>C8+E8+G8+I8+K8+M8</f>
        <v>273</v>
      </c>
    </row>
    <row r="9" spans="1:15" ht="20.100000000000001" customHeight="1" x14ac:dyDescent="0.2">
      <c r="A9" s="783" t="s">
        <v>282</v>
      </c>
      <c r="B9" s="370">
        <v>439873.99949999998</v>
      </c>
      <c r="C9" s="371">
        <v>1724701</v>
      </c>
      <c r="D9" s="370">
        <v>3324</v>
      </c>
      <c r="E9" s="371">
        <v>12908</v>
      </c>
      <c r="F9" s="370">
        <v>108</v>
      </c>
      <c r="G9" s="371">
        <v>751</v>
      </c>
      <c r="H9" s="370">
        <v>12</v>
      </c>
      <c r="I9" s="371">
        <v>94</v>
      </c>
      <c r="J9" s="370">
        <v>0</v>
      </c>
      <c r="K9" s="371">
        <v>0</v>
      </c>
      <c r="L9" s="370">
        <v>1535.9998000000001</v>
      </c>
      <c r="M9" s="371">
        <v>11000</v>
      </c>
      <c r="N9" s="370">
        <f t="shared" ref="N9:O16" si="0">B9+D9+F9+H9+J9+L9</f>
        <v>444853.99929999997</v>
      </c>
      <c r="O9" s="370">
        <f t="shared" si="0"/>
        <v>1749454</v>
      </c>
    </row>
    <row r="10" spans="1:15" ht="20.100000000000001" customHeight="1" x14ac:dyDescent="0.2">
      <c r="A10" s="783" t="s">
        <v>283</v>
      </c>
      <c r="B10" s="370">
        <v>26723.999600000003</v>
      </c>
      <c r="C10" s="371">
        <v>494417</v>
      </c>
      <c r="D10" s="370">
        <v>57</v>
      </c>
      <c r="E10" s="371">
        <v>1020</v>
      </c>
      <c r="F10" s="370">
        <v>713</v>
      </c>
      <c r="G10" s="371">
        <v>16433</v>
      </c>
      <c r="H10" s="370">
        <v>126</v>
      </c>
      <c r="I10" s="371">
        <v>2987</v>
      </c>
      <c r="J10" s="370">
        <v>0</v>
      </c>
      <c r="K10" s="371">
        <v>0</v>
      </c>
      <c r="L10" s="370">
        <v>7336</v>
      </c>
      <c r="M10" s="371">
        <v>161681</v>
      </c>
      <c r="N10" s="370">
        <f t="shared" si="0"/>
        <v>34955.999600000003</v>
      </c>
      <c r="O10" s="370">
        <f t="shared" si="0"/>
        <v>676538</v>
      </c>
    </row>
    <row r="11" spans="1:15" ht="20.100000000000001" customHeight="1" x14ac:dyDescent="0.2">
      <c r="A11" s="783" t="s">
        <v>284</v>
      </c>
      <c r="B11" s="370">
        <v>3503.9998999999998</v>
      </c>
      <c r="C11" s="371">
        <v>218376</v>
      </c>
      <c r="D11" s="370">
        <v>66</v>
      </c>
      <c r="E11" s="371">
        <v>4126</v>
      </c>
      <c r="F11" s="370">
        <v>1178</v>
      </c>
      <c r="G11" s="371">
        <v>71348</v>
      </c>
      <c r="H11" s="370">
        <v>245</v>
      </c>
      <c r="I11" s="371">
        <v>14046</v>
      </c>
      <c r="J11" s="370">
        <v>0</v>
      </c>
      <c r="K11" s="371">
        <v>0</v>
      </c>
      <c r="L11" s="370">
        <v>9786.9999000000007</v>
      </c>
      <c r="M11" s="371">
        <v>576403</v>
      </c>
      <c r="N11" s="370">
        <f t="shared" si="0"/>
        <v>14779.999800000001</v>
      </c>
      <c r="O11" s="370">
        <f t="shared" si="0"/>
        <v>884299</v>
      </c>
    </row>
    <row r="12" spans="1:15" ht="20.100000000000001" customHeight="1" x14ac:dyDescent="0.2">
      <c r="A12" s="783" t="s">
        <v>719</v>
      </c>
      <c r="B12" s="370">
        <v>2050.9998000000001</v>
      </c>
      <c r="C12" s="371">
        <v>296860</v>
      </c>
      <c r="D12" s="370">
        <v>49</v>
      </c>
      <c r="E12" s="371">
        <v>7421</v>
      </c>
      <c r="F12" s="370">
        <v>594.99990000000003</v>
      </c>
      <c r="G12" s="371">
        <v>86646</v>
      </c>
      <c r="H12" s="370">
        <v>83</v>
      </c>
      <c r="I12" s="371">
        <v>11853</v>
      </c>
      <c r="J12" s="370">
        <v>0</v>
      </c>
      <c r="K12" s="371">
        <v>0</v>
      </c>
      <c r="L12" s="370">
        <v>3411</v>
      </c>
      <c r="M12" s="371">
        <v>489765</v>
      </c>
      <c r="N12" s="370">
        <f t="shared" si="0"/>
        <v>6188.9997000000003</v>
      </c>
      <c r="O12" s="370">
        <f t="shared" si="0"/>
        <v>892545</v>
      </c>
    </row>
    <row r="13" spans="1:15" ht="20.100000000000001" customHeight="1" x14ac:dyDescent="0.2">
      <c r="A13" s="783" t="s">
        <v>720</v>
      </c>
      <c r="B13" s="370">
        <v>931.99959999999999</v>
      </c>
      <c r="C13" s="371">
        <v>295992</v>
      </c>
      <c r="D13" s="370">
        <v>21</v>
      </c>
      <c r="E13" s="371">
        <v>6572</v>
      </c>
      <c r="F13" s="370">
        <v>384.99990000000003</v>
      </c>
      <c r="G13" s="371">
        <v>117309</v>
      </c>
      <c r="H13" s="370">
        <v>63</v>
      </c>
      <c r="I13" s="371">
        <v>18235</v>
      </c>
      <c r="J13" s="370">
        <v>0</v>
      </c>
      <c r="K13" s="371">
        <v>0</v>
      </c>
      <c r="L13" s="370">
        <v>1729.9998000000001</v>
      </c>
      <c r="M13" s="371">
        <v>509225</v>
      </c>
      <c r="N13" s="370">
        <f t="shared" si="0"/>
        <v>3130.9992999999999</v>
      </c>
      <c r="O13" s="370">
        <f t="shared" si="0"/>
        <v>947333</v>
      </c>
    </row>
    <row r="14" spans="1:15" ht="20.100000000000001" customHeight="1" x14ac:dyDescent="0.2">
      <c r="A14" s="783" t="s">
        <v>721</v>
      </c>
      <c r="B14" s="370">
        <v>454.99940000000004</v>
      </c>
      <c r="C14" s="371">
        <v>325524</v>
      </c>
      <c r="D14" s="370">
        <v>12</v>
      </c>
      <c r="E14" s="371">
        <v>9217</v>
      </c>
      <c r="F14" s="370">
        <v>120</v>
      </c>
      <c r="G14" s="371">
        <v>83370</v>
      </c>
      <c r="H14" s="370">
        <v>23</v>
      </c>
      <c r="I14" s="371">
        <v>16315</v>
      </c>
      <c r="J14" s="370">
        <v>0</v>
      </c>
      <c r="K14" s="371">
        <v>0</v>
      </c>
      <c r="L14" s="370">
        <v>367.99979999999999</v>
      </c>
      <c r="M14" s="371">
        <v>257375</v>
      </c>
      <c r="N14" s="370">
        <f t="shared" si="0"/>
        <v>977.99919999999997</v>
      </c>
      <c r="O14" s="370">
        <f t="shared" si="0"/>
        <v>691801</v>
      </c>
    </row>
    <row r="15" spans="1:15" ht="20.100000000000001" customHeight="1" x14ac:dyDescent="0.2">
      <c r="A15" s="783" t="s">
        <v>285</v>
      </c>
      <c r="B15" s="370">
        <v>513.99559999999997</v>
      </c>
      <c r="C15" s="371">
        <v>1345085</v>
      </c>
      <c r="D15" s="370">
        <v>8</v>
      </c>
      <c r="E15" s="371">
        <v>26896</v>
      </c>
      <c r="F15" s="370">
        <v>95</v>
      </c>
      <c r="G15" s="371">
        <v>270513</v>
      </c>
      <c r="H15" s="370">
        <v>18</v>
      </c>
      <c r="I15" s="371">
        <v>51351</v>
      </c>
      <c r="J15" s="370">
        <v>0</v>
      </c>
      <c r="K15" s="371">
        <v>0</v>
      </c>
      <c r="L15" s="370">
        <v>201.99979999999999</v>
      </c>
      <c r="M15" s="371">
        <v>540318</v>
      </c>
      <c r="N15" s="370">
        <f t="shared" si="0"/>
        <v>836.99540000000002</v>
      </c>
      <c r="O15" s="370">
        <f t="shared" si="0"/>
        <v>2234163</v>
      </c>
    </row>
    <row r="16" spans="1:15" ht="20.100000000000001" customHeight="1" x14ac:dyDescent="0.2">
      <c r="A16" s="783" t="s">
        <v>722</v>
      </c>
      <c r="B16" s="370">
        <v>32.999099999999999</v>
      </c>
      <c r="C16" s="371">
        <v>808855</v>
      </c>
      <c r="D16" s="370">
        <v>3</v>
      </c>
      <c r="E16" s="371">
        <v>57239</v>
      </c>
      <c r="F16" s="370">
        <v>19</v>
      </c>
      <c r="G16" s="371">
        <v>835700</v>
      </c>
      <c r="H16" s="370">
        <v>8</v>
      </c>
      <c r="I16" s="371">
        <v>410980</v>
      </c>
      <c r="J16" s="370">
        <v>6</v>
      </c>
      <c r="K16" s="371">
        <v>488637</v>
      </c>
      <c r="L16" s="370">
        <v>26</v>
      </c>
      <c r="M16" s="371">
        <v>817410</v>
      </c>
      <c r="N16" s="370">
        <f t="shared" si="0"/>
        <v>94.999099999999999</v>
      </c>
      <c r="O16" s="370">
        <f t="shared" si="0"/>
        <v>3418821</v>
      </c>
    </row>
    <row r="17" spans="1:15" ht="23.25" customHeight="1" x14ac:dyDescent="0.2">
      <c r="A17" s="820" t="s">
        <v>265</v>
      </c>
      <c r="B17" s="372">
        <f t="shared" ref="B17:O17" si="1">SUM(B8:B16)</f>
        <v>474379.99249999993</v>
      </c>
      <c r="C17" s="372">
        <f t="shared" si="1"/>
        <v>5510079</v>
      </c>
      <c r="D17" s="372">
        <f t="shared" si="1"/>
        <v>3541</v>
      </c>
      <c r="E17" s="372">
        <f t="shared" si="1"/>
        <v>125400</v>
      </c>
      <c r="F17" s="372">
        <f t="shared" si="1"/>
        <v>3212.9997999999996</v>
      </c>
      <c r="G17" s="372">
        <f t="shared" si="1"/>
        <v>1482070</v>
      </c>
      <c r="H17" s="372">
        <f t="shared" si="1"/>
        <v>578</v>
      </c>
      <c r="I17" s="372">
        <f t="shared" si="1"/>
        <v>525861</v>
      </c>
      <c r="J17" s="372">
        <f t="shared" si="1"/>
        <v>6</v>
      </c>
      <c r="K17" s="372">
        <f t="shared" si="1"/>
        <v>488637</v>
      </c>
      <c r="L17" s="372">
        <f t="shared" si="1"/>
        <v>24398.999100000005</v>
      </c>
      <c r="M17" s="372">
        <f t="shared" si="1"/>
        <v>3363180</v>
      </c>
      <c r="N17" s="372">
        <f t="shared" si="1"/>
        <v>506116.9914</v>
      </c>
      <c r="O17" s="372">
        <f t="shared" si="1"/>
        <v>11495227</v>
      </c>
    </row>
    <row r="18" spans="1:15" x14ac:dyDescent="0.2">
      <c r="A18" s="1223" t="s">
        <v>214</v>
      </c>
      <c r="B18" s="1223"/>
      <c r="C18" s="1223"/>
      <c r="D18" s="1223"/>
      <c r="E18" s="1223"/>
      <c r="F18" s="1223"/>
      <c r="G18" s="1223"/>
      <c r="H18" s="1223"/>
      <c r="I18" s="1223"/>
      <c r="J18" s="1223"/>
      <c r="K18" s="1223"/>
      <c r="L18" s="1223"/>
      <c r="M18" s="1223"/>
      <c r="N18" s="1223"/>
      <c r="O18" s="1223"/>
    </row>
  </sheetData>
  <sheetProtection password="9C8D" sheet="1" objects="1" scenarios="1"/>
  <mergeCells count="13">
    <mergeCell ref="L6:M6"/>
    <mergeCell ref="N6:O6"/>
    <mergeCell ref="A18:O18"/>
    <mergeCell ref="A1:O1"/>
    <mergeCell ref="A2:O2"/>
    <mergeCell ref="A3:O3"/>
    <mergeCell ref="N5:O5"/>
    <mergeCell ref="A6:A7"/>
    <mergeCell ref="B6:C6"/>
    <mergeCell ref="D6:E6"/>
    <mergeCell ref="F6:G6"/>
    <mergeCell ref="H6:I6"/>
    <mergeCell ref="J6:K6"/>
  </mergeCells>
  <pageMargins left="0.511811024" right="0.511811024" top="0.78740157499999996" bottom="0.78740157499999996" header="0.31496062000000002" footer="0.31496062000000002"/>
  <legacyDrawing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37"/>
  <sheetViews>
    <sheetView windowProtection="1" showGridLines="0" workbookViewId="0">
      <selection sqref="A1:F1"/>
    </sheetView>
  </sheetViews>
  <sheetFormatPr defaultRowHeight="12.75" x14ac:dyDescent="0.2"/>
  <cols>
    <col min="1" max="1" width="12.85546875" style="850" customWidth="1"/>
    <col min="2" max="2" width="19.42578125" style="360" customWidth="1"/>
    <col min="3" max="3" width="14.7109375" style="360" customWidth="1"/>
    <col min="4" max="4" width="38.28515625" style="360" customWidth="1"/>
    <col min="5" max="5" width="15.5703125" style="360" customWidth="1"/>
    <col min="6" max="6" width="14" style="360" customWidth="1"/>
    <col min="7" max="16384" width="9.140625" style="360"/>
  </cols>
  <sheetData>
    <row r="1" spans="1:6" ht="15.75" x14ac:dyDescent="0.25">
      <c r="A1" s="1433" t="s">
        <v>742</v>
      </c>
      <c r="B1" s="1433"/>
      <c r="C1" s="1433"/>
      <c r="D1" s="1433"/>
      <c r="E1" s="1433"/>
      <c r="F1" s="1433"/>
    </row>
    <row r="2" spans="1:6" ht="15" x14ac:dyDescent="0.2">
      <c r="A2" s="1434" t="s">
        <v>733</v>
      </c>
      <c r="B2" s="1434"/>
      <c r="C2" s="1434"/>
      <c r="D2" s="1434"/>
      <c r="E2" s="1434"/>
      <c r="F2" s="1434"/>
    </row>
    <row r="3" spans="1:6" ht="15" x14ac:dyDescent="0.2">
      <c r="A3" s="1226" t="str">
        <f>+[1]Dados!A18</f>
        <v>Exercício 2015</v>
      </c>
      <c r="B3" s="1226"/>
      <c r="C3" s="1226"/>
      <c r="D3" s="1226"/>
      <c r="E3" s="1226"/>
      <c r="F3" s="1226"/>
    </row>
    <row r="5" spans="1:6" x14ac:dyDescent="0.2">
      <c r="E5" s="1435"/>
      <c r="F5" s="1435"/>
    </row>
    <row r="6" spans="1:6" ht="27.75" customHeight="1" x14ac:dyDescent="0.2">
      <c r="A6" s="821" t="s">
        <v>241</v>
      </c>
      <c r="B6" s="821" t="s">
        <v>135</v>
      </c>
      <c r="C6" s="821" t="s">
        <v>148</v>
      </c>
      <c r="D6" s="821" t="s">
        <v>218</v>
      </c>
      <c r="E6" s="821" t="s">
        <v>216</v>
      </c>
      <c r="F6" s="821" t="s">
        <v>249</v>
      </c>
    </row>
    <row r="7" spans="1:6" s="350" customFormat="1" ht="18" customHeight="1" x14ac:dyDescent="0.2">
      <c r="A7" s="851" t="s">
        <v>168</v>
      </c>
      <c r="B7" s="852" t="s">
        <v>242</v>
      </c>
      <c r="C7" s="852" t="s">
        <v>169</v>
      </c>
      <c r="D7" s="852" t="s">
        <v>734</v>
      </c>
      <c r="E7" s="852" t="s">
        <v>289</v>
      </c>
      <c r="F7" s="853">
        <v>33</v>
      </c>
    </row>
    <row r="8" spans="1:6" s="350" customFormat="1" ht="18" customHeight="1" x14ac:dyDescent="0.2">
      <c r="A8" s="851" t="s">
        <v>168</v>
      </c>
      <c r="B8" s="852" t="s">
        <v>242</v>
      </c>
      <c r="C8" s="852" t="s">
        <v>170</v>
      </c>
      <c r="D8" s="852" t="s">
        <v>734</v>
      </c>
      <c r="E8" s="852" t="s">
        <v>289</v>
      </c>
      <c r="F8" s="853">
        <v>1971</v>
      </c>
    </row>
    <row r="9" spans="1:6" s="350" customFormat="1" ht="18" customHeight="1" x14ac:dyDescent="0.2">
      <c r="A9" s="851" t="s">
        <v>168</v>
      </c>
      <c r="B9" s="852" t="s">
        <v>242</v>
      </c>
      <c r="C9" s="852" t="s">
        <v>170</v>
      </c>
      <c r="D9" s="852" t="s">
        <v>734</v>
      </c>
      <c r="E9" s="852" t="s">
        <v>287</v>
      </c>
      <c r="F9" s="853">
        <v>6</v>
      </c>
    </row>
    <row r="10" spans="1:6" s="350" customFormat="1" ht="18" customHeight="1" x14ac:dyDescent="0.2">
      <c r="A10" s="851" t="s">
        <v>168</v>
      </c>
      <c r="B10" s="852" t="s">
        <v>242</v>
      </c>
      <c r="C10" s="852" t="s">
        <v>170</v>
      </c>
      <c r="D10" s="852" t="s">
        <v>213</v>
      </c>
      <c r="E10" s="852" t="s">
        <v>289</v>
      </c>
      <c r="F10" s="853">
        <v>120</v>
      </c>
    </row>
    <row r="11" spans="1:6" s="350" customFormat="1" ht="18" customHeight="1" x14ac:dyDescent="0.2">
      <c r="A11" s="851" t="s">
        <v>168</v>
      </c>
      <c r="B11" s="852" t="s">
        <v>242</v>
      </c>
      <c r="C11" s="852" t="s">
        <v>171</v>
      </c>
      <c r="D11" s="852" t="s">
        <v>734</v>
      </c>
      <c r="E11" s="852" t="s">
        <v>289</v>
      </c>
      <c r="F11" s="853">
        <v>1242</v>
      </c>
    </row>
    <row r="12" spans="1:6" s="350" customFormat="1" ht="18" customHeight="1" x14ac:dyDescent="0.2">
      <c r="A12" s="851" t="s">
        <v>168</v>
      </c>
      <c r="B12" s="852" t="s">
        <v>242</v>
      </c>
      <c r="C12" s="852" t="s">
        <v>171</v>
      </c>
      <c r="D12" s="852" t="s">
        <v>213</v>
      </c>
      <c r="E12" s="852" t="s">
        <v>289</v>
      </c>
      <c r="F12" s="853">
        <v>2073</v>
      </c>
    </row>
    <row r="13" spans="1:6" s="350" customFormat="1" ht="18" customHeight="1" x14ac:dyDescent="0.2">
      <c r="A13" s="851" t="s">
        <v>168</v>
      </c>
      <c r="B13" s="852" t="s">
        <v>243</v>
      </c>
      <c r="C13" s="852" t="s">
        <v>170</v>
      </c>
      <c r="D13" s="852" t="s">
        <v>734</v>
      </c>
      <c r="E13" s="852" t="s">
        <v>296</v>
      </c>
      <c r="F13" s="853">
        <v>2</v>
      </c>
    </row>
    <row r="14" spans="1:6" s="350" customFormat="1" ht="18" customHeight="1" x14ac:dyDescent="0.2">
      <c r="A14" s="851" t="s">
        <v>168</v>
      </c>
      <c r="B14" s="852" t="s">
        <v>243</v>
      </c>
      <c r="C14" s="852" t="s">
        <v>170</v>
      </c>
      <c r="D14" s="852" t="s">
        <v>734</v>
      </c>
      <c r="E14" s="852" t="s">
        <v>289</v>
      </c>
      <c r="F14" s="853">
        <v>129</v>
      </c>
    </row>
    <row r="15" spans="1:6" s="350" customFormat="1" ht="18" customHeight="1" x14ac:dyDescent="0.2">
      <c r="A15" s="851" t="s">
        <v>168</v>
      </c>
      <c r="B15" s="852" t="s">
        <v>244</v>
      </c>
      <c r="C15" s="852" t="s">
        <v>169</v>
      </c>
      <c r="D15" s="852" t="s">
        <v>734</v>
      </c>
      <c r="E15" s="852" t="s">
        <v>296</v>
      </c>
      <c r="F15" s="853">
        <v>4</v>
      </c>
    </row>
    <row r="16" spans="1:6" s="350" customFormat="1" ht="18" customHeight="1" x14ac:dyDescent="0.2">
      <c r="A16" s="851" t="s">
        <v>168</v>
      </c>
      <c r="B16" s="852" t="s">
        <v>244</v>
      </c>
      <c r="C16" s="852" t="s">
        <v>169</v>
      </c>
      <c r="D16" s="852" t="s">
        <v>734</v>
      </c>
      <c r="E16" s="852" t="s">
        <v>297</v>
      </c>
      <c r="F16" s="853">
        <v>24</v>
      </c>
    </row>
    <row r="17" spans="1:6" s="350" customFormat="1" ht="18" customHeight="1" x14ac:dyDescent="0.2">
      <c r="A17" s="851" t="s">
        <v>168</v>
      </c>
      <c r="B17" s="852" t="s">
        <v>244</v>
      </c>
      <c r="C17" s="852" t="s">
        <v>169</v>
      </c>
      <c r="D17" s="852" t="s">
        <v>734</v>
      </c>
      <c r="E17" s="852" t="s">
        <v>287</v>
      </c>
      <c r="F17" s="853">
        <v>78</v>
      </c>
    </row>
    <row r="18" spans="1:6" s="350" customFormat="1" ht="18" customHeight="1" x14ac:dyDescent="0.2">
      <c r="A18" s="851" t="s">
        <v>168</v>
      </c>
      <c r="B18" s="852" t="s">
        <v>244</v>
      </c>
      <c r="C18" s="852" t="s">
        <v>169</v>
      </c>
      <c r="D18" s="852" t="s">
        <v>734</v>
      </c>
      <c r="E18" s="852" t="s">
        <v>293</v>
      </c>
      <c r="F18" s="853">
        <v>7</v>
      </c>
    </row>
    <row r="19" spans="1:6" s="350" customFormat="1" ht="18" customHeight="1" x14ac:dyDescent="0.2">
      <c r="A19" s="851" t="s">
        <v>168</v>
      </c>
      <c r="B19" s="852" t="s">
        <v>244</v>
      </c>
      <c r="C19" s="852" t="s">
        <v>170</v>
      </c>
      <c r="D19" s="852" t="s">
        <v>734</v>
      </c>
      <c r="E19" s="852" t="s">
        <v>294</v>
      </c>
      <c r="F19" s="853">
        <v>1</v>
      </c>
    </row>
    <row r="20" spans="1:6" s="350" customFormat="1" ht="18" customHeight="1" x14ac:dyDescent="0.2">
      <c r="A20" s="851" t="s">
        <v>168</v>
      </c>
      <c r="B20" s="852" t="s">
        <v>244</v>
      </c>
      <c r="C20" s="852" t="s">
        <v>170</v>
      </c>
      <c r="D20" s="852" t="s">
        <v>734</v>
      </c>
      <c r="E20" s="852" t="s">
        <v>296</v>
      </c>
      <c r="F20" s="853">
        <v>2</v>
      </c>
    </row>
    <row r="21" spans="1:6" s="350" customFormat="1" ht="18" customHeight="1" x14ac:dyDescent="0.2">
      <c r="A21" s="851" t="s">
        <v>168</v>
      </c>
      <c r="B21" s="852" t="s">
        <v>244</v>
      </c>
      <c r="C21" s="852" t="s">
        <v>170</v>
      </c>
      <c r="D21" s="852" t="s">
        <v>734</v>
      </c>
      <c r="E21" s="852" t="s">
        <v>297</v>
      </c>
      <c r="F21" s="853">
        <v>60</v>
      </c>
    </row>
    <row r="22" spans="1:6" s="350" customFormat="1" ht="18" customHeight="1" x14ac:dyDescent="0.2">
      <c r="A22" s="851" t="s">
        <v>168</v>
      </c>
      <c r="B22" s="852" t="s">
        <v>244</v>
      </c>
      <c r="C22" s="852" t="s">
        <v>170</v>
      </c>
      <c r="D22" s="852" t="s">
        <v>734</v>
      </c>
      <c r="E22" s="852" t="s">
        <v>287</v>
      </c>
      <c r="F22" s="853">
        <v>66</v>
      </c>
    </row>
    <row r="23" spans="1:6" s="350" customFormat="1" ht="18" customHeight="1" x14ac:dyDescent="0.2">
      <c r="A23" s="851" t="s">
        <v>168</v>
      </c>
      <c r="B23" s="852" t="s">
        <v>244</v>
      </c>
      <c r="C23" s="852" t="s">
        <v>170</v>
      </c>
      <c r="D23" s="852" t="s">
        <v>734</v>
      </c>
      <c r="E23" s="852" t="s">
        <v>293</v>
      </c>
      <c r="F23" s="853">
        <v>11</v>
      </c>
    </row>
    <row r="24" spans="1:6" s="350" customFormat="1" ht="18" customHeight="1" x14ac:dyDescent="0.2">
      <c r="A24" s="851" t="s">
        <v>168</v>
      </c>
      <c r="B24" s="852" t="s">
        <v>244</v>
      </c>
      <c r="C24" s="852" t="s">
        <v>170</v>
      </c>
      <c r="D24" s="852" t="s">
        <v>213</v>
      </c>
      <c r="E24" s="852" t="s">
        <v>297</v>
      </c>
      <c r="F24" s="853">
        <v>2</v>
      </c>
    </row>
    <row r="25" spans="1:6" s="350" customFormat="1" ht="18" customHeight="1" x14ac:dyDescent="0.2">
      <c r="A25" s="851" t="s">
        <v>168</v>
      </c>
      <c r="B25" s="852" t="s">
        <v>244</v>
      </c>
      <c r="C25" s="852" t="s">
        <v>170</v>
      </c>
      <c r="D25" s="852" t="s">
        <v>213</v>
      </c>
      <c r="E25" s="852" t="s">
        <v>287</v>
      </c>
      <c r="F25" s="853">
        <v>12</v>
      </c>
    </row>
    <row r="26" spans="1:6" s="350" customFormat="1" ht="18" customHeight="1" x14ac:dyDescent="0.2">
      <c r="A26" s="851" t="s">
        <v>168</v>
      </c>
      <c r="B26" s="852" t="s">
        <v>244</v>
      </c>
      <c r="C26" s="852" t="s">
        <v>170</v>
      </c>
      <c r="D26" s="852" t="s">
        <v>213</v>
      </c>
      <c r="E26" s="852" t="s">
        <v>293</v>
      </c>
      <c r="F26" s="853">
        <v>1</v>
      </c>
    </row>
    <row r="27" spans="1:6" s="350" customFormat="1" ht="18" customHeight="1" x14ac:dyDescent="0.2">
      <c r="A27" s="851" t="s">
        <v>168</v>
      </c>
      <c r="B27" s="852" t="s">
        <v>244</v>
      </c>
      <c r="C27" s="852" t="s">
        <v>171</v>
      </c>
      <c r="D27" s="852" t="s">
        <v>734</v>
      </c>
      <c r="E27" s="852" t="s">
        <v>297</v>
      </c>
      <c r="F27" s="853">
        <v>7</v>
      </c>
    </row>
    <row r="28" spans="1:6" s="350" customFormat="1" ht="18" customHeight="1" x14ac:dyDescent="0.2">
      <c r="A28" s="851" t="s">
        <v>168</v>
      </c>
      <c r="B28" s="852" t="s">
        <v>244</v>
      </c>
      <c r="C28" s="852" t="s">
        <v>171</v>
      </c>
      <c r="D28" s="852" t="s">
        <v>734</v>
      </c>
      <c r="E28" s="852" t="s">
        <v>287</v>
      </c>
      <c r="F28" s="853">
        <v>9</v>
      </c>
    </row>
    <row r="29" spans="1:6" s="350" customFormat="1" ht="18" customHeight="1" x14ac:dyDescent="0.2">
      <c r="A29" s="851" t="s">
        <v>168</v>
      </c>
      <c r="B29" s="852" t="s">
        <v>244</v>
      </c>
      <c r="C29" s="852" t="s">
        <v>171</v>
      </c>
      <c r="D29" s="852" t="s">
        <v>213</v>
      </c>
      <c r="E29" s="852" t="s">
        <v>297</v>
      </c>
      <c r="F29" s="853">
        <v>14</v>
      </c>
    </row>
    <row r="30" spans="1:6" s="350" customFormat="1" ht="18" customHeight="1" x14ac:dyDescent="0.2">
      <c r="A30" s="851" t="s">
        <v>168</v>
      </c>
      <c r="B30" s="852" t="s">
        <v>244</v>
      </c>
      <c r="C30" s="852" t="s">
        <v>171</v>
      </c>
      <c r="D30" s="852" t="s">
        <v>213</v>
      </c>
      <c r="E30" s="852" t="s">
        <v>287</v>
      </c>
      <c r="F30" s="853">
        <v>13</v>
      </c>
    </row>
    <row r="31" spans="1:6" s="350" customFormat="1" ht="18" customHeight="1" x14ac:dyDescent="0.2">
      <c r="A31" s="851" t="s">
        <v>168</v>
      </c>
      <c r="B31" s="852" t="s">
        <v>245</v>
      </c>
      <c r="C31" s="852" t="s">
        <v>169</v>
      </c>
      <c r="D31" s="852" t="s">
        <v>734</v>
      </c>
      <c r="E31" s="852" t="s">
        <v>296</v>
      </c>
      <c r="F31" s="853">
        <v>1</v>
      </c>
    </row>
    <row r="32" spans="1:6" s="350" customFormat="1" ht="18" customHeight="1" x14ac:dyDescent="0.2">
      <c r="A32" s="851" t="s">
        <v>168</v>
      </c>
      <c r="B32" s="852" t="s">
        <v>245</v>
      </c>
      <c r="C32" s="852" t="s">
        <v>169</v>
      </c>
      <c r="D32" s="852" t="s">
        <v>734</v>
      </c>
      <c r="E32" s="852" t="s">
        <v>297</v>
      </c>
      <c r="F32" s="853">
        <v>1</v>
      </c>
    </row>
    <row r="33" spans="1:6" s="350" customFormat="1" ht="18" customHeight="1" x14ac:dyDescent="0.2">
      <c r="A33" s="851" t="s">
        <v>168</v>
      </c>
      <c r="B33" s="852" t="s">
        <v>245</v>
      </c>
      <c r="C33" s="852" t="s">
        <v>169</v>
      </c>
      <c r="D33" s="852" t="s">
        <v>734</v>
      </c>
      <c r="E33" s="852" t="s">
        <v>287</v>
      </c>
      <c r="F33" s="853">
        <v>17</v>
      </c>
    </row>
    <row r="34" spans="1:6" s="350" customFormat="1" ht="18" customHeight="1" x14ac:dyDescent="0.2">
      <c r="A34" s="851" t="s">
        <v>168</v>
      </c>
      <c r="B34" s="852" t="s">
        <v>245</v>
      </c>
      <c r="C34" s="852" t="s">
        <v>169</v>
      </c>
      <c r="D34" s="852" t="s">
        <v>734</v>
      </c>
      <c r="E34" s="852" t="s">
        <v>293</v>
      </c>
      <c r="F34" s="853">
        <v>4</v>
      </c>
    </row>
    <row r="35" spans="1:6" s="350" customFormat="1" ht="18" customHeight="1" x14ac:dyDescent="0.2">
      <c r="A35" s="851" t="s">
        <v>168</v>
      </c>
      <c r="B35" s="852" t="s">
        <v>245</v>
      </c>
      <c r="C35" s="852" t="s">
        <v>170</v>
      </c>
      <c r="D35" s="852" t="s">
        <v>734</v>
      </c>
      <c r="E35" s="852" t="s">
        <v>297</v>
      </c>
      <c r="F35" s="853">
        <v>2</v>
      </c>
    </row>
    <row r="36" spans="1:6" s="350" customFormat="1" ht="18" customHeight="1" x14ac:dyDescent="0.2">
      <c r="A36" s="851" t="s">
        <v>168</v>
      </c>
      <c r="B36" s="852" t="s">
        <v>245</v>
      </c>
      <c r="C36" s="852" t="s">
        <v>170</v>
      </c>
      <c r="D36" s="852" t="s">
        <v>734</v>
      </c>
      <c r="E36" s="852" t="s">
        <v>287</v>
      </c>
      <c r="F36" s="853">
        <v>8</v>
      </c>
    </row>
    <row r="37" spans="1:6" s="350" customFormat="1" ht="18" customHeight="1" x14ac:dyDescent="0.2">
      <c r="A37" s="851" t="s">
        <v>168</v>
      </c>
      <c r="B37" s="852" t="s">
        <v>245</v>
      </c>
      <c r="C37" s="852" t="s">
        <v>171</v>
      </c>
      <c r="D37" s="852" t="s">
        <v>734</v>
      </c>
      <c r="E37" s="852" t="s">
        <v>287</v>
      </c>
      <c r="F37" s="853">
        <v>1</v>
      </c>
    </row>
    <row r="38" spans="1:6" s="350" customFormat="1" ht="18" customHeight="1" x14ac:dyDescent="0.2">
      <c r="A38" s="851" t="s">
        <v>168</v>
      </c>
      <c r="B38" s="852" t="s">
        <v>246</v>
      </c>
      <c r="C38" s="852" t="s">
        <v>169</v>
      </c>
      <c r="D38" s="852" t="s">
        <v>734</v>
      </c>
      <c r="E38" s="852" t="s">
        <v>289</v>
      </c>
      <c r="F38" s="853">
        <v>603</v>
      </c>
    </row>
    <row r="39" spans="1:6" s="350" customFormat="1" ht="18" customHeight="1" x14ac:dyDescent="0.2">
      <c r="A39" s="851" t="s">
        <v>168</v>
      </c>
      <c r="B39" s="852" t="s">
        <v>246</v>
      </c>
      <c r="C39" s="852" t="s">
        <v>170</v>
      </c>
      <c r="D39" s="852" t="s">
        <v>734</v>
      </c>
      <c r="E39" s="852" t="s">
        <v>289</v>
      </c>
      <c r="F39" s="853">
        <v>8583</v>
      </c>
    </row>
    <row r="40" spans="1:6" s="350" customFormat="1" ht="18" customHeight="1" x14ac:dyDescent="0.2">
      <c r="A40" s="851" t="s">
        <v>168</v>
      </c>
      <c r="B40" s="852" t="s">
        <v>246</v>
      </c>
      <c r="C40" s="852" t="s">
        <v>170</v>
      </c>
      <c r="D40" s="852" t="s">
        <v>734</v>
      </c>
      <c r="E40" s="852" t="s">
        <v>287</v>
      </c>
      <c r="F40" s="853">
        <v>12</v>
      </c>
    </row>
    <row r="41" spans="1:6" s="350" customFormat="1" ht="18" customHeight="1" x14ac:dyDescent="0.2">
      <c r="A41" s="851" t="s">
        <v>168</v>
      </c>
      <c r="B41" s="852" t="s">
        <v>246</v>
      </c>
      <c r="C41" s="852" t="s">
        <v>170</v>
      </c>
      <c r="D41" s="852" t="s">
        <v>213</v>
      </c>
      <c r="E41" s="852" t="s">
        <v>289</v>
      </c>
      <c r="F41" s="853">
        <v>396</v>
      </c>
    </row>
    <row r="42" spans="1:6" s="350" customFormat="1" ht="18" customHeight="1" x14ac:dyDescent="0.2">
      <c r="A42" s="851" t="s">
        <v>168</v>
      </c>
      <c r="B42" s="852" t="s">
        <v>246</v>
      </c>
      <c r="C42" s="852" t="s">
        <v>171</v>
      </c>
      <c r="D42" s="852" t="s">
        <v>734</v>
      </c>
      <c r="E42" s="852" t="s">
        <v>289</v>
      </c>
      <c r="F42" s="853">
        <v>3078</v>
      </c>
    </row>
    <row r="43" spans="1:6" s="350" customFormat="1" ht="18" customHeight="1" x14ac:dyDescent="0.2">
      <c r="A43" s="851" t="s">
        <v>168</v>
      </c>
      <c r="B43" s="852" t="s">
        <v>246</v>
      </c>
      <c r="C43" s="852" t="s">
        <v>171</v>
      </c>
      <c r="D43" s="852" t="s">
        <v>734</v>
      </c>
      <c r="E43" s="852" t="s">
        <v>287</v>
      </c>
      <c r="F43" s="853">
        <v>3</v>
      </c>
    </row>
    <row r="44" spans="1:6" s="350" customFormat="1" ht="18" customHeight="1" x14ac:dyDescent="0.2">
      <c r="A44" s="851" t="s">
        <v>168</v>
      </c>
      <c r="B44" s="852" t="s">
        <v>246</v>
      </c>
      <c r="C44" s="852" t="s">
        <v>171</v>
      </c>
      <c r="D44" s="852" t="s">
        <v>213</v>
      </c>
      <c r="E44" s="852" t="s">
        <v>289</v>
      </c>
      <c r="F44" s="853">
        <v>3231</v>
      </c>
    </row>
    <row r="45" spans="1:6" s="350" customFormat="1" ht="18" customHeight="1" x14ac:dyDescent="0.2">
      <c r="A45" s="851" t="s">
        <v>168</v>
      </c>
      <c r="B45" s="852" t="s">
        <v>246</v>
      </c>
      <c r="C45" s="852" t="s">
        <v>171</v>
      </c>
      <c r="D45" s="852" t="s">
        <v>213</v>
      </c>
      <c r="E45" s="852" t="s">
        <v>287</v>
      </c>
      <c r="F45" s="853">
        <v>12</v>
      </c>
    </row>
    <row r="46" spans="1:6" s="350" customFormat="1" ht="18" customHeight="1" x14ac:dyDescent="0.2">
      <c r="A46" s="851" t="s">
        <v>168</v>
      </c>
      <c r="B46" s="852" t="s">
        <v>143</v>
      </c>
      <c r="C46" s="852" t="s">
        <v>169</v>
      </c>
      <c r="D46" s="852" t="s">
        <v>734</v>
      </c>
      <c r="E46" s="852" t="s">
        <v>293</v>
      </c>
      <c r="F46" s="853">
        <v>1</v>
      </c>
    </row>
    <row r="47" spans="1:6" s="350" customFormat="1" ht="18" customHeight="1" x14ac:dyDescent="0.2">
      <c r="A47" s="851" t="s">
        <v>168</v>
      </c>
      <c r="B47" s="852" t="s">
        <v>143</v>
      </c>
      <c r="C47" s="852" t="s">
        <v>170</v>
      </c>
      <c r="D47" s="852" t="s">
        <v>734</v>
      </c>
      <c r="E47" s="852" t="s">
        <v>297</v>
      </c>
      <c r="F47" s="853">
        <v>2</v>
      </c>
    </row>
    <row r="48" spans="1:6" s="350" customFormat="1" ht="18" customHeight="1" x14ac:dyDescent="0.2">
      <c r="A48" s="851" t="s">
        <v>168</v>
      </c>
      <c r="B48" s="852" t="s">
        <v>143</v>
      </c>
      <c r="C48" s="852" t="s">
        <v>170</v>
      </c>
      <c r="D48" s="852" t="s">
        <v>734</v>
      </c>
      <c r="E48" s="852" t="s">
        <v>287</v>
      </c>
      <c r="F48" s="853">
        <v>2</v>
      </c>
    </row>
    <row r="49" spans="1:6" s="350" customFormat="1" ht="18" customHeight="1" x14ac:dyDescent="0.2">
      <c r="A49" s="851" t="s">
        <v>168</v>
      </c>
      <c r="B49" s="852" t="s">
        <v>143</v>
      </c>
      <c r="C49" s="852" t="s">
        <v>170</v>
      </c>
      <c r="D49" s="852" t="s">
        <v>213</v>
      </c>
      <c r="E49" s="852" t="s">
        <v>287</v>
      </c>
      <c r="F49" s="853">
        <v>2</v>
      </c>
    </row>
    <row r="50" spans="1:6" s="350" customFormat="1" ht="18" customHeight="1" x14ac:dyDescent="0.2">
      <c r="A50" s="851" t="s">
        <v>168</v>
      </c>
      <c r="B50" s="852" t="s">
        <v>143</v>
      </c>
      <c r="C50" s="852" t="s">
        <v>171</v>
      </c>
      <c r="D50" s="852" t="s">
        <v>734</v>
      </c>
      <c r="E50" s="852" t="s">
        <v>297</v>
      </c>
      <c r="F50" s="853">
        <v>1</v>
      </c>
    </row>
    <row r="51" spans="1:6" s="350" customFormat="1" ht="18" customHeight="1" x14ac:dyDescent="0.2">
      <c r="A51" s="851" t="s">
        <v>172</v>
      </c>
      <c r="B51" s="852" t="s">
        <v>242</v>
      </c>
      <c r="C51" s="852" t="s">
        <v>169</v>
      </c>
      <c r="D51" s="852" t="s">
        <v>734</v>
      </c>
      <c r="E51" s="852" t="s">
        <v>289</v>
      </c>
      <c r="F51" s="853">
        <v>105</v>
      </c>
    </row>
    <row r="52" spans="1:6" s="350" customFormat="1" ht="18" customHeight="1" x14ac:dyDescent="0.2">
      <c r="A52" s="851" t="s">
        <v>172</v>
      </c>
      <c r="B52" s="852" t="s">
        <v>242</v>
      </c>
      <c r="C52" s="852" t="s">
        <v>170</v>
      </c>
      <c r="D52" s="852" t="s">
        <v>734</v>
      </c>
      <c r="E52" s="852" t="s">
        <v>289</v>
      </c>
      <c r="F52" s="853">
        <v>621</v>
      </c>
    </row>
    <row r="53" spans="1:6" s="350" customFormat="1" ht="18" customHeight="1" x14ac:dyDescent="0.2">
      <c r="A53" s="851" t="s">
        <v>172</v>
      </c>
      <c r="B53" s="852" t="s">
        <v>242</v>
      </c>
      <c r="C53" s="852" t="s">
        <v>170</v>
      </c>
      <c r="D53" s="852" t="s">
        <v>734</v>
      </c>
      <c r="E53" s="852" t="s">
        <v>287</v>
      </c>
      <c r="F53" s="853">
        <v>12</v>
      </c>
    </row>
    <row r="54" spans="1:6" s="350" customFormat="1" ht="18" customHeight="1" x14ac:dyDescent="0.2">
      <c r="A54" s="851" t="s">
        <v>172</v>
      </c>
      <c r="B54" s="852" t="s">
        <v>242</v>
      </c>
      <c r="C54" s="852" t="s">
        <v>170</v>
      </c>
      <c r="D54" s="852" t="s">
        <v>213</v>
      </c>
      <c r="E54" s="852" t="s">
        <v>289</v>
      </c>
      <c r="F54" s="853">
        <v>351</v>
      </c>
    </row>
    <row r="55" spans="1:6" s="350" customFormat="1" ht="18" customHeight="1" x14ac:dyDescent="0.2">
      <c r="A55" s="851" t="s">
        <v>172</v>
      </c>
      <c r="B55" s="852" t="s">
        <v>242</v>
      </c>
      <c r="C55" s="852" t="s">
        <v>170</v>
      </c>
      <c r="D55" s="852" t="s">
        <v>213</v>
      </c>
      <c r="E55" s="852" t="s">
        <v>287</v>
      </c>
      <c r="F55" s="853">
        <v>3</v>
      </c>
    </row>
    <row r="56" spans="1:6" s="350" customFormat="1" ht="18" customHeight="1" x14ac:dyDescent="0.2">
      <c r="A56" s="851" t="s">
        <v>172</v>
      </c>
      <c r="B56" s="852" t="s">
        <v>242</v>
      </c>
      <c r="C56" s="852" t="s">
        <v>171</v>
      </c>
      <c r="D56" s="852" t="s">
        <v>734</v>
      </c>
      <c r="E56" s="852" t="s">
        <v>296</v>
      </c>
      <c r="F56" s="853">
        <v>4</v>
      </c>
    </row>
    <row r="57" spans="1:6" s="350" customFormat="1" ht="18" customHeight="1" x14ac:dyDescent="0.2">
      <c r="A57" s="851" t="s">
        <v>172</v>
      </c>
      <c r="B57" s="852" t="s">
        <v>242</v>
      </c>
      <c r="C57" s="852" t="s">
        <v>171</v>
      </c>
      <c r="D57" s="852" t="s">
        <v>734</v>
      </c>
      <c r="E57" s="852" t="s">
        <v>289</v>
      </c>
      <c r="F57" s="853">
        <v>2106</v>
      </c>
    </row>
    <row r="58" spans="1:6" s="350" customFormat="1" ht="18" customHeight="1" x14ac:dyDescent="0.2">
      <c r="A58" s="851" t="s">
        <v>172</v>
      </c>
      <c r="B58" s="852" t="s">
        <v>242</v>
      </c>
      <c r="C58" s="852" t="s">
        <v>171</v>
      </c>
      <c r="D58" s="852" t="s">
        <v>734</v>
      </c>
      <c r="E58" s="852" t="s">
        <v>287</v>
      </c>
      <c r="F58" s="853">
        <v>33</v>
      </c>
    </row>
    <row r="59" spans="1:6" s="350" customFormat="1" ht="18" customHeight="1" x14ac:dyDescent="0.2">
      <c r="A59" s="851" t="s">
        <v>172</v>
      </c>
      <c r="B59" s="852" t="s">
        <v>242</v>
      </c>
      <c r="C59" s="852" t="s">
        <v>171</v>
      </c>
      <c r="D59" s="852" t="s">
        <v>734</v>
      </c>
      <c r="E59" s="852" t="s">
        <v>293</v>
      </c>
      <c r="F59" s="853">
        <v>16</v>
      </c>
    </row>
    <row r="60" spans="1:6" s="350" customFormat="1" ht="18" customHeight="1" x14ac:dyDescent="0.2">
      <c r="A60" s="851" t="s">
        <v>172</v>
      </c>
      <c r="B60" s="852" t="s">
        <v>242</v>
      </c>
      <c r="C60" s="852" t="s">
        <v>171</v>
      </c>
      <c r="D60" s="852" t="s">
        <v>213</v>
      </c>
      <c r="E60" s="852" t="s">
        <v>289</v>
      </c>
      <c r="F60" s="853">
        <v>810</v>
      </c>
    </row>
    <row r="61" spans="1:6" s="350" customFormat="1" ht="18" customHeight="1" x14ac:dyDescent="0.2">
      <c r="A61" s="851" t="s">
        <v>172</v>
      </c>
      <c r="B61" s="852" t="s">
        <v>242</v>
      </c>
      <c r="C61" s="852" t="s">
        <v>171</v>
      </c>
      <c r="D61" s="852" t="s">
        <v>213</v>
      </c>
      <c r="E61" s="852" t="s">
        <v>287</v>
      </c>
      <c r="F61" s="853">
        <v>3</v>
      </c>
    </row>
    <row r="62" spans="1:6" s="350" customFormat="1" ht="18" customHeight="1" x14ac:dyDescent="0.2">
      <c r="A62" s="851" t="s">
        <v>172</v>
      </c>
      <c r="B62" s="852" t="s">
        <v>242</v>
      </c>
      <c r="C62" s="852" t="s">
        <v>173</v>
      </c>
      <c r="D62" s="852" t="s">
        <v>734</v>
      </c>
      <c r="E62" s="852" t="s">
        <v>289</v>
      </c>
      <c r="F62" s="853">
        <v>15276</v>
      </c>
    </row>
    <row r="63" spans="1:6" s="350" customFormat="1" ht="18" customHeight="1" x14ac:dyDescent="0.2">
      <c r="A63" s="851" t="s">
        <v>172</v>
      </c>
      <c r="B63" s="852" t="s">
        <v>242</v>
      </c>
      <c r="C63" s="852" t="s">
        <v>173</v>
      </c>
      <c r="D63" s="852" t="s">
        <v>734</v>
      </c>
      <c r="E63" s="852" t="s">
        <v>287</v>
      </c>
      <c r="F63" s="853">
        <v>36</v>
      </c>
    </row>
    <row r="64" spans="1:6" s="350" customFormat="1" ht="18" customHeight="1" x14ac:dyDescent="0.2">
      <c r="A64" s="851" t="s">
        <v>172</v>
      </c>
      <c r="B64" s="852" t="s">
        <v>242</v>
      </c>
      <c r="C64" s="852" t="s">
        <v>173</v>
      </c>
      <c r="D64" s="852" t="s">
        <v>212</v>
      </c>
      <c r="E64" s="852" t="s">
        <v>289</v>
      </c>
      <c r="F64" s="853">
        <v>2193</v>
      </c>
    </row>
    <row r="65" spans="1:6" s="350" customFormat="1" ht="18" customHeight="1" x14ac:dyDescent="0.2">
      <c r="A65" s="851" t="s">
        <v>172</v>
      </c>
      <c r="B65" s="852" t="s">
        <v>242</v>
      </c>
      <c r="C65" s="852" t="s">
        <v>173</v>
      </c>
      <c r="D65" s="852" t="s">
        <v>212</v>
      </c>
      <c r="E65" s="852" t="s">
        <v>287</v>
      </c>
      <c r="F65" s="853">
        <v>42</v>
      </c>
    </row>
    <row r="66" spans="1:6" s="350" customFormat="1" ht="18" customHeight="1" x14ac:dyDescent="0.2">
      <c r="A66" s="851" t="s">
        <v>172</v>
      </c>
      <c r="B66" s="852" t="s">
        <v>242</v>
      </c>
      <c r="C66" s="852" t="s">
        <v>173</v>
      </c>
      <c r="D66" s="852" t="s">
        <v>212</v>
      </c>
      <c r="E66" s="852" t="s">
        <v>293</v>
      </c>
      <c r="F66" s="853">
        <v>4</v>
      </c>
    </row>
    <row r="67" spans="1:6" s="350" customFormat="1" ht="18" customHeight="1" x14ac:dyDescent="0.2">
      <c r="A67" s="851" t="s">
        <v>172</v>
      </c>
      <c r="B67" s="852" t="s">
        <v>243</v>
      </c>
      <c r="C67" s="852" t="s">
        <v>169</v>
      </c>
      <c r="D67" s="852" t="s">
        <v>734</v>
      </c>
      <c r="E67" s="852" t="s">
        <v>287</v>
      </c>
      <c r="F67" s="853">
        <v>6</v>
      </c>
    </row>
    <row r="68" spans="1:6" s="350" customFormat="1" ht="18" customHeight="1" x14ac:dyDescent="0.2">
      <c r="A68" s="851" t="s">
        <v>172</v>
      </c>
      <c r="B68" s="852" t="s">
        <v>243</v>
      </c>
      <c r="C68" s="852" t="s">
        <v>170</v>
      </c>
      <c r="D68" s="852" t="s">
        <v>734</v>
      </c>
      <c r="E68" s="852" t="s">
        <v>289</v>
      </c>
      <c r="F68" s="853">
        <v>45</v>
      </c>
    </row>
    <row r="69" spans="1:6" s="350" customFormat="1" ht="18" customHeight="1" x14ac:dyDescent="0.2">
      <c r="A69" s="851" t="s">
        <v>172</v>
      </c>
      <c r="B69" s="852" t="s">
        <v>243</v>
      </c>
      <c r="C69" s="852" t="s">
        <v>170</v>
      </c>
      <c r="D69" s="852" t="s">
        <v>213</v>
      </c>
      <c r="E69" s="852" t="s">
        <v>289</v>
      </c>
      <c r="F69" s="853">
        <v>42</v>
      </c>
    </row>
    <row r="70" spans="1:6" s="350" customFormat="1" ht="18" customHeight="1" x14ac:dyDescent="0.2">
      <c r="A70" s="851" t="s">
        <v>172</v>
      </c>
      <c r="B70" s="852" t="s">
        <v>243</v>
      </c>
      <c r="C70" s="852" t="s">
        <v>171</v>
      </c>
      <c r="D70" s="852" t="s">
        <v>734</v>
      </c>
      <c r="E70" s="852" t="s">
        <v>289</v>
      </c>
      <c r="F70" s="853">
        <v>75</v>
      </c>
    </row>
    <row r="71" spans="1:6" s="350" customFormat="1" ht="18" customHeight="1" x14ac:dyDescent="0.2">
      <c r="A71" s="851" t="s">
        <v>172</v>
      </c>
      <c r="B71" s="852" t="s">
        <v>243</v>
      </c>
      <c r="C71" s="852" t="s">
        <v>171</v>
      </c>
      <c r="D71" s="852" t="s">
        <v>734</v>
      </c>
      <c r="E71" s="852" t="s">
        <v>287</v>
      </c>
      <c r="F71" s="853">
        <v>3</v>
      </c>
    </row>
    <row r="72" spans="1:6" s="350" customFormat="1" ht="18" customHeight="1" x14ac:dyDescent="0.2">
      <c r="A72" s="851" t="s">
        <v>172</v>
      </c>
      <c r="B72" s="852" t="s">
        <v>243</v>
      </c>
      <c r="C72" s="852" t="s">
        <v>173</v>
      </c>
      <c r="D72" s="852" t="s">
        <v>734</v>
      </c>
      <c r="E72" s="852" t="s">
        <v>289</v>
      </c>
      <c r="F72" s="853">
        <v>108</v>
      </c>
    </row>
    <row r="73" spans="1:6" s="350" customFormat="1" ht="18" customHeight="1" x14ac:dyDescent="0.2">
      <c r="A73" s="851" t="s">
        <v>172</v>
      </c>
      <c r="B73" s="852" t="s">
        <v>243</v>
      </c>
      <c r="C73" s="852" t="s">
        <v>173</v>
      </c>
      <c r="D73" s="852" t="s">
        <v>734</v>
      </c>
      <c r="E73" s="852" t="s">
        <v>287</v>
      </c>
      <c r="F73" s="853">
        <v>9</v>
      </c>
    </row>
    <row r="74" spans="1:6" s="350" customFormat="1" ht="18" customHeight="1" x14ac:dyDescent="0.2">
      <c r="A74" s="851" t="s">
        <v>172</v>
      </c>
      <c r="B74" s="852" t="s">
        <v>243</v>
      </c>
      <c r="C74" s="852" t="s">
        <v>173</v>
      </c>
      <c r="D74" s="852" t="s">
        <v>212</v>
      </c>
      <c r="E74" s="852" t="s">
        <v>289</v>
      </c>
      <c r="F74" s="853">
        <v>84</v>
      </c>
    </row>
    <row r="75" spans="1:6" s="350" customFormat="1" ht="18" customHeight="1" x14ac:dyDescent="0.2">
      <c r="A75" s="851" t="s">
        <v>172</v>
      </c>
      <c r="B75" s="852" t="s">
        <v>244</v>
      </c>
      <c r="C75" s="852" t="s">
        <v>169</v>
      </c>
      <c r="D75" s="852" t="s">
        <v>734</v>
      </c>
      <c r="E75" s="852" t="s">
        <v>294</v>
      </c>
      <c r="F75" s="853">
        <v>4</v>
      </c>
    </row>
    <row r="76" spans="1:6" s="350" customFormat="1" ht="18" customHeight="1" x14ac:dyDescent="0.2">
      <c r="A76" s="851" t="s">
        <v>172</v>
      </c>
      <c r="B76" s="852" t="s">
        <v>244</v>
      </c>
      <c r="C76" s="852" t="s">
        <v>169</v>
      </c>
      <c r="D76" s="852" t="s">
        <v>734</v>
      </c>
      <c r="E76" s="852" t="s">
        <v>296</v>
      </c>
      <c r="F76" s="853">
        <v>5</v>
      </c>
    </row>
    <row r="77" spans="1:6" s="350" customFormat="1" ht="18" customHeight="1" x14ac:dyDescent="0.2">
      <c r="A77" s="851" t="s">
        <v>172</v>
      </c>
      <c r="B77" s="852" t="s">
        <v>244</v>
      </c>
      <c r="C77" s="852" t="s">
        <v>169</v>
      </c>
      <c r="D77" s="852" t="s">
        <v>734</v>
      </c>
      <c r="E77" s="852" t="s">
        <v>297</v>
      </c>
      <c r="F77" s="853">
        <v>124</v>
      </c>
    </row>
    <row r="78" spans="1:6" s="350" customFormat="1" ht="18" customHeight="1" x14ac:dyDescent="0.2">
      <c r="A78" s="851" t="s">
        <v>172</v>
      </c>
      <c r="B78" s="852" t="s">
        <v>244</v>
      </c>
      <c r="C78" s="852" t="s">
        <v>169</v>
      </c>
      <c r="D78" s="852" t="s">
        <v>734</v>
      </c>
      <c r="E78" s="852" t="s">
        <v>287</v>
      </c>
      <c r="F78" s="853">
        <v>338</v>
      </c>
    </row>
    <row r="79" spans="1:6" s="350" customFormat="1" ht="18" customHeight="1" x14ac:dyDescent="0.2">
      <c r="A79" s="851" t="s">
        <v>172</v>
      </c>
      <c r="B79" s="852" t="s">
        <v>244</v>
      </c>
      <c r="C79" s="852" t="s">
        <v>169</v>
      </c>
      <c r="D79" s="852" t="s">
        <v>734</v>
      </c>
      <c r="E79" s="852" t="s">
        <v>293</v>
      </c>
      <c r="F79" s="853">
        <v>19</v>
      </c>
    </row>
    <row r="80" spans="1:6" s="350" customFormat="1" ht="18" customHeight="1" x14ac:dyDescent="0.2">
      <c r="A80" s="851" t="s">
        <v>172</v>
      </c>
      <c r="B80" s="852" t="s">
        <v>244</v>
      </c>
      <c r="C80" s="852" t="s">
        <v>170</v>
      </c>
      <c r="D80" s="852" t="s">
        <v>734</v>
      </c>
      <c r="E80" s="852" t="s">
        <v>297</v>
      </c>
      <c r="F80" s="853">
        <v>37</v>
      </c>
    </row>
    <row r="81" spans="1:6" s="350" customFormat="1" ht="18" customHeight="1" x14ac:dyDescent="0.2">
      <c r="A81" s="851" t="s">
        <v>172</v>
      </c>
      <c r="B81" s="852" t="s">
        <v>244</v>
      </c>
      <c r="C81" s="852" t="s">
        <v>170</v>
      </c>
      <c r="D81" s="852" t="s">
        <v>734</v>
      </c>
      <c r="E81" s="852" t="s">
        <v>287</v>
      </c>
      <c r="F81" s="853">
        <v>23</v>
      </c>
    </row>
    <row r="82" spans="1:6" s="350" customFormat="1" ht="18" customHeight="1" x14ac:dyDescent="0.2">
      <c r="A82" s="851" t="s">
        <v>172</v>
      </c>
      <c r="B82" s="852" t="s">
        <v>244</v>
      </c>
      <c r="C82" s="852" t="s">
        <v>170</v>
      </c>
      <c r="D82" s="852" t="s">
        <v>734</v>
      </c>
      <c r="E82" s="852" t="s">
        <v>293</v>
      </c>
      <c r="F82" s="853">
        <v>1</v>
      </c>
    </row>
    <row r="83" spans="1:6" s="350" customFormat="1" ht="18" customHeight="1" x14ac:dyDescent="0.2">
      <c r="A83" s="851" t="s">
        <v>172</v>
      </c>
      <c r="B83" s="852" t="s">
        <v>244</v>
      </c>
      <c r="C83" s="852" t="s">
        <v>170</v>
      </c>
      <c r="D83" s="852" t="s">
        <v>213</v>
      </c>
      <c r="E83" s="852" t="s">
        <v>297</v>
      </c>
      <c r="F83" s="853">
        <v>50</v>
      </c>
    </row>
    <row r="84" spans="1:6" s="350" customFormat="1" ht="18" customHeight="1" x14ac:dyDescent="0.2">
      <c r="A84" s="851" t="s">
        <v>172</v>
      </c>
      <c r="B84" s="852" t="s">
        <v>244</v>
      </c>
      <c r="C84" s="852" t="s">
        <v>170</v>
      </c>
      <c r="D84" s="852" t="s">
        <v>213</v>
      </c>
      <c r="E84" s="852" t="s">
        <v>287</v>
      </c>
      <c r="F84" s="853">
        <v>57</v>
      </c>
    </row>
    <row r="85" spans="1:6" s="350" customFormat="1" ht="18" customHeight="1" x14ac:dyDescent="0.2">
      <c r="A85" s="851" t="s">
        <v>172</v>
      </c>
      <c r="B85" s="852" t="s">
        <v>244</v>
      </c>
      <c r="C85" s="852" t="s">
        <v>170</v>
      </c>
      <c r="D85" s="852" t="s">
        <v>213</v>
      </c>
      <c r="E85" s="852" t="s">
        <v>293</v>
      </c>
      <c r="F85" s="853">
        <v>1</v>
      </c>
    </row>
    <row r="86" spans="1:6" s="350" customFormat="1" ht="18" customHeight="1" x14ac:dyDescent="0.2">
      <c r="A86" s="851" t="s">
        <v>172</v>
      </c>
      <c r="B86" s="852" t="s">
        <v>244</v>
      </c>
      <c r="C86" s="852" t="s">
        <v>171</v>
      </c>
      <c r="D86" s="852" t="s">
        <v>734</v>
      </c>
      <c r="E86" s="852" t="s">
        <v>296</v>
      </c>
      <c r="F86" s="853">
        <v>3</v>
      </c>
    </row>
    <row r="87" spans="1:6" s="350" customFormat="1" ht="18" customHeight="1" x14ac:dyDescent="0.2">
      <c r="A87" s="851" t="s">
        <v>172</v>
      </c>
      <c r="B87" s="852" t="s">
        <v>244</v>
      </c>
      <c r="C87" s="852" t="s">
        <v>171</v>
      </c>
      <c r="D87" s="852" t="s">
        <v>734</v>
      </c>
      <c r="E87" s="852" t="s">
        <v>297</v>
      </c>
      <c r="F87" s="853">
        <v>123</v>
      </c>
    </row>
    <row r="88" spans="1:6" s="350" customFormat="1" ht="18" customHeight="1" x14ac:dyDescent="0.2">
      <c r="A88" s="851" t="s">
        <v>172</v>
      </c>
      <c r="B88" s="852" t="s">
        <v>244</v>
      </c>
      <c r="C88" s="852" t="s">
        <v>171</v>
      </c>
      <c r="D88" s="852" t="s">
        <v>734</v>
      </c>
      <c r="E88" s="852" t="s">
        <v>287</v>
      </c>
      <c r="F88" s="853">
        <v>126</v>
      </c>
    </row>
    <row r="89" spans="1:6" s="350" customFormat="1" ht="18" customHeight="1" x14ac:dyDescent="0.2">
      <c r="A89" s="851" t="s">
        <v>172</v>
      </c>
      <c r="B89" s="852" t="s">
        <v>244</v>
      </c>
      <c r="C89" s="852" t="s">
        <v>171</v>
      </c>
      <c r="D89" s="852" t="s">
        <v>734</v>
      </c>
      <c r="E89" s="852" t="s">
        <v>293</v>
      </c>
      <c r="F89" s="853">
        <v>5</v>
      </c>
    </row>
    <row r="90" spans="1:6" s="350" customFormat="1" ht="18" customHeight="1" x14ac:dyDescent="0.2">
      <c r="A90" s="851" t="s">
        <v>172</v>
      </c>
      <c r="B90" s="852" t="s">
        <v>244</v>
      </c>
      <c r="C90" s="852" t="s">
        <v>171</v>
      </c>
      <c r="D90" s="852" t="s">
        <v>213</v>
      </c>
      <c r="E90" s="852" t="s">
        <v>296</v>
      </c>
      <c r="F90" s="853">
        <v>1</v>
      </c>
    </row>
    <row r="91" spans="1:6" s="350" customFormat="1" ht="18" customHeight="1" x14ac:dyDescent="0.2">
      <c r="A91" s="851" t="s">
        <v>172</v>
      </c>
      <c r="B91" s="852" t="s">
        <v>244</v>
      </c>
      <c r="C91" s="852" t="s">
        <v>171</v>
      </c>
      <c r="D91" s="852" t="s">
        <v>213</v>
      </c>
      <c r="E91" s="852" t="s">
        <v>297</v>
      </c>
      <c r="F91" s="853">
        <v>24</v>
      </c>
    </row>
    <row r="92" spans="1:6" s="350" customFormat="1" ht="18" customHeight="1" x14ac:dyDescent="0.2">
      <c r="A92" s="851" t="s">
        <v>172</v>
      </c>
      <c r="B92" s="852" t="s">
        <v>244</v>
      </c>
      <c r="C92" s="852" t="s">
        <v>171</v>
      </c>
      <c r="D92" s="852" t="s">
        <v>213</v>
      </c>
      <c r="E92" s="852" t="s">
        <v>287</v>
      </c>
      <c r="F92" s="853">
        <v>15</v>
      </c>
    </row>
    <row r="93" spans="1:6" s="350" customFormat="1" ht="18" customHeight="1" x14ac:dyDescent="0.2">
      <c r="A93" s="851" t="s">
        <v>172</v>
      </c>
      <c r="B93" s="852" t="s">
        <v>244</v>
      </c>
      <c r="C93" s="852" t="s">
        <v>173</v>
      </c>
      <c r="D93" s="852" t="s">
        <v>734</v>
      </c>
      <c r="E93" s="852" t="s">
        <v>294</v>
      </c>
      <c r="F93" s="853">
        <v>6</v>
      </c>
    </row>
    <row r="94" spans="1:6" s="350" customFormat="1" ht="18" customHeight="1" x14ac:dyDescent="0.2">
      <c r="A94" s="851" t="s">
        <v>172</v>
      </c>
      <c r="B94" s="852" t="s">
        <v>244</v>
      </c>
      <c r="C94" s="852" t="s">
        <v>173</v>
      </c>
      <c r="D94" s="852" t="s">
        <v>734</v>
      </c>
      <c r="E94" s="852" t="s">
        <v>296</v>
      </c>
      <c r="F94" s="853">
        <v>19</v>
      </c>
    </row>
    <row r="95" spans="1:6" s="350" customFormat="1" ht="18" customHeight="1" x14ac:dyDescent="0.2">
      <c r="A95" s="851" t="s">
        <v>172</v>
      </c>
      <c r="B95" s="852" t="s">
        <v>244</v>
      </c>
      <c r="C95" s="852" t="s">
        <v>173</v>
      </c>
      <c r="D95" s="852" t="s">
        <v>734</v>
      </c>
      <c r="E95" s="852" t="s">
        <v>297</v>
      </c>
      <c r="F95" s="853">
        <v>480</v>
      </c>
    </row>
    <row r="96" spans="1:6" s="350" customFormat="1" ht="18" customHeight="1" x14ac:dyDescent="0.2">
      <c r="A96" s="851" t="s">
        <v>172</v>
      </c>
      <c r="B96" s="852" t="s">
        <v>244</v>
      </c>
      <c r="C96" s="852" t="s">
        <v>173</v>
      </c>
      <c r="D96" s="852" t="s">
        <v>734</v>
      </c>
      <c r="E96" s="852" t="s">
        <v>287</v>
      </c>
      <c r="F96" s="853">
        <v>650</v>
      </c>
    </row>
    <row r="97" spans="1:6" s="350" customFormat="1" ht="18" customHeight="1" x14ac:dyDescent="0.2">
      <c r="A97" s="851" t="s">
        <v>172</v>
      </c>
      <c r="B97" s="852" t="s">
        <v>244</v>
      </c>
      <c r="C97" s="852" t="s">
        <v>173</v>
      </c>
      <c r="D97" s="852" t="s">
        <v>734</v>
      </c>
      <c r="E97" s="852" t="s">
        <v>293</v>
      </c>
      <c r="F97" s="853">
        <v>50</v>
      </c>
    </row>
    <row r="98" spans="1:6" s="350" customFormat="1" ht="18" customHeight="1" x14ac:dyDescent="0.2">
      <c r="A98" s="851" t="s">
        <v>172</v>
      </c>
      <c r="B98" s="852" t="s">
        <v>244</v>
      </c>
      <c r="C98" s="852" t="s">
        <v>173</v>
      </c>
      <c r="D98" s="852" t="s">
        <v>212</v>
      </c>
      <c r="E98" s="852" t="s">
        <v>296</v>
      </c>
      <c r="F98" s="853">
        <v>4</v>
      </c>
    </row>
    <row r="99" spans="1:6" s="350" customFormat="1" ht="18" customHeight="1" x14ac:dyDescent="0.2">
      <c r="A99" s="851" t="s">
        <v>172</v>
      </c>
      <c r="B99" s="852" t="s">
        <v>244</v>
      </c>
      <c r="C99" s="852" t="s">
        <v>173</v>
      </c>
      <c r="D99" s="852" t="s">
        <v>212</v>
      </c>
      <c r="E99" s="852" t="s">
        <v>297</v>
      </c>
      <c r="F99" s="853">
        <v>30</v>
      </c>
    </row>
    <row r="100" spans="1:6" s="350" customFormat="1" ht="18" customHeight="1" x14ac:dyDescent="0.2">
      <c r="A100" s="851" t="s">
        <v>172</v>
      </c>
      <c r="B100" s="852" t="s">
        <v>244</v>
      </c>
      <c r="C100" s="852" t="s">
        <v>173</v>
      </c>
      <c r="D100" s="852" t="s">
        <v>212</v>
      </c>
      <c r="E100" s="852" t="s">
        <v>287</v>
      </c>
      <c r="F100" s="853">
        <v>64</v>
      </c>
    </row>
    <row r="101" spans="1:6" s="350" customFormat="1" ht="18" customHeight="1" x14ac:dyDescent="0.2">
      <c r="A101" s="851" t="s">
        <v>172</v>
      </c>
      <c r="B101" s="852" t="s">
        <v>244</v>
      </c>
      <c r="C101" s="852" t="s">
        <v>173</v>
      </c>
      <c r="D101" s="852" t="s">
        <v>212</v>
      </c>
      <c r="E101" s="852" t="s">
        <v>293</v>
      </c>
      <c r="F101" s="853">
        <v>4</v>
      </c>
    </row>
    <row r="102" spans="1:6" s="350" customFormat="1" ht="18" customHeight="1" x14ac:dyDescent="0.2">
      <c r="A102" s="851" t="s">
        <v>172</v>
      </c>
      <c r="B102" s="852" t="s">
        <v>245</v>
      </c>
      <c r="C102" s="852" t="s">
        <v>169</v>
      </c>
      <c r="D102" s="852" t="s">
        <v>734</v>
      </c>
      <c r="E102" s="852" t="s">
        <v>296</v>
      </c>
      <c r="F102" s="853">
        <v>1</v>
      </c>
    </row>
    <row r="103" spans="1:6" s="350" customFormat="1" ht="18" customHeight="1" x14ac:dyDescent="0.2">
      <c r="A103" s="851" t="s">
        <v>172</v>
      </c>
      <c r="B103" s="852" t="s">
        <v>245</v>
      </c>
      <c r="C103" s="852" t="s">
        <v>169</v>
      </c>
      <c r="D103" s="852" t="s">
        <v>734</v>
      </c>
      <c r="E103" s="852" t="s">
        <v>297</v>
      </c>
      <c r="F103" s="853">
        <v>3</v>
      </c>
    </row>
    <row r="104" spans="1:6" s="350" customFormat="1" ht="18" customHeight="1" x14ac:dyDescent="0.2">
      <c r="A104" s="851" t="s">
        <v>172</v>
      </c>
      <c r="B104" s="852" t="s">
        <v>245</v>
      </c>
      <c r="C104" s="852" t="s">
        <v>169</v>
      </c>
      <c r="D104" s="852" t="s">
        <v>734</v>
      </c>
      <c r="E104" s="852" t="s">
        <v>287</v>
      </c>
      <c r="F104" s="853">
        <v>38</v>
      </c>
    </row>
    <row r="105" spans="1:6" s="350" customFormat="1" ht="18" customHeight="1" x14ac:dyDescent="0.2">
      <c r="A105" s="851" t="s">
        <v>172</v>
      </c>
      <c r="B105" s="852" t="s">
        <v>245</v>
      </c>
      <c r="C105" s="852" t="s">
        <v>169</v>
      </c>
      <c r="D105" s="852" t="s">
        <v>734</v>
      </c>
      <c r="E105" s="852" t="s">
        <v>293</v>
      </c>
      <c r="F105" s="853">
        <v>3</v>
      </c>
    </row>
    <row r="106" spans="1:6" s="350" customFormat="1" ht="18" customHeight="1" x14ac:dyDescent="0.2">
      <c r="A106" s="851" t="s">
        <v>172</v>
      </c>
      <c r="B106" s="852" t="s">
        <v>245</v>
      </c>
      <c r="C106" s="852" t="s">
        <v>170</v>
      </c>
      <c r="D106" s="852" t="s">
        <v>734</v>
      </c>
      <c r="E106" s="852" t="s">
        <v>297</v>
      </c>
      <c r="F106" s="853">
        <v>1</v>
      </c>
    </row>
    <row r="107" spans="1:6" s="350" customFormat="1" ht="18" customHeight="1" x14ac:dyDescent="0.2">
      <c r="A107" s="851" t="s">
        <v>172</v>
      </c>
      <c r="B107" s="852" t="s">
        <v>245</v>
      </c>
      <c r="C107" s="852" t="s">
        <v>170</v>
      </c>
      <c r="D107" s="852" t="s">
        <v>734</v>
      </c>
      <c r="E107" s="852" t="s">
        <v>287</v>
      </c>
      <c r="F107" s="853">
        <v>1</v>
      </c>
    </row>
    <row r="108" spans="1:6" s="350" customFormat="1" ht="18" customHeight="1" x14ac:dyDescent="0.2">
      <c r="A108" s="851" t="s">
        <v>172</v>
      </c>
      <c r="B108" s="852" t="s">
        <v>245</v>
      </c>
      <c r="C108" s="852" t="s">
        <v>170</v>
      </c>
      <c r="D108" s="852" t="s">
        <v>734</v>
      </c>
      <c r="E108" s="852" t="s">
        <v>293</v>
      </c>
      <c r="F108" s="853">
        <v>1</v>
      </c>
    </row>
    <row r="109" spans="1:6" s="350" customFormat="1" ht="18" customHeight="1" x14ac:dyDescent="0.2">
      <c r="A109" s="851" t="s">
        <v>172</v>
      </c>
      <c r="B109" s="852" t="s">
        <v>245</v>
      </c>
      <c r="C109" s="852" t="s">
        <v>170</v>
      </c>
      <c r="D109" s="852" t="s">
        <v>213</v>
      </c>
      <c r="E109" s="852" t="s">
        <v>287</v>
      </c>
      <c r="F109" s="853">
        <v>1</v>
      </c>
    </row>
    <row r="110" spans="1:6" s="350" customFormat="1" ht="18" customHeight="1" x14ac:dyDescent="0.2">
      <c r="A110" s="851" t="s">
        <v>172</v>
      </c>
      <c r="B110" s="852" t="s">
        <v>245</v>
      </c>
      <c r="C110" s="852" t="s">
        <v>171</v>
      </c>
      <c r="D110" s="852" t="s">
        <v>734</v>
      </c>
      <c r="E110" s="852" t="s">
        <v>296</v>
      </c>
      <c r="F110" s="853">
        <v>1</v>
      </c>
    </row>
    <row r="111" spans="1:6" s="350" customFormat="1" ht="18" customHeight="1" x14ac:dyDescent="0.2">
      <c r="A111" s="851" t="s">
        <v>172</v>
      </c>
      <c r="B111" s="852" t="s">
        <v>245</v>
      </c>
      <c r="C111" s="852" t="s">
        <v>171</v>
      </c>
      <c r="D111" s="852" t="s">
        <v>734</v>
      </c>
      <c r="E111" s="852" t="s">
        <v>297</v>
      </c>
      <c r="F111" s="853">
        <v>3</v>
      </c>
    </row>
    <row r="112" spans="1:6" s="350" customFormat="1" ht="18" customHeight="1" x14ac:dyDescent="0.2">
      <c r="A112" s="851" t="s">
        <v>172</v>
      </c>
      <c r="B112" s="852" t="s">
        <v>245</v>
      </c>
      <c r="C112" s="852" t="s">
        <v>171</v>
      </c>
      <c r="D112" s="852" t="s">
        <v>734</v>
      </c>
      <c r="E112" s="852" t="s">
        <v>287</v>
      </c>
      <c r="F112" s="853">
        <v>7</v>
      </c>
    </row>
    <row r="113" spans="1:6" s="350" customFormat="1" ht="18" customHeight="1" x14ac:dyDescent="0.2">
      <c r="A113" s="851" t="s">
        <v>172</v>
      </c>
      <c r="B113" s="852" t="s">
        <v>245</v>
      </c>
      <c r="C113" s="852" t="s">
        <v>171</v>
      </c>
      <c r="D113" s="852" t="s">
        <v>734</v>
      </c>
      <c r="E113" s="852" t="s">
        <v>293</v>
      </c>
      <c r="F113" s="853">
        <v>1</v>
      </c>
    </row>
    <row r="114" spans="1:6" s="350" customFormat="1" ht="18" customHeight="1" x14ac:dyDescent="0.2">
      <c r="A114" s="851" t="s">
        <v>172</v>
      </c>
      <c r="B114" s="852" t="s">
        <v>245</v>
      </c>
      <c r="C114" s="852" t="s">
        <v>171</v>
      </c>
      <c r="D114" s="852" t="s">
        <v>213</v>
      </c>
      <c r="E114" s="852" t="s">
        <v>297</v>
      </c>
      <c r="F114" s="853">
        <v>3</v>
      </c>
    </row>
    <row r="115" spans="1:6" s="350" customFormat="1" ht="18" customHeight="1" x14ac:dyDescent="0.2">
      <c r="A115" s="851" t="s">
        <v>172</v>
      </c>
      <c r="B115" s="852" t="s">
        <v>245</v>
      </c>
      <c r="C115" s="852" t="s">
        <v>173</v>
      </c>
      <c r="D115" s="852" t="s">
        <v>734</v>
      </c>
      <c r="E115" s="852" t="s">
        <v>294</v>
      </c>
      <c r="F115" s="853">
        <v>2</v>
      </c>
    </row>
    <row r="116" spans="1:6" s="350" customFormat="1" ht="18" customHeight="1" x14ac:dyDescent="0.2">
      <c r="A116" s="851" t="s">
        <v>172</v>
      </c>
      <c r="B116" s="852" t="s">
        <v>245</v>
      </c>
      <c r="C116" s="852" t="s">
        <v>173</v>
      </c>
      <c r="D116" s="852" t="s">
        <v>734</v>
      </c>
      <c r="E116" s="852" t="s">
        <v>296</v>
      </c>
      <c r="F116" s="853">
        <v>3</v>
      </c>
    </row>
    <row r="117" spans="1:6" s="350" customFormat="1" ht="18" customHeight="1" x14ac:dyDescent="0.2">
      <c r="A117" s="851" t="s">
        <v>172</v>
      </c>
      <c r="B117" s="852" t="s">
        <v>245</v>
      </c>
      <c r="C117" s="852" t="s">
        <v>173</v>
      </c>
      <c r="D117" s="852" t="s">
        <v>734</v>
      </c>
      <c r="E117" s="852" t="s">
        <v>297</v>
      </c>
      <c r="F117" s="853">
        <v>22</v>
      </c>
    </row>
    <row r="118" spans="1:6" s="350" customFormat="1" ht="18" customHeight="1" x14ac:dyDescent="0.2">
      <c r="A118" s="851" t="s">
        <v>172</v>
      </c>
      <c r="B118" s="852" t="s">
        <v>245</v>
      </c>
      <c r="C118" s="852" t="s">
        <v>173</v>
      </c>
      <c r="D118" s="852" t="s">
        <v>734</v>
      </c>
      <c r="E118" s="852" t="s">
        <v>287</v>
      </c>
      <c r="F118" s="853">
        <v>73</v>
      </c>
    </row>
    <row r="119" spans="1:6" s="350" customFormat="1" ht="18" customHeight="1" x14ac:dyDescent="0.2">
      <c r="A119" s="851" t="s">
        <v>172</v>
      </c>
      <c r="B119" s="852" t="s">
        <v>245</v>
      </c>
      <c r="C119" s="852" t="s">
        <v>173</v>
      </c>
      <c r="D119" s="852" t="s">
        <v>734</v>
      </c>
      <c r="E119" s="852" t="s">
        <v>293</v>
      </c>
      <c r="F119" s="853">
        <v>6</v>
      </c>
    </row>
    <row r="120" spans="1:6" s="350" customFormat="1" ht="18" customHeight="1" x14ac:dyDescent="0.2">
      <c r="A120" s="851" t="s">
        <v>172</v>
      </c>
      <c r="B120" s="852" t="s">
        <v>245</v>
      </c>
      <c r="C120" s="852" t="s">
        <v>173</v>
      </c>
      <c r="D120" s="852" t="s">
        <v>212</v>
      </c>
      <c r="E120" s="852" t="s">
        <v>297</v>
      </c>
      <c r="F120" s="853">
        <v>2</v>
      </c>
    </row>
    <row r="121" spans="1:6" s="350" customFormat="1" ht="18" customHeight="1" x14ac:dyDescent="0.2">
      <c r="A121" s="851" t="s">
        <v>172</v>
      </c>
      <c r="B121" s="852" t="s">
        <v>245</v>
      </c>
      <c r="C121" s="852" t="s">
        <v>173</v>
      </c>
      <c r="D121" s="852" t="s">
        <v>212</v>
      </c>
      <c r="E121" s="852" t="s">
        <v>287</v>
      </c>
      <c r="F121" s="853">
        <v>4</v>
      </c>
    </row>
    <row r="122" spans="1:6" s="350" customFormat="1" ht="18" customHeight="1" x14ac:dyDescent="0.2">
      <c r="A122" s="851" t="s">
        <v>172</v>
      </c>
      <c r="B122" s="852" t="s">
        <v>141</v>
      </c>
      <c r="C122" s="852" t="s">
        <v>169</v>
      </c>
      <c r="D122" s="852" t="s">
        <v>734</v>
      </c>
      <c r="E122" s="852" t="s">
        <v>294</v>
      </c>
      <c r="F122" s="853">
        <v>1</v>
      </c>
    </row>
    <row r="123" spans="1:6" s="350" customFormat="1" ht="18" customHeight="1" x14ac:dyDescent="0.2">
      <c r="A123" s="851" t="s">
        <v>172</v>
      </c>
      <c r="B123" s="852" t="s">
        <v>141</v>
      </c>
      <c r="C123" s="852" t="s">
        <v>169</v>
      </c>
      <c r="D123" s="852" t="s">
        <v>734</v>
      </c>
      <c r="E123" s="852" t="s">
        <v>296</v>
      </c>
      <c r="F123" s="853">
        <v>1</v>
      </c>
    </row>
    <row r="124" spans="1:6" s="350" customFormat="1" ht="18" customHeight="1" x14ac:dyDescent="0.2">
      <c r="A124" s="851" t="s">
        <v>172</v>
      </c>
      <c r="B124" s="852" t="s">
        <v>246</v>
      </c>
      <c r="C124" s="852" t="s">
        <v>169</v>
      </c>
      <c r="D124" s="852" t="s">
        <v>734</v>
      </c>
      <c r="E124" s="852" t="s">
        <v>289</v>
      </c>
      <c r="F124" s="853">
        <v>207</v>
      </c>
    </row>
    <row r="125" spans="1:6" s="350" customFormat="1" ht="18" customHeight="1" x14ac:dyDescent="0.2">
      <c r="A125" s="851" t="s">
        <v>172</v>
      </c>
      <c r="B125" s="852" t="s">
        <v>246</v>
      </c>
      <c r="C125" s="852" t="s">
        <v>169</v>
      </c>
      <c r="D125" s="852" t="s">
        <v>734</v>
      </c>
      <c r="E125" s="852" t="s">
        <v>287</v>
      </c>
      <c r="F125" s="853">
        <v>3</v>
      </c>
    </row>
    <row r="126" spans="1:6" s="350" customFormat="1" ht="18" customHeight="1" x14ac:dyDescent="0.2">
      <c r="A126" s="851" t="s">
        <v>172</v>
      </c>
      <c r="B126" s="852" t="s">
        <v>246</v>
      </c>
      <c r="C126" s="852" t="s">
        <v>170</v>
      </c>
      <c r="D126" s="852" t="s">
        <v>734</v>
      </c>
      <c r="E126" s="852" t="s">
        <v>289</v>
      </c>
      <c r="F126" s="853">
        <v>7794</v>
      </c>
    </row>
    <row r="127" spans="1:6" s="350" customFormat="1" ht="18" customHeight="1" x14ac:dyDescent="0.2">
      <c r="A127" s="851" t="s">
        <v>172</v>
      </c>
      <c r="B127" s="852" t="s">
        <v>246</v>
      </c>
      <c r="C127" s="852" t="s">
        <v>170</v>
      </c>
      <c r="D127" s="852" t="s">
        <v>734</v>
      </c>
      <c r="E127" s="852" t="s">
        <v>287</v>
      </c>
      <c r="F127" s="853">
        <v>18</v>
      </c>
    </row>
    <row r="128" spans="1:6" s="350" customFormat="1" ht="18" customHeight="1" x14ac:dyDescent="0.2">
      <c r="A128" s="851" t="s">
        <v>172</v>
      </c>
      <c r="B128" s="852" t="s">
        <v>246</v>
      </c>
      <c r="C128" s="852" t="s">
        <v>170</v>
      </c>
      <c r="D128" s="852" t="s">
        <v>213</v>
      </c>
      <c r="E128" s="852" t="s">
        <v>289</v>
      </c>
      <c r="F128" s="853">
        <v>10167</v>
      </c>
    </row>
    <row r="129" spans="1:6" s="350" customFormat="1" ht="18" customHeight="1" x14ac:dyDescent="0.2">
      <c r="A129" s="851" t="s">
        <v>172</v>
      </c>
      <c r="B129" s="852" t="s">
        <v>246</v>
      </c>
      <c r="C129" s="852" t="s">
        <v>170</v>
      </c>
      <c r="D129" s="852" t="s">
        <v>213</v>
      </c>
      <c r="E129" s="852" t="s">
        <v>287</v>
      </c>
      <c r="F129" s="853">
        <v>6</v>
      </c>
    </row>
    <row r="130" spans="1:6" s="350" customFormat="1" ht="18" customHeight="1" x14ac:dyDescent="0.2">
      <c r="A130" s="851" t="s">
        <v>172</v>
      </c>
      <c r="B130" s="852" t="s">
        <v>246</v>
      </c>
      <c r="C130" s="852" t="s">
        <v>171</v>
      </c>
      <c r="D130" s="852" t="s">
        <v>734</v>
      </c>
      <c r="E130" s="852" t="s">
        <v>289</v>
      </c>
      <c r="F130" s="853">
        <v>18816</v>
      </c>
    </row>
    <row r="131" spans="1:6" s="350" customFormat="1" ht="18" customHeight="1" x14ac:dyDescent="0.2">
      <c r="A131" s="851" t="s">
        <v>172</v>
      </c>
      <c r="B131" s="852" t="s">
        <v>246</v>
      </c>
      <c r="C131" s="852" t="s">
        <v>171</v>
      </c>
      <c r="D131" s="852" t="s">
        <v>734</v>
      </c>
      <c r="E131" s="852" t="s">
        <v>287</v>
      </c>
      <c r="F131" s="853">
        <v>9</v>
      </c>
    </row>
    <row r="132" spans="1:6" s="350" customFormat="1" ht="18" customHeight="1" x14ac:dyDescent="0.2">
      <c r="A132" s="851" t="s">
        <v>172</v>
      </c>
      <c r="B132" s="852" t="s">
        <v>246</v>
      </c>
      <c r="C132" s="852" t="s">
        <v>171</v>
      </c>
      <c r="D132" s="852" t="s">
        <v>213</v>
      </c>
      <c r="E132" s="852" t="s">
        <v>289</v>
      </c>
      <c r="F132" s="853">
        <v>4092</v>
      </c>
    </row>
    <row r="133" spans="1:6" s="350" customFormat="1" ht="18" customHeight="1" x14ac:dyDescent="0.2">
      <c r="A133" s="851" t="s">
        <v>172</v>
      </c>
      <c r="B133" s="852" t="s">
        <v>246</v>
      </c>
      <c r="C133" s="852" t="s">
        <v>173</v>
      </c>
      <c r="D133" s="852" t="s">
        <v>734</v>
      </c>
      <c r="E133" s="852" t="s">
        <v>296</v>
      </c>
      <c r="F133" s="853">
        <v>2</v>
      </c>
    </row>
    <row r="134" spans="1:6" s="350" customFormat="1" ht="18" customHeight="1" x14ac:dyDescent="0.2">
      <c r="A134" s="851" t="s">
        <v>172</v>
      </c>
      <c r="B134" s="852" t="s">
        <v>246</v>
      </c>
      <c r="C134" s="852" t="s">
        <v>173</v>
      </c>
      <c r="D134" s="852" t="s">
        <v>734</v>
      </c>
      <c r="E134" s="852" t="s">
        <v>289</v>
      </c>
      <c r="F134" s="853">
        <v>68616</v>
      </c>
    </row>
    <row r="135" spans="1:6" s="350" customFormat="1" ht="18" customHeight="1" x14ac:dyDescent="0.2">
      <c r="A135" s="851" t="s">
        <v>172</v>
      </c>
      <c r="B135" s="852" t="s">
        <v>246</v>
      </c>
      <c r="C135" s="852" t="s">
        <v>173</v>
      </c>
      <c r="D135" s="852" t="s">
        <v>734</v>
      </c>
      <c r="E135" s="852" t="s">
        <v>287</v>
      </c>
      <c r="F135" s="853">
        <v>90</v>
      </c>
    </row>
    <row r="136" spans="1:6" s="350" customFormat="1" ht="18" customHeight="1" x14ac:dyDescent="0.2">
      <c r="A136" s="851" t="s">
        <v>172</v>
      </c>
      <c r="B136" s="852" t="s">
        <v>246</v>
      </c>
      <c r="C136" s="852" t="s">
        <v>173</v>
      </c>
      <c r="D136" s="852" t="s">
        <v>212</v>
      </c>
      <c r="E136" s="852" t="s">
        <v>289</v>
      </c>
      <c r="F136" s="853">
        <v>3456</v>
      </c>
    </row>
    <row r="137" spans="1:6" s="350" customFormat="1" ht="18" customHeight="1" x14ac:dyDescent="0.2">
      <c r="A137" s="851" t="s">
        <v>172</v>
      </c>
      <c r="B137" s="852" t="s">
        <v>246</v>
      </c>
      <c r="C137" s="852" t="s">
        <v>173</v>
      </c>
      <c r="D137" s="852" t="s">
        <v>212</v>
      </c>
      <c r="E137" s="852" t="s">
        <v>287</v>
      </c>
      <c r="F137" s="853">
        <v>36</v>
      </c>
    </row>
    <row r="138" spans="1:6" s="350" customFormat="1" ht="18" customHeight="1" x14ac:dyDescent="0.2">
      <c r="A138" s="851" t="s">
        <v>172</v>
      </c>
      <c r="B138" s="852" t="s">
        <v>143</v>
      </c>
      <c r="C138" s="852" t="s">
        <v>169</v>
      </c>
      <c r="D138" s="852" t="s">
        <v>734</v>
      </c>
      <c r="E138" s="852" t="s">
        <v>296</v>
      </c>
      <c r="F138" s="853">
        <v>1</v>
      </c>
    </row>
    <row r="139" spans="1:6" s="350" customFormat="1" ht="18" customHeight="1" x14ac:dyDescent="0.2">
      <c r="A139" s="851" t="s">
        <v>172</v>
      </c>
      <c r="B139" s="852" t="s">
        <v>143</v>
      </c>
      <c r="C139" s="852" t="s">
        <v>169</v>
      </c>
      <c r="D139" s="852" t="s">
        <v>734</v>
      </c>
      <c r="E139" s="852" t="s">
        <v>287</v>
      </c>
      <c r="F139" s="853">
        <v>6</v>
      </c>
    </row>
    <row r="140" spans="1:6" s="350" customFormat="1" ht="18" customHeight="1" x14ac:dyDescent="0.2">
      <c r="A140" s="851" t="s">
        <v>172</v>
      </c>
      <c r="B140" s="852" t="s">
        <v>143</v>
      </c>
      <c r="C140" s="852" t="s">
        <v>170</v>
      </c>
      <c r="D140" s="852" t="s">
        <v>213</v>
      </c>
      <c r="E140" s="852" t="s">
        <v>297</v>
      </c>
      <c r="F140" s="853">
        <v>1</v>
      </c>
    </row>
    <row r="141" spans="1:6" s="350" customFormat="1" ht="18" customHeight="1" x14ac:dyDescent="0.2">
      <c r="A141" s="851" t="s">
        <v>172</v>
      </c>
      <c r="B141" s="852" t="s">
        <v>143</v>
      </c>
      <c r="C141" s="852" t="s">
        <v>170</v>
      </c>
      <c r="D141" s="852" t="s">
        <v>213</v>
      </c>
      <c r="E141" s="852" t="s">
        <v>287</v>
      </c>
      <c r="F141" s="853">
        <v>2</v>
      </c>
    </row>
    <row r="142" spans="1:6" s="350" customFormat="1" ht="18" customHeight="1" x14ac:dyDescent="0.2">
      <c r="A142" s="851" t="s">
        <v>172</v>
      </c>
      <c r="B142" s="852" t="s">
        <v>143</v>
      </c>
      <c r="C142" s="852" t="s">
        <v>171</v>
      </c>
      <c r="D142" s="852" t="s">
        <v>734</v>
      </c>
      <c r="E142" s="852" t="s">
        <v>297</v>
      </c>
      <c r="F142" s="853">
        <v>1</v>
      </c>
    </row>
    <row r="143" spans="1:6" s="350" customFormat="1" ht="18" customHeight="1" x14ac:dyDescent="0.2">
      <c r="A143" s="851" t="s">
        <v>172</v>
      </c>
      <c r="B143" s="852" t="s">
        <v>143</v>
      </c>
      <c r="C143" s="852" t="s">
        <v>171</v>
      </c>
      <c r="D143" s="852" t="s">
        <v>734</v>
      </c>
      <c r="E143" s="852" t="s">
        <v>287</v>
      </c>
      <c r="F143" s="853">
        <v>5</v>
      </c>
    </row>
    <row r="144" spans="1:6" s="350" customFormat="1" ht="18" customHeight="1" x14ac:dyDescent="0.2">
      <c r="A144" s="851" t="s">
        <v>172</v>
      </c>
      <c r="B144" s="852" t="s">
        <v>143</v>
      </c>
      <c r="C144" s="852" t="s">
        <v>173</v>
      </c>
      <c r="D144" s="852" t="s">
        <v>734</v>
      </c>
      <c r="E144" s="852" t="s">
        <v>294</v>
      </c>
      <c r="F144" s="853">
        <v>1</v>
      </c>
    </row>
    <row r="145" spans="1:6" s="350" customFormat="1" ht="18" customHeight="1" x14ac:dyDescent="0.2">
      <c r="A145" s="851" t="s">
        <v>172</v>
      </c>
      <c r="B145" s="852" t="s">
        <v>143</v>
      </c>
      <c r="C145" s="852" t="s">
        <v>173</v>
      </c>
      <c r="D145" s="852" t="s">
        <v>734</v>
      </c>
      <c r="E145" s="852" t="s">
        <v>297</v>
      </c>
      <c r="F145" s="853">
        <v>1</v>
      </c>
    </row>
    <row r="146" spans="1:6" s="350" customFormat="1" ht="18" customHeight="1" x14ac:dyDescent="0.2">
      <c r="A146" s="851" t="s">
        <v>172</v>
      </c>
      <c r="B146" s="852" t="s">
        <v>143</v>
      </c>
      <c r="C146" s="852" t="s">
        <v>173</v>
      </c>
      <c r="D146" s="852" t="s">
        <v>734</v>
      </c>
      <c r="E146" s="852" t="s">
        <v>287</v>
      </c>
      <c r="F146" s="853">
        <v>4</v>
      </c>
    </row>
    <row r="147" spans="1:6" s="350" customFormat="1" ht="18" customHeight="1" x14ac:dyDescent="0.2">
      <c r="A147" s="851" t="s">
        <v>172</v>
      </c>
      <c r="B147" s="852" t="s">
        <v>143</v>
      </c>
      <c r="C147" s="852" t="s">
        <v>173</v>
      </c>
      <c r="D147" s="852" t="s">
        <v>212</v>
      </c>
      <c r="E147" s="852" t="s">
        <v>297</v>
      </c>
      <c r="F147" s="853">
        <v>1</v>
      </c>
    </row>
    <row r="148" spans="1:6" s="350" customFormat="1" ht="18" customHeight="1" x14ac:dyDescent="0.2">
      <c r="A148" s="851" t="s">
        <v>172</v>
      </c>
      <c r="B148" s="852" t="s">
        <v>143</v>
      </c>
      <c r="C148" s="852" t="s">
        <v>173</v>
      </c>
      <c r="D148" s="852" t="s">
        <v>212</v>
      </c>
      <c r="E148" s="852" t="s">
        <v>287</v>
      </c>
      <c r="F148" s="853">
        <v>1</v>
      </c>
    </row>
    <row r="149" spans="1:6" s="350" customFormat="1" ht="18" customHeight="1" x14ac:dyDescent="0.2">
      <c r="A149" s="851" t="s">
        <v>174</v>
      </c>
      <c r="B149" s="852" t="s">
        <v>242</v>
      </c>
      <c r="C149" s="852" t="s">
        <v>169</v>
      </c>
      <c r="D149" s="852" t="s">
        <v>734</v>
      </c>
      <c r="E149" s="852" t="s">
        <v>289</v>
      </c>
      <c r="F149" s="853">
        <v>729</v>
      </c>
    </row>
    <row r="150" spans="1:6" s="350" customFormat="1" ht="18" customHeight="1" x14ac:dyDescent="0.2">
      <c r="A150" s="851" t="s">
        <v>174</v>
      </c>
      <c r="B150" s="852" t="s">
        <v>242</v>
      </c>
      <c r="C150" s="852" t="s">
        <v>170</v>
      </c>
      <c r="D150" s="852" t="s">
        <v>734</v>
      </c>
      <c r="E150" s="852" t="s">
        <v>289</v>
      </c>
      <c r="F150" s="853">
        <v>7785</v>
      </c>
    </row>
    <row r="151" spans="1:6" s="350" customFormat="1" ht="18" customHeight="1" x14ac:dyDescent="0.2">
      <c r="A151" s="851" t="s">
        <v>174</v>
      </c>
      <c r="B151" s="852" t="s">
        <v>242</v>
      </c>
      <c r="C151" s="852" t="s">
        <v>170</v>
      </c>
      <c r="D151" s="852" t="s">
        <v>734</v>
      </c>
      <c r="E151" s="852" t="s">
        <v>287</v>
      </c>
      <c r="F151" s="853">
        <v>6</v>
      </c>
    </row>
    <row r="152" spans="1:6" s="350" customFormat="1" ht="18" customHeight="1" x14ac:dyDescent="0.2">
      <c r="A152" s="851" t="s">
        <v>174</v>
      </c>
      <c r="B152" s="852" t="s">
        <v>242</v>
      </c>
      <c r="C152" s="852" t="s">
        <v>170</v>
      </c>
      <c r="D152" s="852" t="s">
        <v>210</v>
      </c>
      <c r="E152" s="852" t="s">
        <v>289</v>
      </c>
      <c r="F152" s="853">
        <v>813</v>
      </c>
    </row>
    <row r="153" spans="1:6" s="350" customFormat="1" ht="18" customHeight="1" x14ac:dyDescent="0.2">
      <c r="A153" s="851" t="s">
        <v>174</v>
      </c>
      <c r="B153" s="852" t="s">
        <v>242</v>
      </c>
      <c r="C153" s="852" t="s">
        <v>171</v>
      </c>
      <c r="D153" s="852" t="s">
        <v>734</v>
      </c>
      <c r="E153" s="852" t="s">
        <v>289</v>
      </c>
      <c r="F153" s="853">
        <v>1602</v>
      </c>
    </row>
    <row r="154" spans="1:6" s="350" customFormat="1" ht="18" customHeight="1" x14ac:dyDescent="0.2">
      <c r="A154" s="851" t="s">
        <v>174</v>
      </c>
      <c r="B154" s="852" t="s">
        <v>242</v>
      </c>
      <c r="C154" s="852" t="s">
        <v>171</v>
      </c>
      <c r="D154" s="852" t="s">
        <v>734</v>
      </c>
      <c r="E154" s="852" t="s">
        <v>287</v>
      </c>
      <c r="F154" s="853">
        <v>3</v>
      </c>
    </row>
    <row r="155" spans="1:6" s="350" customFormat="1" ht="18" customHeight="1" x14ac:dyDescent="0.2">
      <c r="A155" s="851" t="s">
        <v>174</v>
      </c>
      <c r="B155" s="852" t="s">
        <v>242</v>
      </c>
      <c r="C155" s="852" t="s">
        <v>173</v>
      </c>
      <c r="D155" s="852" t="s">
        <v>734</v>
      </c>
      <c r="E155" s="852" t="s">
        <v>289</v>
      </c>
      <c r="F155" s="853">
        <v>2049</v>
      </c>
    </row>
    <row r="156" spans="1:6" s="350" customFormat="1" ht="18" customHeight="1" x14ac:dyDescent="0.2">
      <c r="A156" s="851" t="s">
        <v>174</v>
      </c>
      <c r="B156" s="852" t="s">
        <v>242</v>
      </c>
      <c r="C156" s="852" t="s">
        <v>173</v>
      </c>
      <c r="D156" s="852" t="s">
        <v>210</v>
      </c>
      <c r="E156" s="852" t="s">
        <v>289</v>
      </c>
      <c r="F156" s="853">
        <v>1500</v>
      </c>
    </row>
    <row r="157" spans="1:6" s="350" customFormat="1" ht="18" customHeight="1" x14ac:dyDescent="0.2">
      <c r="A157" s="851" t="s">
        <v>174</v>
      </c>
      <c r="B157" s="852" t="s">
        <v>243</v>
      </c>
      <c r="C157" s="852" t="s">
        <v>169</v>
      </c>
      <c r="D157" s="852" t="s">
        <v>734</v>
      </c>
      <c r="E157" s="852" t="s">
        <v>289</v>
      </c>
      <c r="F157" s="853">
        <v>36</v>
      </c>
    </row>
    <row r="158" spans="1:6" s="350" customFormat="1" ht="18" customHeight="1" x14ac:dyDescent="0.2">
      <c r="A158" s="851" t="s">
        <v>174</v>
      </c>
      <c r="B158" s="852" t="s">
        <v>243</v>
      </c>
      <c r="C158" s="852" t="s">
        <v>170</v>
      </c>
      <c r="D158" s="852" t="s">
        <v>734</v>
      </c>
      <c r="E158" s="852" t="s">
        <v>289</v>
      </c>
      <c r="F158" s="853">
        <v>195</v>
      </c>
    </row>
    <row r="159" spans="1:6" s="350" customFormat="1" ht="18" customHeight="1" x14ac:dyDescent="0.2">
      <c r="A159" s="851" t="s">
        <v>174</v>
      </c>
      <c r="B159" s="852" t="s">
        <v>243</v>
      </c>
      <c r="C159" s="852" t="s">
        <v>170</v>
      </c>
      <c r="D159" s="852" t="s">
        <v>210</v>
      </c>
      <c r="E159" s="852" t="s">
        <v>289</v>
      </c>
      <c r="F159" s="853">
        <v>12</v>
      </c>
    </row>
    <row r="160" spans="1:6" s="350" customFormat="1" ht="18" customHeight="1" x14ac:dyDescent="0.2">
      <c r="A160" s="851" t="s">
        <v>174</v>
      </c>
      <c r="B160" s="852" t="s">
        <v>243</v>
      </c>
      <c r="C160" s="852" t="s">
        <v>170</v>
      </c>
      <c r="D160" s="852" t="s">
        <v>210</v>
      </c>
      <c r="E160" s="852" t="s">
        <v>287</v>
      </c>
      <c r="F160" s="853">
        <v>3</v>
      </c>
    </row>
    <row r="161" spans="1:6" s="350" customFormat="1" ht="18" customHeight="1" x14ac:dyDescent="0.2">
      <c r="A161" s="851" t="s">
        <v>174</v>
      </c>
      <c r="B161" s="852" t="s">
        <v>243</v>
      </c>
      <c r="C161" s="852" t="s">
        <v>171</v>
      </c>
      <c r="D161" s="852" t="s">
        <v>734</v>
      </c>
      <c r="E161" s="852" t="s">
        <v>289</v>
      </c>
      <c r="F161" s="853">
        <v>309</v>
      </c>
    </row>
    <row r="162" spans="1:6" s="350" customFormat="1" ht="18" customHeight="1" x14ac:dyDescent="0.2">
      <c r="A162" s="851" t="s">
        <v>174</v>
      </c>
      <c r="B162" s="852" t="s">
        <v>243</v>
      </c>
      <c r="C162" s="852" t="s">
        <v>173</v>
      </c>
      <c r="D162" s="852" t="s">
        <v>734</v>
      </c>
      <c r="E162" s="852" t="s">
        <v>289</v>
      </c>
      <c r="F162" s="853">
        <v>33</v>
      </c>
    </row>
    <row r="163" spans="1:6" s="350" customFormat="1" ht="18" customHeight="1" x14ac:dyDescent="0.2">
      <c r="A163" s="851" t="s">
        <v>174</v>
      </c>
      <c r="B163" s="852" t="s">
        <v>243</v>
      </c>
      <c r="C163" s="852" t="s">
        <v>173</v>
      </c>
      <c r="D163" s="852" t="s">
        <v>210</v>
      </c>
      <c r="E163" s="852" t="s">
        <v>289</v>
      </c>
      <c r="F163" s="853">
        <v>108</v>
      </c>
    </row>
    <row r="164" spans="1:6" s="350" customFormat="1" ht="18" customHeight="1" x14ac:dyDescent="0.2">
      <c r="A164" s="851" t="s">
        <v>174</v>
      </c>
      <c r="B164" s="852" t="s">
        <v>244</v>
      </c>
      <c r="C164" s="852" t="s">
        <v>169</v>
      </c>
      <c r="D164" s="852" t="s">
        <v>734</v>
      </c>
      <c r="E164" s="852" t="s">
        <v>294</v>
      </c>
      <c r="F164" s="853">
        <v>5</v>
      </c>
    </row>
    <row r="165" spans="1:6" s="350" customFormat="1" ht="18" customHeight="1" x14ac:dyDescent="0.2">
      <c r="A165" s="851" t="s">
        <v>174</v>
      </c>
      <c r="B165" s="852" t="s">
        <v>244</v>
      </c>
      <c r="C165" s="852" t="s">
        <v>169</v>
      </c>
      <c r="D165" s="852" t="s">
        <v>734</v>
      </c>
      <c r="E165" s="852" t="s">
        <v>296</v>
      </c>
      <c r="F165" s="853">
        <v>21</v>
      </c>
    </row>
    <row r="166" spans="1:6" s="350" customFormat="1" ht="18" customHeight="1" x14ac:dyDescent="0.2">
      <c r="A166" s="851" t="s">
        <v>174</v>
      </c>
      <c r="B166" s="852" t="s">
        <v>244</v>
      </c>
      <c r="C166" s="852" t="s">
        <v>169</v>
      </c>
      <c r="D166" s="852" t="s">
        <v>734</v>
      </c>
      <c r="E166" s="852" t="s">
        <v>297</v>
      </c>
      <c r="F166" s="853">
        <v>201</v>
      </c>
    </row>
    <row r="167" spans="1:6" s="350" customFormat="1" ht="18" customHeight="1" x14ac:dyDescent="0.2">
      <c r="A167" s="851" t="s">
        <v>174</v>
      </c>
      <c r="B167" s="852" t="s">
        <v>244</v>
      </c>
      <c r="C167" s="852" t="s">
        <v>169</v>
      </c>
      <c r="D167" s="852" t="s">
        <v>734</v>
      </c>
      <c r="E167" s="852" t="s">
        <v>287</v>
      </c>
      <c r="F167" s="853">
        <v>432</v>
      </c>
    </row>
    <row r="168" spans="1:6" s="350" customFormat="1" ht="18" customHeight="1" x14ac:dyDescent="0.2">
      <c r="A168" s="851" t="s">
        <v>174</v>
      </c>
      <c r="B168" s="852" t="s">
        <v>244</v>
      </c>
      <c r="C168" s="852" t="s">
        <v>169</v>
      </c>
      <c r="D168" s="852" t="s">
        <v>734</v>
      </c>
      <c r="E168" s="852" t="s">
        <v>293</v>
      </c>
      <c r="F168" s="853">
        <v>57</v>
      </c>
    </row>
    <row r="169" spans="1:6" s="350" customFormat="1" ht="18" customHeight="1" x14ac:dyDescent="0.2">
      <c r="A169" s="851" t="s">
        <v>174</v>
      </c>
      <c r="B169" s="852" t="s">
        <v>244</v>
      </c>
      <c r="C169" s="852" t="s">
        <v>170</v>
      </c>
      <c r="D169" s="852" t="s">
        <v>734</v>
      </c>
      <c r="E169" s="852" t="s">
        <v>294</v>
      </c>
      <c r="F169" s="853">
        <v>1</v>
      </c>
    </row>
    <row r="170" spans="1:6" s="350" customFormat="1" ht="18" customHeight="1" x14ac:dyDescent="0.2">
      <c r="A170" s="851" t="s">
        <v>174</v>
      </c>
      <c r="B170" s="852" t="s">
        <v>244</v>
      </c>
      <c r="C170" s="852" t="s">
        <v>170</v>
      </c>
      <c r="D170" s="852" t="s">
        <v>734</v>
      </c>
      <c r="E170" s="852" t="s">
        <v>296</v>
      </c>
      <c r="F170" s="853">
        <v>2</v>
      </c>
    </row>
    <row r="171" spans="1:6" s="350" customFormat="1" ht="18" customHeight="1" x14ac:dyDescent="0.2">
      <c r="A171" s="851" t="s">
        <v>174</v>
      </c>
      <c r="B171" s="852" t="s">
        <v>244</v>
      </c>
      <c r="C171" s="852" t="s">
        <v>170</v>
      </c>
      <c r="D171" s="852" t="s">
        <v>734</v>
      </c>
      <c r="E171" s="852" t="s">
        <v>297</v>
      </c>
      <c r="F171" s="853">
        <v>299</v>
      </c>
    </row>
    <row r="172" spans="1:6" s="350" customFormat="1" ht="18" customHeight="1" x14ac:dyDescent="0.2">
      <c r="A172" s="851" t="s">
        <v>174</v>
      </c>
      <c r="B172" s="852" t="s">
        <v>244</v>
      </c>
      <c r="C172" s="852" t="s">
        <v>170</v>
      </c>
      <c r="D172" s="852" t="s">
        <v>734</v>
      </c>
      <c r="E172" s="852" t="s">
        <v>287</v>
      </c>
      <c r="F172" s="853">
        <v>263</v>
      </c>
    </row>
    <row r="173" spans="1:6" s="350" customFormat="1" ht="18" customHeight="1" x14ac:dyDescent="0.2">
      <c r="A173" s="851" t="s">
        <v>174</v>
      </c>
      <c r="B173" s="852" t="s">
        <v>244</v>
      </c>
      <c r="C173" s="852" t="s">
        <v>170</v>
      </c>
      <c r="D173" s="852" t="s">
        <v>734</v>
      </c>
      <c r="E173" s="852" t="s">
        <v>293</v>
      </c>
      <c r="F173" s="853">
        <v>14</v>
      </c>
    </row>
    <row r="174" spans="1:6" s="350" customFormat="1" ht="18" customHeight="1" x14ac:dyDescent="0.2">
      <c r="A174" s="851" t="s">
        <v>174</v>
      </c>
      <c r="B174" s="852" t="s">
        <v>244</v>
      </c>
      <c r="C174" s="852" t="s">
        <v>170</v>
      </c>
      <c r="D174" s="852" t="s">
        <v>210</v>
      </c>
      <c r="E174" s="852" t="s">
        <v>297</v>
      </c>
      <c r="F174" s="853">
        <v>36</v>
      </c>
    </row>
    <row r="175" spans="1:6" s="350" customFormat="1" ht="18" customHeight="1" x14ac:dyDescent="0.2">
      <c r="A175" s="851" t="s">
        <v>174</v>
      </c>
      <c r="B175" s="852" t="s">
        <v>244</v>
      </c>
      <c r="C175" s="852" t="s">
        <v>170</v>
      </c>
      <c r="D175" s="852" t="s">
        <v>210</v>
      </c>
      <c r="E175" s="852" t="s">
        <v>287</v>
      </c>
      <c r="F175" s="853">
        <v>28</v>
      </c>
    </row>
    <row r="176" spans="1:6" s="350" customFormat="1" ht="18" customHeight="1" x14ac:dyDescent="0.2">
      <c r="A176" s="851" t="s">
        <v>174</v>
      </c>
      <c r="B176" s="852" t="s">
        <v>244</v>
      </c>
      <c r="C176" s="852" t="s">
        <v>171</v>
      </c>
      <c r="D176" s="852" t="s">
        <v>734</v>
      </c>
      <c r="E176" s="852" t="s">
        <v>296</v>
      </c>
      <c r="F176" s="853">
        <v>1</v>
      </c>
    </row>
    <row r="177" spans="1:6" s="350" customFormat="1" ht="18" customHeight="1" x14ac:dyDescent="0.2">
      <c r="A177" s="851" t="s">
        <v>174</v>
      </c>
      <c r="B177" s="852" t="s">
        <v>244</v>
      </c>
      <c r="C177" s="852" t="s">
        <v>171</v>
      </c>
      <c r="D177" s="852" t="s">
        <v>734</v>
      </c>
      <c r="E177" s="852" t="s">
        <v>297</v>
      </c>
      <c r="F177" s="853">
        <v>195</v>
      </c>
    </row>
    <row r="178" spans="1:6" s="350" customFormat="1" ht="18" customHeight="1" x14ac:dyDescent="0.2">
      <c r="A178" s="851" t="s">
        <v>174</v>
      </c>
      <c r="B178" s="852" t="s">
        <v>244</v>
      </c>
      <c r="C178" s="852" t="s">
        <v>171</v>
      </c>
      <c r="D178" s="852" t="s">
        <v>734</v>
      </c>
      <c r="E178" s="852" t="s">
        <v>287</v>
      </c>
      <c r="F178" s="853">
        <v>141</v>
      </c>
    </row>
    <row r="179" spans="1:6" s="350" customFormat="1" ht="18" customHeight="1" x14ac:dyDescent="0.2">
      <c r="A179" s="851" t="s">
        <v>174</v>
      </c>
      <c r="B179" s="852" t="s">
        <v>244</v>
      </c>
      <c r="C179" s="852" t="s">
        <v>171</v>
      </c>
      <c r="D179" s="852" t="s">
        <v>734</v>
      </c>
      <c r="E179" s="852" t="s">
        <v>293</v>
      </c>
      <c r="F179" s="853">
        <v>5</v>
      </c>
    </row>
    <row r="180" spans="1:6" s="350" customFormat="1" ht="18" customHeight="1" x14ac:dyDescent="0.2">
      <c r="A180" s="851" t="s">
        <v>174</v>
      </c>
      <c r="B180" s="852" t="s">
        <v>244</v>
      </c>
      <c r="C180" s="852" t="s">
        <v>173</v>
      </c>
      <c r="D180" s="852" t="s">
        <v>734</v>
      </c>
      <c r="E180" s="852" t="s">
        <v>297</v>
      </c>
      <c r="F180" s="853">
        <v>256</v>
      </c>
    </row>
    <row r="181" spans="1:6" s="350" customFormat="1" ht="18" customHeight="1" x14ac:dyDescent="0.2">
      <c r="A181" s="851" t="s">
        <v>174</v>
      </c>
      <c r="B181" s="852" t="s">
        <v>244</v>
      </c>
      <c r="C181" s="852" t="s">
        <v>173</v>
      </c>
      <c r="D181" s="852" t="s">
        <v>734</v>
      </c>
      <c r="E181" s="852" t="s">
        <v>287</v>
      </c>
      <c r="F181" s="853">
        <v>135</v>
      </c>
    </row>
    <row r="182" spans="1:6" s="350" customFormat="1" ht="18" customHeight="1" x14ac:dyDescent="0.2">
      <c r="A182" s="851" t="s">
        <v>174</v>
      </c>
      <c r="B182" s="852" t="s">
        <v>244</v>
      </c>
      <c r="C182" s="852" t="s">
        <v>173</v>
      </c>
      <c r="D182" s="852" t="s">
        <v>734</v>
      </c>
      <c r="E182" s="852" t="s">
        <v>293</v>
      </c>
      <c r="F182" s="853">
        <v>4</v>
      </c>
    </row>
    <row r="183" spans="1:6" s="350" customFormat="1" ht="18" customHeight="1" x14ac:dyDescent="0.2">
      <c r="A183" s="851" t="s">
        <v>174</v>
      </c>
      <c r="B183" s="852" t="s">
        <v>244</v>
      </c>
      <c r="C183" s="852" t="s">
        <v>173</v>
      </c>
      <c r="D183" s="852" t="s">
        <v>210</v>
      </c>
      <c r="E183" s="852" t="s">
        <v>294</v>
      </c>
      <c r="F183" s="853">
        <v>3</v>
      </c>
    </row>
    <row r="184" spans="1:6" s="350" customFormat="1" ht="18" customHeight="1" x14ac:dyDescent="0.2">
      <c r="A184" s="851" t="s">
        <v>174</v>
      </c>
      <c r="B184" s="852" t="s">
        <v>244</v>
      </c>
      <c r="C184" s="852" t="s">
        <v>173</v>
      </c>
      <c r="D184" s="852" t="s">
        <v>210</v>
      </c>
      <c r="E184" s="852" t="s">
        <v>297</v>
      </c>
      <c r="F184" s="853">
        <v>76</v>
      </c>
    </row>
    <row r="185" spans="1:6" s="350" customFormat="1" ht="18" customHeight="1" x14ac:dyDescent="0.2">
      <c r="A185" s="851" t="s">
        <v>174</v>
      </c>
      <c r="B185" s="852" t="s">
        <v>244</v>
      </c>
      <c r="C185" s="852" t="s">
        <v>173</v>
      </c>
      <c r="D185" s="852" t="s">
        <v>210</v>
      </c>
      <c r="E185" s="852" t="s">
        <v>287</v>
      </c>
      <c r="F185" s="853">
        <v>101</v>
      </c>
    </row>
    <row r="186" spans="1:6" s="350" customFormat="1" ht="18" customHeight="1" x14ac:dyDescent="0.2">
      <c r="A186" s="851" t="s">
        <v>174</v>
      </c>
      <c r="B186" s="852" t="s">
        <v>244</v>
      </c>
      <c r="C186" s="852" t="s">
        <v>173</v>
      </c>
      <c r="D186" s="852" t="s">
        <v>210</v>
      </c>
      <c r="E186" s="852" t="s">
        <v>293</v>
      </c>
      <c r="F186" s="853">
        <v>2</v>
      </c>
    </row>
    <row r="187" spans="1:6" s="350" customFormat="1" ht="18" customHeight="1" x14ac:dyDescent="0.2">
      <c r="A187" s="851" t="s">
        <v>174</v>
      </c>
      <c r="B187" s="852" t="s">
        <v>245</v>
      </c>
      <c r="C187" s="852" t="s">
        <v>169</v>
      </c>
      <c r="D187" s="852" t="s">
        <v>734</v>
      </c>
      <c r="E187" s="852" t="s">
        <v>294</v>
      </c>
      <c r="F187" s="853">
        <v>2</v>
      </c>
    </row>
    <row r="188" spans="1:6" s="350" customFormat="1" ht="18" customHeight="1" x14ac:dyDescent="0.2">
      <c r="A188" s="851" t="s">
        <v>174</v>
      </c>
      <c r="B188" s="852" t="s">
        <v>245</v>
      </c>
      <c r="C188" s="852" t="s">
        <v>169</v>
      </c>
      <c r="D188" s="852" t="s">
        <v>734</v>
      </c>
      <c r="E188" s="852" t="s">
        <v>296</v>
      </c>
      <c r="F188" s="853">
        <v>4</v>
      </c>
    </row>
    <row r="189" spans="1:6" s="350" customFormat="1" ht="18" customHeight="1" x14ac:dyDescent="0.2">
      <c r="A189" s="851" t="s">
        <v>174</v>
      </c>
      <c r="B189" s="852" t="s">
        <v>245</v>
      </c>
      <c r="C189" s="852" t="s">
        <v>169</v>
      </c>
      <c r="D189" s="852" t="s">
        <v>734</v>
      </c>
      <c r="E189" s="852" t="s">
        <v>297</v>
      </c>
      <c r="F189" s="853">
        <v>27</v>
      </c>
    </row>
    <row r="190" spans="1:6" s="350" customFormat="1" ht="18" customHeight="1" x14ac:dyDescent="0.2">
      <c r="A190" s="851" t="s">
        <v>174</v>
      </c>
      <c r="B190" s="852" t="s">
        <v>245</v>
      </c>
      <c r="C190" s="852" t="s">
        <v>169</v>
      </c>
      <c r="D190" s="852" t="s">
        <v>734</v>
      </c>
      <c r="E190" s="852" t="s">
        <v>287</v>
      </c>
      <c r="F190" s="853">
        <v>102</v>
      </c>
    </row>
    <row r="191" spans="1:6" s="350" customFormat="1" ht="18" customHeight="1" x14ac:dyDescent="0.2">
      <c r="A191" s="851" t="s">
        <v>174</v>
      </c>
      <c r="B191" s="852" t="s">
        <v>245</v>
      </c>
      <c r="C191" s="852" t="s">
        <v>169</v>
      </c>
      <c r="D191" s="852" t="s">
        <v>734</v>
      </c>
      <c r="E191" s="852" t="s">
        <v>293</v>
      </c>
      <c r="F191" s="853">
        <v>13</v>
      </c>
    </row>
    <row r="192" spans="1:6" s="350" customFormat="1" ht="18" customHeight="1" x14ac:dyDescent="0.2">
      <c r="A192" s="851" t="s">
        <v>174</v>
      </c>
      <c r="B192" s="852" t="s">
        <v>245</v>
      </c>
      <c r="C192" s="852" t="s">
        <v>170</v>
      </c>
      <c r="D192" s="852" t="s">
        <v>734</v>
      </c>
      <c r="E192" s="852" t="s">
        <v>297</v>
      </c>
      <c r="F192" s="853">
        <v>18</v>
      </c>
    </row>
    <row r="193" spans="1:6" s="350" customFormat="1" ht="18" customHeight="1" x14ac:dyDescent="0.2">
      <c r="A193" s="851" t="s">
        <v>174</v>
      </c>
      <c r="B193" s="852" t="s">
        <v>245</v>
      </c>
      <c r="C193" s="852" t="s">
        <v>170</v>
      </c>
      <c r="D193" s="852" t="s">
        <v>734</v>
      </c>
      <c r="E193" s="852" t="s">
        <v>287</v>
      </c>
      <c r="F193" s="853">
        <v>22</v>
      </c>
    </row>
    <row r="194" spans="1:6" s="350" customFormat="1" ht="18" customHeight="1" x14ac:dyDescent="0.2">
      <c r="A194" s="851" t="s">
        <v>174</v>
      </c>
      <c r="B194" s="852" t="s">
        <v>245</v>
      </c>
      <c r="C194" s="852" t="s">
        <v>170</v>
      </c>
      <c r="D194" s="852" t="s">
        <v>734</v>
      </c>
      <c r="E194" s="852" t="s">
        <v>293</v>
      </c>
      <c r="F194" s="853">
        <v>1</v>
      </c>
    </row>
    <row r="195" spans="1:6" s="350" customFormat="1" ht="18" customHeight="1" x14ac:dyDescent="0.2">
      <c r="A195" s="851" t="s">
        <v>174</v>
      </c>
      <c r="B195" s="852" t="s">
        <v>245</v>
      </c>
      <c r="C195" s="852" t="s">
        <v>170</v>
      </c>
      <c r="D195" s="852" t="s">
        <v>210</v>
      </c>
      <c r="E195" s="852" t="s">
        <v>296</v>
      </c>
      <c r="F195" s="853">
        <v>1</v>
      </c>
    </row>
    <row r="196" spans="1:6" s="350" customFormat="1" ht="18" customHeight="1" x14ac:dyDescent="0.2">
      <c r="A196" s="851" t="s">
        <v>174</v>
      </c>
      <c r="B196" s="852" t="s">
        <v>245</v>
      </c>
      <c r="C196" s="852" t="s">
        <v>170</v>
      </c>
      <c r="D196" s="852" t="s">
        <v>210</v>
      </c>
      <c r="E196" s="852" t="s">
        <v>297</v>
      </c>
      <c r="F196" s="853">
        <v>1</v>
      </c>
    </row>
    <row r="197" spans="1:6" s="350" customFormat="1" ht="18" customHeight="1" x14ac:dyDescent="0.2">
      <c r="A197" s="851" t="s">
        <v>174</v>
      </c>
      <c r="B197" s="852" t="s">
        <v>245</v>
      </c>
      <c r="C197" s="852" t="s">
        <v>170</v>
      </c>
      <c r="D197" s="852" t="s">
        <v>210</v>
      </c>
      <c r="E197" s="852" t="s">
        <v>287</v>
      </c>
      <c r="F197" s="853">
        <v>1</v>
      </c>
    </row>
    <row r="198" spans="1:6" s="350" customFormat="1" ht="18" customHeight="1" x14ac:dyDescent="0.2">
      <c r="A198" s="851" t="s">
        <v>174</v>
      </c>
      <c r="B198" s="852" t="s">
        <v>245</v>
      </c>
      <c r="C198" s="852" t="s">
        <v>171</v>
      </c>
      <c r="D198" s="852" t="s">
        <v>734</v>
      </c>
      <c r="E198" s="852" t="s">
        <v>296</v>
      </c>
      <c r="F198" s="853">
        <v>3</v>
      </c>
    </row>
    <row r="199" spans="1:6" s="350" customFormat="1" ht="18" customHeight="1" x14ac:dyDescent="0.2">
      <c r="A199" s="851" t="s">
        <v>174</v>
      </c>
      <c r="B199" s="852" t="s">
        <v>245</v>
      </c>
      <c r="C199" s="852" t="s">
        <v>171</v>
      </c>
      <c r="D199" s="852" t="s">
        <v>734</v>
      </c>
      <c r="E199" s="852" t="s">
        <v>297</v>
      </c>
      <c r="F199" s="853">
        <v>17</v>
      </c>
    </row>
    <row r="200" spans="1:6" s="350" customFormat="1" ht="18" customHeight="1" x14ac:dyDescent="0.2">
      <c r="A200" s="851" t="s">
        <v>174</v>
      </c>
      <c r="B200" s="852" t="s">
        <v>245</v>
      </c>
      <c r="C200" s="852" t="s">
        <v>171</v>
      </c>
      <c r="D200" s="852" t="s">
        <v>734</v>
      </c>
      <c r="E200" s="852" t="s">
        <v>287</v>
      </c>
      <c r="F200" s="853">
        <v>15</v>
      </c>
    </row>
    <row r="201" spans="1:6" s="350" customFormat="1" ht="18" customHeight="1" x14ac:dyDescent="0.2">
      <c r="A201" s="851" t="s">
        <v>174</v>
      </c>
      <c r="B201" s="852" t="s">
        <v>245</v>
      </c>
      <c r="C201" s="852" t="s">
        <v>171</v>
      </c>
      <c r="D201" s="852" t="s">
        <v>734</v>
      </c>
      <c r="E201" s="852" t="s">
        <v>293</v>
      </c>
      <c r="F201" s="853">
        <v>2</v>
      </c>
    </row>
    <row r="202" spans="1:6" s="350" customFormat="1" ht="18" customHeight="1" x14ac:dyDescent="0.2">
      <c r="A202" s="851" t="s">
        <v>174</v>
      </c>
      <c r="B202" s="852" t="s">
        <v>245</v>
      </c>
      <c r="C202" s="852" t="s">
        <v>173</v>
      </c>
      <c r="D202" s="852" t="s">
        <v>734</v>
      </c>
      <c r="E202" s="852" t="s">
        <v>297</v>
      </c>
      <c r="F202" s="853">
        <v>23</v>
      </c>
    </row>
    <row r="203" spans="1:6" s="350" customFormat="1" ht="18" customHeight="1" x14ac:dyDescent="0.2">
      <c r="A203" s="851" t="s">
        <v>174</v>
      </c>
      <c r="B203" s="852" t="s">
        <v>245</v>
      </c>
      <c r="C203" s="852" t="s">
        <v>173</v>
      </c>
      <c r="D203" s="852" t="s">
        <v>734</v>
      </c>
      <c r="E203" s="852" t="s">
        <v>287</v>
      </c>
      <c r="F203" s="853">
        <v>20</v>
      </c>
    </row>
    <row r="204" spans="1:6" s="350" customFormat="1" ht="18" customHeight="1" x14ac:dyDescent="0.2">
      <c r="A204" s="851" t="s">
        <v>174</v>
      </c>
      <c r="B204" s="852" t="s">
        <v>245</v>
      </c>
      <c r="C204" s="852" t="s">
        <v>173</v>
      </c>
      <c r="D204" s="852" t="s">
        <v>734</v>
      </c>
      <c r="E204" s="852" t="s">
        <v>293</v>
      </c>
      <c r="F204" s="853">
        <v>3</v>
      </c>
    </row>
    <row r="205" spans="1:6" s="350" customFormat="1" ht="18" customHeight="1" x14ac:dyDescent="0.2">
      <c r="A205" s="851" t="s">
        <v>174</v>
      </c>
      <c r="B205" s="852" t="s">
        <v>245</v>
      </c>
      <c r="C205" s="852" t="s">
        <v>173</v>
      </c>
      <c r="D205" s="852" t="s">
        <v>210</v>
      </c>
      <c r="E205" s="852" t="s">
        <v>297</v>
      </c>
      <c r="F205" s="853">
        <v>5</v>
      </c>
    </row>
    <row r="206" spans="1:6" s="350" customFormat="1" ht="18" customHeight="1" x14ac:dyDescent="0.2">
      <c r="A206" s="851" t="s">
        <v>174</v>
      </c>
      <c r="B206" s="852" t="s">
        <v>245</v>
      </c>
      <c r="C206" s="852" t="s">
        <v>173</v>
      </c>
      <c r="D206" s="852" t="s">
        <v>210</v>
      </c>
      <c r="E206" s="852" t="s">
        <v>287</v>
      </c>
      <c r="F206" s="853">
        <v>16</v>
      </c>
    </row>
    <row r="207" spans="1:6" s="350" customFormat="1" ht="18" customHeight="1" x14ac:dyDescent="0.2">
      <c r="A207" s="851" t="s">
        <v>174</v>
      </c>
      <c r="B207" s="852" t="s">
        <v>245</v>
      </c>
      <c r="C207" s="852" t="s">
        <v>173</v>
      </c>
      <c r="D207" s="852" t="s">
        <v>210</v>
      </c>
      <c r="E207" s="852" t="s">
        <v>293</v>
      </c>
      <c r="F207" s="853">
        <v>3</v>
      </c>
    </row>
    <row r="208" spans="1:6" s="350" customFormat="1" ht="18" customHeight="1" x14ac:dyDescent="0.2">
      <c r="A208" s="851" t="s">
        <v>174</v>
      </c>
      <c r="B208" s="852" t="s">
        <v>246</v>
      </c>
      <c r="C208" s="852" t="s">
        <v>169</v>
      </c>
      <c r="D208" s="852" t="s">
        <v>734</v>
      </c>
      <c r="E208" s="852" t="s">
        <v>289</v>
      </c>
      <c r="F208" s="853">
        <v>2076</v>
      </c>
    </row>
    <row r="209" spans="1:6" s="350" customFormat="1" ht="18" customHeight="1" x14ac:dyDescent="0.2">
      <c r="A209" s="851" t="s">
        <v>174</v>
      </c>
      <c r="B209" s="852" t="s">
        <v>246</v>
      </c>
      <c r="C209" s="852" t="s">
        <v>170</v>
      </c>
      <c r="D209" s="852" t="s">
        <v>734</v>
      </c>
      <c r="E209" s="852" t="s">
        <v>289</v>
      </c>
      <c r="F209" s="853">
        <v>26601</v>
      </c>
    </row>
    <row r="210" spans="1:6" s="350" customFormat="1" ht="18" customHeight="1" x14ac:dyDescent="0.2">
      <c r="A210" s="851" t="s">
        <v>174</v>
      </c>
      <c r="B210" s="852" t="s">
        <v>246</v>
      </c>
      <c r="C210" s="852" t="s">
        <v>170</v>
      </c>
      <c r="D210" s="852" t="s">
        <v>734</v>
      </c>
      <c r="E210" s="852" t="s">
        <v>287</v>
      </c>
      <c r="F210" s="853">
        <v>42</v>
      </c>
    </row>
    <row r="211" spans="1:6" s="350" customFormat="1" ht="18" customHeight="1" x14ac:dyDescent="0.2">
      <c r="A211" s="851" t="s">
        <v>174</v>
      </c>
      <c r="B211" s="852" t="s">
        <v>246</v>
      </c>
      <c r="C211" s="852" t="s">
        <v>170</v>
      </c>
      <c r="D211" s="852" t="s">
        <v>210</v>
      </c>
      <c r="E211" s="852" t="s">
        <v>289</v>
      </c>
      <c r="F211" s="853">
        <v>5841</v>
      </c>
    </row>
    <row r="212" spans="1:6" s="350" customFormat="1" ht="18" customHeight="1" x14ac:dyDescent="0.2">
      <c r="A212" s="851" t="s">
        <v>174</v>
      </c>
      <c r="B212" s="852" t="s">
        <v>246</v>
      </c>
      <c r="C212" s="852" t="s">
        <v>170</v>
      </c>
      <c r="D212" s="852" t="s">
        <v>210</v>
      </c>
      <c r="E212" s="852" t="s">
        <v>287</v>
      </c>
      <c r="F212" s="853">
        <v>3</v>
      </c>
    </row>
    <row r="213" spans="1:6" s="350" customFormat="1" ht="18" customHeight="1" x14ac:dyDescent="0.2">
      <c r="A213" s="851" t="s">
        <v>174</v>
      </c>
      <c r="B213" s="852" t="s">
        <v>246</v>
      </c>
      <c r="C213" s="852" t="s">
        <v>171</v>
      </c>
      <c r="D213" s="852" t="s">
        <v>734</v>
      </c>
      <c r="E213" s="852" t="s">
        <v>289</v>
      </c>
      <c r="F213" s="853">
        <v>14961</v>
      </c>
    </row>
    <row r="214" spans="1:6" s="350" customFormat="1" ht="18" customHeight="1" x14ac:dyDescent="0.2">
      <c r="A214" s="851" t="s">
        <v>174</v>
      </c>
      <c r="B214" s="852" t="s">
        <v>246</v>
      </c>
      <c r="C214" s="852" t="s">
        <v>171</v>
      </c>
      <c r="D214" s="852" t="s">
        <v>734</v>
      </c>
      <c r="E214" s="852" t="s">
        <v>287</v>
      </c>
      <c r="F214" s="853">
        <v>18</v>
      </c>
    </row>
    <row r="215" spans="1:6" s="350" customFormat="1" ht="18" customHeight="1" x14ac:dyDescent="0.2">
      <c r="A215" s="851" t="s">
        <v>174</v>
      </c>
      <c r="B215" s="852" t="s">
        <v>246</v>
      </c>
      <c r="C215" s="852" t="s">
        <v>173</v>
      </c>
      <c r="D215" s="852" t="s">
        <v>734</v>
      </c>
      <c r="E215" s="852" t="s">
        <v>296</v>
      </c>
      <c r="F215" s="853">
        <v>2</v>
      </c>
    </row>
    <row r="216" spans="1:6" s="350" customFormat="1" ht="18" customHeight="1" x14ac:dyDescent="0.2">
      <c r="A216" s="851" t="s">
        <v>174</v>
      </c>
      <c r="B216" s="852" t="s">
        <v>246</v>
      </c>
      <c r="C216" s="852" t="s">
        <v>173</v>
      </c>
      <c r="D216" s="852" t="s">
        <v>734</v>
      </c>
      <c r="E216" s="852" t="s">
        <v>289</v>
      </c>
      <c r="F216" s="853">
        <v>7908</v>
      </c>
    </row>
    <row r="217" spans="1:6" s="350" customFormat="1" ht="18" customHeight="1" x14ac:dyDescent="0.2">
      <c r="A217" s="851" t="s">
        <v>174</v>
      </c>
      <c r="B217" s="852" t="s">
        <v>246</v>
      </c>
      <c r="C217" s="852" t="s">
        <v>173</v>
      </c>
      <c r="D217" s="852" t="s">
        <v>210</v>
      </c>
      <c r="E217" s="852" t="s">
        <v>289</v>
      </c>
      <c r="F217" s="853">
        <v>3549</v>
      </c>
    </row>
    <row r="218" spans="1:6" s="350" customFormat="1" ht="18" customHeight="1" x14ac:dyDescent="0.2">
      <c r="A218" s="851" t="s">
        <v>174</v>
      </c>
      <c r="B218" s="852" t="s">
        <v>246</v>
      </c>
      <c r="C218" s="852" t="s">
        <v>173</v>
      </c>
      <c r="D218" s="852" t="s">
        <v>210</v>
      </c>
      <c r="E218" s="852" t="s">
        <v>287</v>
      </c>
      <c r="F218" s="853">
        <v>3</v>
      </c>
    </row>
    <row r="219" spans="1:6" s="350" customFormat="1" ht="18" customHeight="1" x14ac:dyDescent="0.2">
      <c r="A219" s="851" t="s">
        <v>174</v>
      </c>
      <c r="B219" s="852" t="s">
        <v>143</v>
      </c>
      <c r="C219" s="852" t="s">
        <v>169</v>
      </c>
      <c r="D219" s="852" t="s">
        <v>734</v>
      </c>
      <c r="E219" s="852" t="s">
        <v>294</v>
      </c>
      <c r="F219" s="853">
        <v>2</v>
      </c>
    </row>
    <row r="220" spans="1:6" s="350" customFormat="1" ht="18" customHeight="1" x14ac:dyDescent="0.2">
      <c r="A220" s="851" t="s">
        <v>174</v>
      </c>
      <c r="B220" s="852" t="s">
        <v>143</v>
      </c>
      <c r="C220" s="852" t="s">
        <v>169</v>
      </c>
      <c r="D220" s="852" t="s">
        <v>734</v>
      </c>
      <c r="E220" s="852" t="s">
        <v>296</v>
      </c>
      <c r="F220" s="853">
        <v>2</v>
      </c>
    </row>
    <row r="221" spans="1:6" s="350" customFormat="1" ht="18" customHeight="1" x14ac:dyDescent="0.2">
      <c r="A221" s="851" t="s">
        <v>174</v>
      </c>
      <c r="B221" s="852" t="s">
        <v>143</v>
      </c>
      <c r="C221" s="852" t="s">
        <v>169</v>
      </c>
      <c r="D221" s="852" t="s">
        <v>734</v>
      </c>
      <c r="E221" s="852" t="s">
        <v>297</v>
      </c>
      <c r="F221" s="853">
        <v>29</v>
      </c>
    </row>
    <row r="222" spans="1:6" s="350" customFormat="1" ht="18" customHeight="1" x14ac:dyDescent="0.2">
      <c r="A222" s="851" t="s">
        <v>174</v>
      </c>
      <c r="B222" s="852" t="s">
        <v>143</v>
      </c>
      <c r="C222" s="852" t="s">
        <v>169</v>
      </c>
      <c r="D222" s="852" t="s">
        <v>734</v>
      </c>
      <c r="E222" s="852" t="s">
        <v>287</v>
      </c>
      <c r="F222" s="853">
        <v>56</v>
      </c>
    </row>
    <row r="223" spans="1:6" s="350" customFormat="1" ht="18" customHeight="1" x14ac:dyDescent="0.2">
      <c r="A223" s="851" t="s">
        <v>174</v>
      </c>
      <c r="B223" s="852" t="s">
        <v>143</v>
      </c>
      <c r="C223" s="852" t="s">
        <v>169</v>
      </c>
      <c r="D223" s="852" t="s">
        <v>734</v>
      </c>
      <c r="E223" s="852" t="s">
        <v>293</v>
      </c>
      <c r="F223" s="853">
        <v>6</v>
      </c>
    </row>
    <row r="224" spans="1:6" s="350" customFormat="1" ht="18" customHeight="1" x14ac:dyDescent="0.2">
      <c r="A224" s="851" t="s">
        <v>174</v>
      </c>
      <c r="B224" s="852" t="s">
        <v>143</v>
      </c>
      <c r="C224" s="852" t="s">
        <v>170</v>
      </c>
      <c r="D224" s="852" t="s">
        <v>734</v>
      </c>
      <c r="E224" s="852" t="s">
        <v>297</v>
      </c>
      <c r="F224" s="853">
        <v>19</v>
      </c>
    </row>
    <row r="225" spans="1:6" s="350" customFormat="1" ht="18" customHeight="1" x14ac:dyDescent="0.2">
      <c r="A225" s="851" t="s">
        <v>174</v>
      </c>
      <c r="B225" s="852" t="s">
        <v>143</v>
      </c>
      <c r="C225" s="852" t="s">
        <v>170</v>
      </c>
      <c r="D225" s="852" t="s">
        <v>734</v>
      </c>
      <c r="E225" s="852" t="s">
        <v>287</v>
      </c>
      <c r="F225" s="853">
        <v>16</v>
      </c>
    </row>
    <row r="226" spans="1:6" s="350" customFormat="1" ht="18" customHeight="1" x14ac:dyDescent="0.2">
      <c r="A226" s="851" t="s">
        <v>174</v>
      </c>
      <c r="B226" s="852" t="s">
        <v>143</v>
      </c>
      <c r="C226" s="852" t="s">
        <v>170</v>
      </c>
      <c r="D226" s="852" t="s">
        <v>734</v>
      </c>
      <c r="E226" s="852" t="s">
        <v>293</v>
      </c>
      <c r="F226" s="853">
        <v>1</v>
      </c>
    </row>
    <row r="227" spans="1:6" s="350" customFormat="1" ht="18" customHeight="1" x14ac:dyDescent="0.2">
      <c r="A227" s="851" t="s">
        <v>174</v>
      </c>
      <c r="B227" s="852" t="s">
        <v>143</v>
      </c>
      <c r="C227" s="852" t="s">
        <v>170</v>
      </c>
      <c r="D227" s="852" t="s">
        <v>210</v>
      </c>
      <c r="E227" s="852" t="s">
        <v>297</v>
      </c>
      <c r="F227" s="853">
        <v>1</v>
      </c>
    </row>
    <row r="228" spans="1:6" s="350" customFormat="1" ht="18" customHeight="1" x14ac:dyDescent="0.2">
      <c r="A228" s="851" t="s">
        <v>174</v>
      </c>
      <c r="B228" s="852" t="s">
        <v>143</v>
      </c>
      <c r="C228" s="852" t="s">
        <v>170</v>
      </c>
      <c r="D228" s="852" t="s">
        <v>210</v>
      </c>
      <c r="E228" s="852" t="s">
        <v>287</v>
      </c>
      <c r="F228" s="853">
        <v>1</v>
      </c>
    </row>
    <row r="229" spans="1:6" s="350" customFormat="1" ht="18" customHeight="1" x14ac:dyDescent="0.2">
      <c r="A229" s="851" t="s">
        <v>174</v>
      </c>
      <c r="B229" s="852" t="s">
        <v>143</v>
      </c>
      <c r="C229" s="852" t="s">
        <v>171</v>
      </c>
      <c r="D229" s="852" t="s">
        <v>734</v>
      </c>
      <c r="E229" s="852" t="s">
        <v>297</v>
      </c>
      <c r="F229" s="853">
        <v>13</v>
      </c>
    </row>
    <row r="230" spans="1:6" s="350" customFormat="1" ht="18" customHeight="1" x14ac:dyDescent="0.2">
      <c r="A230" s="851" t="s">
        <v>174</v>
      </c>
      <c r="B230" s="852" t="s">
        <v>143</v>
      </c>
      <c r="C230" s="852" t="s">
        <v>171</v>
      </c>
      <c r="D230" s="852" t="s">
        <v>734</v>
      </c>
      <c r="E230" s="852" t="s">
        <v>287</v>
      </c>
      <c r="F230" s="853">
        <v>7</v>
      </c>
    </row>
    <row r="231" spans="1:6" s="350" customFormat="1" ht="18" customHeight="1" x14ac:dyDescent="0.2">
      <c r="A231" s="851" t="s">
        <v>174</v>
      </c>
      <c r="B231" s="852" t="s">
        <v>143</v>
      </c>
      <c r="C231" s="852" t="s">
        <v>173</v>
      </c>
      <c r="D231" s="852" t="s">
        <v>734</v>
      </c>
      <c r="E231" s="852" t="s">
        <v>297</v>
      </c>
      <c r="F231" s="853">
        <v>11</v>
      </c>
    </row>
    <row r="232" spans="1:6" s="350" customFormat="1" ht="18" customHeight="1" x14ac:dyDescent="0.2">
      <c r="A232" s="851" t="s">
        <v>174</v>
      </c>
      <c r="B232" s="852" t="s">
        <v>143</v>
      </c>
      <c r="C232" s="852" t="s">
        <v>173</v>
      </c>
      <c r="D232" s="852" t="s">
        <v>734</v>
      </c>
      <c r="E232" s="852" t="s">
        <v>287</v>
      </c>
      <c r="F232" s="853">
        <v>8</v>
      </c>
    </row>
    <row r="233" spans="1:6" s="350" customFormat="1" ht="18" customHeight="1" x14ac:dyDescent="0.2">
      <c r="A233" s="851" t="s">
        <v>174</v>
      </c>
      <c r="B233" s="852" t="s">
        <v>143</v>
      </c>
      <c r="C233" s="852" t="s">
        <v>173</v>
      </c>
      <c r="D233" s="852" t="s">
        <v>210</v>
      </c>
      <c r="E233" s="852" t="s">
        <v>297</v>
      </c>
      <c r="F233" s="853">
        <v>5</v>
      </c>
    </row>
    <row r="234" spans="1:6" s="350" customFormat="1" ht="18" customHeight="1" x14ac:dyDescent="0.2">
      <c r="A234" s="851" t="s">
        <v>174</v>
      </c>
      <c r="B234" s="852" t="s">
        <v>143</v>
      </c>
      <c r="C234" s="852" t="s">
        <v>173</v>
      </c>
      <c r="D234" s="852" t="s">
        <v>210</v>
      </c>
      <c r="E234" s="852" t="s">
        <v>287</v>
      </c>
      <c r="F234" s="853">
        <v>6</v>
      </c>
    </row>
    <row r="235" spans="1:6" s="350" customFormat="1" ht="18" customHeight="1" x14ac:dyDescent="0.2">
      <c r="A235" s="851" t="s">
        <v>175</v>
      </c>
      <c r="B235" s="852" t="s">
        <v>242</v>
      </c>
      <c r="C235" s="852" t="s">
        <v>173</v>
      </c>
      <c r="D235" s="852" t="s">
        <v>734</v>
      </c>
      <c r="E235" s="852" t="s">
        <v>289</v>
      </c>
      <c r="F235" s="853">
        <v>489</v>
      </c>
    </row>
    <row r="236" spans="1:6" s="350" customFormat="1" ht="18" customHeight="1" x14ac:dyDescent="0.2">
      <c r="A236" s="851" t="s">
        <v>175</v>
      </c>
      <c r="B236" s="852" t="s">
        <v>242</v>
      </c>
      <c r="C236" s="852" t="s">
        <v>173</v>
      </c>
      <c r="D236" s="852" t="s">
        <v>734</v>
      </c>
      <c r="E236" s="852" t="s">
        <v>287</v>
      </c>
      <c r="F236" s="853">
        <v>33</v>
      </c>
    </row>
    <row r="237" spans="1:6" s="350" customFormat="1" ht="18" customHeight="1" x14ac:dyDescent="0.2">
      <c r="A237" s="851" t="s">
        <v>175</v>
      </c>
      <c r="B237" s="852" t="s">
        <v>242</v>
      </c>
      <c r="C237" s="852" t="s">
        <v>173</v>
      </c>
      <c r="D237" s="852" t="s">
        <v>212</v>
      </c>
      <c r="E237" s="852" t="s">
        <v>289</v>
      </c>
      <c r="F237" s="853">
        <v>258</v>
      </c>
    </row>
    <row r="238" spans="1:6" s="350" customFormat="1" ht="18" customHeight="1" x14ac:dyDescent="0.2">
      <c r="A238" s="851" t="s">
        <v>175</v>
      </c>
      <c r="B238" s="852" t="s">
        <v>242</v>
      </c>
      <c r="C238" s="852" t="s">
        <v>173</v>
      </c>
      <c r="D238" s="852" t="s">
        <v>212</v>
      </c>
      <c r="E238" s="852" t="s">
        <v>287</v>
      </c>
      <c r="F238" s="853">
        <v>12</v>
      </c>
    </row>
    <row r="239" spans="1:6" s="350" customFormat="1" ht="18" customHeight="1" x14ac:dyDescent="0.2">
      <c r="A239" s="851" t="s">
        <v>175</v>
      </c>
      <c r="B239" s="852" t="s">
        <v>243</v>
      </c>
      <c r="C239" s="852" t="s">
        <v>173</v>
      </c>
      <c r="D239" s="852" t="s">
        <v>734</v>
      </c>
      <c r="E239" s="852" t="s">
        <v>287</v>
      </c>
      <c r="F239" s="853">
        <v>3</v>
      </c>
    </row>
    <row r="240" spans="1:6" s="350" customFormat="1" ht="18" customHeight="1" x14ac:dyDescent="0.2">
      <c r="A240" s="851" t="s">
        <v>175</v>
      </c>
      <c r="B240" s="852" t="s">
        <v>243</v>
      </c>
      <c r="C240" s="852" t="s">
        <v>173</v>
      </c>
      <c r="D240" s="852" t="s">
        <v>734</v>
      </c>
      <c r="E240" s="852" t="s">
        <v>293</v>
      </c>
      <c r="F240" s="853">
        <v>4</v>
      </c>
    </row>
    <row r="241" spans="1:6" s="350" customFormat="1" ht="18" customHeight="1" x14ac:dyDescent="0.2">
      <c r="A241" s="851" t="s">
        <v>175</v>
      </c>
      <c r="B241" s="852" t="s">
        <v>244</v>
      </c>
      <c r="C241" s="852" t="s">
        <v>173</v>
      </c>
      <c r="D241" s="852" t="s">
        <v>734</v>
      </c>
      <c r="E241" s="852" t="s">
        <v>294</v>
      </c>
      <c r="F241" s="853">
        <v>1</v>
      </c>
    </row>
    <row r="242" spans="1:6" s="350" customFormat="1" ht="18" customHeight="1" x14ac:dyDescent="0.2">
      <c r="A242" s="851" t="s">
        <v>175</v>
      </c>
      <c r="B242" s="852" t="s">
        <v>244</v>
      </c>
      <c r="C242" s="852" t="s">
        <v>173</v>
      </c>
      <c r="D242" s="852" t="s">
        <v>734</v>
      </c>
      <c r="E242" s="852" t="s">
        <v>296</v>
      </c>
      <c r="F242" s="853">
        <v>5</v>
      </c>
    </row>
    <row r="243" spans="1:6" s="350" customFormat="1" ht="18" customHeight="1" x14ac:dyDescent="0.2">
      <c r="A243" s="851" t="s">
        <v>175</v>
      </c>
      <c r="B243" s="852" t="s">
        <v>244</v>
      </c>
      <c r="C243" s="852" t="s">
        <v>173</v>
      </c>
      <c r="D243" s="852" t="s">
        <v>734</v>
      </c>
      <c r="E243" s="852" t="s">
        <v>297</v>
      </c>
      <c r="F243" s="853">
        <v>62</v>
      </c>
    </row>
    <row r="244" spans="1:6" s="350" customFormat="1" ht="18" customHeight="1" x14ac:dyDescent="0.2">
      <c r="A244" s="851" t="s">
        <v>175</v>
      </c>
      <c r="B244" s="852" t="s">
        <v>244</v>
      </c>
      <c r="C244" s="852" t="s">
        <v>173</v>
      </c>
      <c r="D244" s="852" t="s">
        <v>734</v>
      </c>
      <c r="E244" s="852" t="s">
        <v>287</v>
      </c>
      <c r="F244" s="853">
        <v>65</v>
      </c>
    </row>
    <row r="245" spans="1:6" s="350" customFormat="1" ht="18" customHeight="1" x14ac:dyDescent="0.2">
      <c r="A245" s="851" t="s">
        <v>175</v>
      </c>
      <c r="B245" s="852" t="s">
        <v>244</v>
      </c>
      <c r="C245" s="852" t="s">
        <v>173</v>
      </c>
      <c r="D245" s="852" t="s">
        <v>734</v>
      </c>
      <c r="E245" s="852" t="s">
        <v>293</v>
      </c>
      <c r="F245" s="853">
        <v>4</v>
      </c>
    </row>
    <row r="246" spans="1:6" s="350" customFormat="1" ht="18" customHeight="1" x14ac:dyDescent="0.2">
      <c r="A246" s="851" t="s">
        <v>175</v>
      </c>
      <c r="B246" s="852" t="s">
        <v>244</v>
      </c>
      <c r="C246" s="852" t="s">
        <v>173</v>
      </c>
      <c r="D246" s="852" t="s">
        <v>212</v>
      </c>
      <c r="E246" s="852" t="s">
        <v>296</v>
      </c>
      <c r="F246" s="853">
        <v>1</v>
      </c>
    </row>
    <row r="247" spans="1:6" s="350" customFormat="1" ht="18" customHeight="1" x14ac:dyDescent="0.2">
      <c r="A247" s="851" t="s">
        <v>175</v>
      </c>
      <c r="B247" s="852" t="s">
        <v>244</v>
      </c>
      <c r="C247" s="852" t="s">
        <v>173</v>
      </c>
      <c r="D247" s="852" t="s">
        <v>212</v>
      </c>
      <c r="E247" s="852" t="s">
        <v>297</v>
      </c>
      <c r="F247" s="853">
        <v>10</v>
      </c>
    </row>
    <row r="248" spans="1:6" s="350" customFormat="1" ht="18" customHeight="1" x14ac:dyDescent="0.2">
      <c r="A248" s="851" t="s">
        <v>175</v>
      </c>
      <c r="B248" s="852" t="s">
        <v>244</v>
      </c>
      <c r="C248" s="852" t="s">
        <v>173</v>
      </c>
      <c r="D248" s="852" t="s">
        <v>212</v>
      </c>
      <c r="E248" s="852" t="s">
        <v>287</v>
      </c>
      <c r="F248" s="853">
        <v>22</v>
      </c>
    </row>
    <row r="249" spans="1:6" s="350" customFormat="1" ht="18" customHeight="1" x14ac:dyDescent="0.2">
      <c r="A249" s="851" t="s">
        <v>175</v>
      </c>
      <c r="B249" s="852" t="s">
        <v>244</v>
      </c>
      <c r="C249" s="852" t="s">
        <v>173</v>
      </c>
      <c r="D249" s="852" t="s">
        <v>212</v>
      </c>
      <c r="E249" s="852" t="s">
        <v>293</v>
      </c>
      <c r="F249" s="853">
        <v>1</v>
      </c>
    </row>
    <row r="250" spans="1:6" s="350" customFormat="1" ht="18" customHeight="1" x14ac:dyDescent="0.2">
      <c r="A250" s="851" t="s">
        <v>175</v>
      </c>
      <c r="B250" s="852" t="s">
        <v>245</v>
      </c>
      <c r="C250" s="852" t="s">
        <v>173</v>
      </c>
      <c r="D250" s="852" t="s">
        <v>734</v>
      </c>
      <c r="E250" s="852" t="s">
        <v>296</v>
      </c>
      <c r="F250" s="853">
        <v>2</v>
      </c>
    </row>
    <row r="251" spans="1:6" s="350" customFormat="1" ht="18" customHeight="1" x14ac:dyDescent="0.2">
      <c r="A251" s="851" t="s">
        <v>175</v>
      </c>
      <c r="B251" s="852" t="s">
        <v>245</v>
      </c>
      <c r="C251" s="852" t="s">
        <v>173</v>
      </c>
      <c r="D251" s="852" t="s">
        <v>734</v>
      </c>
      <c r="E251" s="852" t="s">
        <v>297</v>
      </c>
      <c r="F251" s="853">
        <v>5</v>
      </c>
    </row>
    <row r="252" spans="1:6" s="350" customFormat="1" ht="18" customHeight="1" x14ac:dyDescent="0.2">
      <c r="A252" s="851" t="s">
        <v>175</v>
      </c>
      <c r="B252" s="852" t="s">
        <v>245</v>
      </c>
      <c r="C252" s="852" t="s">
        <v>173</v>
      </c>
      <c r="D252" s="852" t="s">
        <v>734</v>
      </c>
      <c r="E252" s="852" t="s">
        <v>287</v>
      </c>
      <c r="F252" s="853">
        <v>18</v>
      </c>
    </row>
    <row r="253" spans="1:6" s="350" customFormat="1" ht="18" customHeight="1" x14ac:dyDescent="0.2">
      <c r="A253" s="851" t="s">
        <v>175</v>
      </c>
      <c r="B253" s="852" t="s">
        <v>245</v>
      </c>
      <c r="C253" s="852" t="s">
        <v>173</v>
      </c>
      <c r="D253" s="852" t="s">
        <v>734</v>
      </c>
      <c r="E253" s="852" t="s">
        <v>293</v>
      </c>
      <c r="F253" s="853">
        <v>4</v>
      </c>
    </row>
    <row r="254" spans="1:6" s="350" customFormat="1" ht="18" customHeight="1" x14ac:dyDescent="0.2">
      <c r="A254" s="851" t="s">
        <v>175</v>
      </c>
      <c r="B254" s="852" t="s">
        <v>245</v>
      </c>
      <c r="C254" s="852" t="s">
        <v>173</v>
      </c>
      <c r="D254" s="852" t="s">
        <v>212</v>
      </c>
      <c r="E254" s="852" t="s">
        <v>287</v>
      </c>
      <c r="F254" s="853">
        <v>7</v>
      </c>
    </row>
    <row r="255" spans="1:6" s="350" customFormat="1" ht="18" customHeight="1" x14ac:dyDescent="0.2">
      <c r="A255" s="851" t="s">
        <v>175</v>
      </c>
      <c r="B255" s="852" t="s">
        <v>246</v>
      </c>
      <c r="C255" s="852" t="s">
        <v>173</v>
      </c>
      <c r="D255" s="852" t="s">
        <v>734</v>
      </c>
      <c r="E255" s="852" t="s">
        <v>289</v>
      </c>
      <c r="F255" s="853">
        <v>99</v>
      </c>
    </row>
    <row r="256" spans="1:6" s="350" customFormat="1" ht="18" customHeight="1" x14ac:dyDescent="0.2">
      <c r="A256" s="851" t="s">
        <v>175</v>
      </c>
      <c r="B256" s="852" t="s">
        <v>246</v>
      </c>
      <c r="C256" s="852" t="s">
        <v>173</v>
      </c>
      <c r="D256" s="852" t="s">
        <v>734</v>
      </c>
      <c r="E256" s="852" t="s">
        <v>287</v>
      </c>
      <c r="F256" s="853">
        <v>12</v>
      </c>
    </row>
    <row r="257" spans="1:6" s="350" customFormat="1" ht="18" customHeight="1" x14ac:dyDescent="0.2">
      <c r="A257" s="851" t="s">
        <v>175</v>
      </c>
      <c r="B257" s="852" t="s">
        <v>246</v>
      </c>
      <c r="C257" s="852" t="s">
        <v>173</v>
      </c>
      <c r="D257" s="852" t="s">
        <v>212</v>
      </c>
      <c r="E257" s="852" t="s">
        <v>289</v>
      </c>
      <c r="F257" s="853">
        <v>15</v>
      </c>
    </row>
    <row r="258" spans="1:6" s="350" customFormat="1" ht="18" customHeight="1" x14ac:dyDescent="0.2">
      <c r="A258" s="851" t="s">
        <v>175</v>
      </c>
      <c r="B258" s="852" t="s">
        <v>246</v>
      </c>
      <c r="C258" s="852" t="s">
        <v>173</v>
      </c>
      <c r="D258" s="852" t="s">
        <v>212</v>
      </c>
      <c r="E258" s="852" t="s">
        <v>287</v>
      </c>
      <c r="F258" s="853">
        <v>12</v>
      </c>
    </row>
    <row r="259" spans="1:6" s="350" customFormat="1" ht="18" customHeight="1" x14ac:dyDescent="0.2">
      <c r="A259" s="851" t="s">
        <v>175</v>
      </c>
      <c r="B259" s="852" t="s">
        <v>143</v>
      </c>
      <c r="C259" s="852" t="s">
        <v>173</v>
      </c>
      <c r="D259" s="852" t="s">
        <v>734</v>
      </c>
      <c r="E259" s="852" t="s">
        <v>287</v>
      </c>
      <c r="F259" s="853">
        <v>1</v>
      </c>
    </row>
    <row r="260" spans="1:6" s="350" customFormat="1" ht="18" customHeight="1" x14ac:dyDescent="0.2">
      <c r="A260" s="851" t="s">
        <v>175</v>
      </c>
      <c r="B260" s="852" t="s">
        <v>143</v>
      </c>
      <c r="C260" s="852" t="s">
        <v>173</v>
      </c>
      <c r="D260" s="852" t="s">
        <v>212</v>
      </c>
      <c r="E260" s="852" t="s">
        <v>287</v>
      </c>
      <c r="F260" s="853">
        <v>1</v>
      </c>
    </row>
    <row r="261" spans="1:6" s="350" customFormat="1" ht="18" customHeight="1" x14ac:dyDescent="0.2">
      <c r="A261" s="851" t="s">
        <v>176</v>
      </c>
      <c r="B261" s="852" t="s">
        <v>242</v>
      </c>
      <c r="C261" s="852" t="s">
        <v>170</v>
      </c>
      <c r="D261" s="852" t="s">
        <v>734</v>
      </c>
      <c r="E261" s="852" t="s">
        <v>289</v>
      </c>
      <c r="F261" s="853">
        <v>2913</v>
      </c>
    </row>
    <row r="262" spans="1:6" s="350" customFormat="1" ht="18" customHeight="1" x14ac:dyDescent="0.2">
      <c r="A262" s="851" t="s">
        <v>176</v>
      </c>
      <c r="B262" s="852" t="s">
        <v>242</v>
      </c>
      <c r="C262" s="852" t="s">
        <v>170</v>
      </c>
      <c r="D262" s="852" t="s">
        <v>734</v>
      </c>
      <c r="E262" s="852" t="s">
        <v>287</v>
      </c>
      <c r="F262" s="853">
        <v>15</v>
      </c>
    </row>
    <row r="263" spans="1:6" s="350" customFormat="1" ht="18" customHeight="1" x14ac:dyDescent="0.2">
      <c r="A263" s="851" t="s">
        <v>176</v>
      </c>
      <c r="B263" s="852" t="s">
        <v>242</v>
      </c>
      <c r="C263" s="852" t="s">
        <v>171</v>
      </c>
      <c r="D263" s="852" t="s">
        <v>734</v>
      </c>
      <c r="E263" s="852" t="s">
        <v>289</v>
      </c>
      <c r="F263" s="853">
        <v>75</v>
      </c>
    </row>
    <row r="264" spans="1:6" s="350" customFormat="1" ht="18" customHeight="1" x14ac:dyDescent="0.2">
      <c r="A264" s="851" t="s">
        <v>176</v>
      </c>
      <c r="B264" s="852" t="s">
        <v>242</v>
      </c>
      <c r="C264" s="852" t="s">
        <v>171</v>
      </c>
      <c r="D264" s="852" t="s">
        <v>734</v>
      </c>
      <c r="E264" s="852" t="s">
        <v>287</v>
      </c>
      <c r="F264" s="853">
        <v>3</v>
      </c>
    </row>
    <row r="265" spans="1:6" s="350" customFormat="1" ht="18" customHeight="1" x14ac:dyDescent="0.2">
      <c r="A265" s="851" t="s">
        <v>176</v>
      </c>
      <c r="B265" s="852" t="s">
        <v>242</v>
      </c>
      <c r="C265" s="852" t="s">
        <v>171</v>
      </c>
      <c r="D265" s="852" t="s">
        <v>209</v>
      </c>
      <c r="E265" s="852" t="s">
        <v>289</v>
      </c>
      <c r="F265" s="853">
        <v>15</v>
      </c>
    </row>
    <row r="266" spans="1:6" s="350" customFormat="1" ht="18" customHeight="1" x14ac:dyDescent="0.2">
      <c r="A266" s="851" t="s">
        <v>176</v>
      </c>
      <c r="B266" s="852" t="s">
        <v>242</v>
      </c>
      <c r="C266" s="852" t="s">
        <v>173</v>
      </c>
      <c r="D266" s="852" t="s">
        <v>734</v>
      </c>
      <c r="E266" s="852" t="s">
        <v>289</v>
      </c>
      <c r="F266" s="853">
        <v>150</v>
      </c>
    </row>
    <row r="267" spans="1:6" s="350" customFormat="1" ht="18" customHeight="1" x14ac:dyDescent="0.2">
      <c r="A267" s="851" t="s">
        <v>176</v>
      </c>
      <c r="B267" s="852" t="s">
        <v>242</v>
      </c>
      <c r="C267" s="852" t="s">
        <v>173</v>
      </c>
      <c r="D267" s="852" t="s">
        <v>208</v>
      </c>
      <c r="E267" s="852" t="s">
        <v>289</v>
      </c>
      <c r="F267" s="853">
        <v>510</v>
      </c>
    </row>
    <row r="268" spans="1:6" s="350" customFormat="1" ht="18" customHeight="1" x14ac:dyDescent="0.2">
      <c r="A268" s="851" t="s">
        <v>176</v>
      </c>
      <c r="B268" s="852" t="s">
        <v>243</v>
      </c>
      <c r="C268" s="852" t="s">
        <v>170</v>
      </c>
      <c r="D268" s="852" t="s">
        <v>734</v>
      </c>
      <c r="E268" s="852" t="s">
        <v>289</v>
      </c>
      <c r="F268" s="853">
        <v>468</v>
      </c>
    </row>
    <row r="269" spans="1:6" s="350" customFormat="1" ht="18" customHeight="1" x14ac:dyDescent="0.2">
      <c r="A269" s="851" t="s">
        <v>176</v>
      </c>
      <c r="B269" s="852" t="s">
        <v>243</v>
      </c>
      <c r="C269" s="852" t="s">
        <v>170</v>
      </c>
      <c r="D269" s="852" t="s">
        <v>734</v>
      </c>
      <c r="E269" s="852" t="s">
        <v>287</v>
      </c>
      <c r="F269" s="853">
        <v>6</v>
      </c>
    </row>
    <row r="270" spans="1:6" s="350" customFormat="1" ht="18" customHeight="1" x14ac:dyDescent="0.2">
      <c r="A270" s="851" t="s">
        <v>176</v>
      </c>
      <c r="B270" s="852" t="s">
        <v>243</v>
      </c>
      <c r="C270" s="852" t="s">
        <v>171</v>
      </c>
      <c r="D270" s="852" t="s">
        <v>734</v>
      </c>
      <c r="E270" s="852" t="s">
        <v>289</v>
      </c>
      <c r="F270" s="853">
        <v>12</v>
      </c>
    </row>
    <row r="271" spans="1:6" s="350" customFormat="1" ht="18" customHeight="1" x14ac:dyDescent="0.2">
      <c r="A271" s="851" t="s">
        <v>176</v>
      </c>
      <c r="B271" s="852" t="s">
        <v>243</v>
      </c>
      <c r="C271" s="852" t="s">
        <v>173</v>
      </c>
      <c r="D271" s="852" t="s">
        <v>208</v>
      </c>
      <c r="E271" s="852" t="s">
        <v>289</v>
      </c>
      <c r="F271" s="853">
        <v>6</v>
      </c>
    </row>
    <row r="272" spans="1:6" s="350" customFormat="1" ht="18" customHeight="1" x14ac:dyDescent="0.2">
      <c r="A272" s="851" t="s">
        <v>176</v>
      </c>
      <c r="B272" s="852" t="s">
        <v>244</v>
      </c>
      <c r="C272" s="852" t="s">
        <v>170</v>
      </c>
      <c r="D272" s="852" t="s">
        <v>734</v>
      </c>
      <c r="E272" s="852" t="s">
        <v>294</v>
      </c>
      <c r="F272" s="853">
        <v>1</v>
      </c>
    </row>
    <row r="273" spans="1:6" s="350" customFormat="1" ht="18" customHeight="1" x14ac:dyDescent="0.2">
      <c r="A273" s="851" t="s">
        <v>176</v>
      </c>
      <c r="B273" s="852" t="s">
        <v>244</v>
      </c>
      <c r="C273" s="852" t="s">
        <v>170</v>
      </c>
      <c r="D273" s="852" t="s">
        <v>734</v>
      </c>
      <c r="E273" s="852" t="s">
        <v>296</v>
      </c>
      <c r="F273" s="853">
        <v>1</v>
      </c>
    </row>
    <row r="274" spans="1:6" s="350" customFormat="1" ht="18" customHeight="1" x14ac:dyDescent="0.2">
      <c r="A274" s="851" t="s">
        <v>176</v>
      </c>
      <c r="B274" s="852" t="s">
        <v>244</v>
      </c>
      <c r="C274" s="852" t="s">
        <v>170</v>
      </c>
      <c r="D274" s="852" t="s">
        <v>734</v>
      </c>
      <c r="E274" s="852" t="s">
        <v>297</v>
      </c>
      <c r="F274" s="853">
        <v>245</v>
      </c>
    </row>
    <row r="275" spans="1:6" s="350" customFormat="1" ht="18" customHeight="1" x14ac:dyDescent="0.2">
      <c r="A275" s="851" t="s">
        <v>176</v>
      </c>
      <c r="B275" s="852" t="s">
        <v>244</v>
      </c>
      <c r="C275" s="852" t="s">
        <v>170</v>
      </c>
      <c r="D275" s="852" t="s">
        <v>734</v>
      </c>
      <c r="E275" s="852" t="s">
        <v>287</v>
      </c>
      <c r="F275" s="853">
        <v>277</v>
      </c>
    </row>
    <row r="276" spans="1:6" s="350" customFormat="1" ht="18" customHeight="1" x14ac:dyDescent="0.2">
      <c r="A276" s="851" t="s">
        <v>176</v>
      </c>
      <c r="B276" s="852" t="s">
        <v>244</v>
      </c>
      <c r="C276" s="852" t="s">
        <v>170</v>
      </c>
      <c r="D276" s="852" t="s">
        <v>734</v>
      </c>
      <c r="E276" s="852" t="s">
        <v>293</v>
      </c>
      <c r="F276" s="853">
        <v>10</v>
      </c>
    </row>
    <row r="277" spans="1:6" s="350" customFormat="1" ht="18" customHeight="1" x14ac:dyDescent="0.2">
      <c r="A277" s="851" t="s">
        <v>176</v>
      </c>
      <c r="B277" s="852" t="s">
        <v>244</v>
      </c>
      <c r="C277" s="852" t="s">
        <v>171</v>
      </c>
      <c r="D277" s="852" t="s">
        <v>734</v>
      </c>
      <c r="E277" s="852" t="s">
        <v>297</v>
      </c>
      <c r="F277" s="853">
        <v>5</v>
      </c>
    </row>
    <row r="278" spans="1:6" s="350" customFormat="1" ht="18" customHeight="1" x14ac:dyDescent="0.2">
      <c r="A278" s="851" t="s">
        <v>176</v>
      </c>
      <c r="B278" s="852" t="s">
        <v>244</v>
      </c>
      <c r="C278" s="852" t="s">
        <v>171</v>
      </c>
      <c r="D278" s="852" t="s">
        <v>734</v>
      </c>
      <c r="E278" s="852" t="s">
        <v>287</v>
      </c>
      <c r="F278" s="853">
        <v>17</v>
      </c>
    </row>
    <row r="279" spans="1:6" s="350" customFormat="1" ht="18" customHeight="1" x14ac:dyDescent="0.2">
      <c r="A279" s="851" t="s">
        <v>176</v>
      </c>
      <c r="B279" s="852" t="s">
        <v>244</v>
      </c>
      <c r="C279" s="852" t="s">
        <v>171</v>
      </c>
      <c r="D279" s="852" t="s">
        <v>734</v>
      </c>
      <c r="E279" s="852" t="s">
        <v>293</v>
      </c>
      <c r="F279" s="853">
        <v>3</v>
      </c>
    </row>
    <row r="280" spans="1:6" s="350" customFormat="1" ht="18" customHeight="1" x14ac:dyDescent="0.2">
      <c r="A280" s="851" t="s">
        <v>176</v>
      </c>
      <c r="B280" s="852" t="s">
        <v>244</v>
      </c>
      <c r="C280" s="852" t="s">
        <v>171</v>
      </c>
      <c r="D280" s="852" t="s">
        <v>209</v>
      </c>
      <c r="E280" s="852" t="s">
        <v>297</v>
      </c>
      <c r="F280" s="853">
        <v>4</v>
      </c>
    </row>
    <row r="281" spans="1:6" s="350" customFormat="1" ht="18" customHeight="1" x14ac:dyDescent="0.2">
      <c r="A281" s="851" t="s">
        <v>176</v>
      </c>
      <c r="B281" s="852" t="s">
        <v>244</v>
      </c>
      <c r="C281" s="852" t="s">
        <v>173</v>
      </c>
      <c r="D281" s="852" t="s">
        <v>734</v>
      </c>
      <c r="E281" s="852" t="s">
        <v>294</v>
      </c>
      <c r="F281" s="853">
        <v>3</v>
      </c>
    </row>
    <row r="282" spans="1:6" s="350" customFormat="1" ht="18" customHeight="1" x14ac:dyDescent="0.2">
      <c r="A282" s="851" t="s">
        <v>176</v>
      </c>
      <c r="B282" s="852" t="s">
        <v>244</v>
      </c>
      <c r="C282" s="852" t="s">
        <v>173</v>
      </c>
      <c r="D282" s="852" t="s">
        <v>734</v>
      </c>
      <c r="E282" s="852" t="s">
        <v>296</v>
      </c>
      <c r="F282" s="853">
        <v>3</v>
      </c>
    </row>
    <row r="283" spans="1:6" s="350" customFormat="1" ht="18" customHeight="1" x14ac:dyDescent="0.2">
      <c r="A283" s="851" t="s">
        <v>176</v>
      </c>
      <c r="B283" s="852" t="s">
        <v>244</v>
      </c>
      <c r="C283" s="852" t="s">
        <v>173</v>
      </c>
      <c r="D283" s="852" t="s">
        <v>734</v>
      </c>
      <c r="E283" s="852" t="s">
        <v>297</v>
      </c>
      <c r="F283" s="853">
        <v>86</v>
      </c>
    </row>
    <row r="284" spans="1:6" s="350" customFormat="1" ht="18" customHeight="1" x14ac:dyDescent="0.2">
      <c r="A284" s="851" t="s">
        <v>176</v>
      </c>
      <c r="B284" s="852" t="s">
        <v>244</v>
      </c>
      <c r="C284" s="852" t="s">
        <v>173</v>
      </c>
      <c r="D284" s="852" t="s">
        <v>734</v>
      </c>
      <c r="E284" s="852" t="s">
        <v>287</v>
      </c>
      <c r="F284" s="853">
        <v>176</v>
      </c>
    </row>
    <row r="285" spans="1:6" s="350" customFormat="1" ht="18" customHeight="1" x14ac:dyDescent="0.2">
      <c r="A285" s="851" t="s">
        <v>176</v>
      </c>
      <c r="B285" s="852" t="s">
        <v>244</v>
      </c>
      <c r="C285" s="852" t="s">
        <v>173</v>
      </c>
      <c r="D285" s="852" t="s">
        <v>734</v>
      </c>
      <c r="E285" s="852" t="s">
        <v>293</v>
      </c>
      <c r="F285" s="853">
        <v>10</v>
      </c>
    </row>
    <row r="286" spans="1:6" s="350" customFormat="1" ht="18" customHeight="1" x14ac:dyDescent="0.2">
      <c r="A286" s="851" t="s">
        <v>176</v>
      </c>
      <c r="B286" s="852" t="s">
        <v>244</v>
      </c>
      <c r="C286" s="852" t="s">
        <v>173</v>
      </c>
      <c r="D286" s="852" t="s">
        <v>208</v>
      </c>
      <c r="E286" s="852" t="s">
        <v>294</v>
      </c>
      <c r="F286" s="853">
        <v>1</v>
      </c>
    </row>
    <row r="287" spans="1:6" s="350" customFormat="1" ht="18" customHeight="1" x14ac:dyDescent="0.2">
      <c r="A287" s="851" t="s">
        <v>176</v>
      </c>
      <c r="B287" s="852" t="s">
        <v>244</v>
      </c>
      <c r="C287" s="852" t="s">
        <v>173</v>
      </c>
      <c r="D287" s="852" t="s">
        <v>208</v>
      </c>
      <c r="E287" s="852" t="s">
        <v>297</v>
      </c>
      <c r="F287" s="853">
        <v>39</v>
      </c>
    </row>
    <row r="288" spans="1:6" s="350" customFormat="1" ht="18" customHeight="1" x14ac:dyDescent="0.2">
      <c r="A288" s="851" t="s">
        <v>176</v>
      </c>
      <c r="B288" s="852" t="s">
        <v>244</v>
      </c>
      <c r="C288" s="852" t="s">
        <v>173</v>
      </c>
      <c r="D288" s="852" t="s">
        <v>208</v>
      </c>
      <c r="E288" s="852" t="s">
        <v>287</v>
      </c>
      <c r="F288" s="853">
        <v>71</v>
      </c>
    </row>
    <row r="289" spans="1:6" s="350" customFormat="1" ht="18" customHeight="1" x14ac:dyDescent="0.2">
      <c r="A289" s="851" t="s">
        <v>176</v>
      </c>
      <c r="B289" s="852" t="s">
        <v>244</v>
      </c>
      <c r="C289" s="852" t="s">
        <v>173</v>
      </c>
      <c r="D289" s="852" t="s">
        <v>208</v>
      </c>
      <c r="E289" s="852" t="s">
        <v>293</v>
      </c>
      <c r="F289" s="853">
        <v>2</v>
      </c>
    </row>
    <row r="290" spans="1:6" s="350" customFormat="1" ht="18" customHeight="1" x14ac:dyDescent="0.2">
      <c r="A290" s="851" t="s">
        <v>176</v>
      </c>
      <c r="B290" s="852" t="s">
        <v>245</v>
      </c>
      <c r="C290" s="852" t="s">
        <v>170</v>
      </c>
      <c r="D290" s="852" t="s">
        <v>734</v>
      </c>
      <c r="E290" s="852" t="s">
        <v>297</v>
      </c>
      <c r="F290" s="853">
        <v>9</v>
      </c>
    </row>
    <row r="291" spans="1:6" s="350" customFormat="1" ht="18" customHeight="1" x14ac:dyDescent="0.2">
      <c r="A291" s="851" t="s">
        <v>176</v>
      </c>
      <c r="B291" s="852" t="s">
        <v>245</v>
      </c>
      <c r="C291" s="852" t="s">
        <v>170</v>
      </c>
      <c r="D291" s="852" t="s">
        <v>734</v>
      </c>
      <c r="E291" s="852" t="s">
        <v>287</v>
      </c>
      <c r="F291" s="853">
        <v>14</v>
      </c>
    </row>
    <row r="292" spans="1:6" s="350" customFormat="1" ht="18" customHeight="1" x14ac:dyDescent="0.2">
      <c r="A292" s="851" t="s">
        <v>176</v>
      </c>
      <c r="B292" s="852" t="s">
        <v>245</v>
      </c>
      <c r="C292" s="852" t="s">
        <v>170</v>
      </c>
      <c r="D292" s="852" t="s">
        <v>734</v>
      </c>
      <c r="E292" s="852" t="s">
        <v>293</v>
      </c>
      <c r="F292" s="853">
        <v>1</v>
      </c>
    </row>
    <row r="293" spans="1:6" s="350" customFormat="1" ht="18" customHeight="1" x14ac:dyDescent="0.2">
      <c r="A293" s="851" t="s">
        <v>176</v>
      </c>
      <c r="B293" s="852" t="s">
        <v>245</v>
      </c>
      <c r="C293" s="852" t="s">
        <v>173</v>
      </c>
      <c r="D293" s="852" t="s">
        <v>734</v>
      </c>
      <c r="E293" s="852" t="s">
        <v>296</v>
      </c>
      <c r="F293" s="853">
        <v>1</v>
      </c>
    </row>
    <row r="294" spans="1:6" s="350" customFormat="1" ht="18" customHeight="1" x14ac:dyDescent="0.2">
      <c r="A294" s="851" t="s">
        <v>176</v>
      </c>
      <c r="B294" s="852" t="s">
        <v>245</v>
      </c>
      <c r="C294" s="852" t="s">
        <v>173</v>
      </c>
      <c r="D294" s="852" t="s">
        <v>734</v>
      </c>
      <c r="E294" s="852" t="s">
        <v>297</v>
      </c>
      <c r="F294" s="853">
        <v>10</v>
      </c>
    </row>
    <row r="295" spans="1:6" s="350" customFormat="1" ht="18" customHeight="1" x14ac:dyDescent="0.2">
      <c r="A295" s="851" t="s">
        <v>176</v>
      </c>
      <c r="B295" s="852" t="s">
        <v>245</v>
      </c>
      <c r="C295" s="852" t="s">
        <v>173</v>
      </c>
      <c r="D295" s="852" t="s">
        <v>734</v>
      </c>
      <c r="E295" s="852" t="s">
        <v>287</v>
      </c>
      <c r="F295" s="853">
        <v>18</v>
      </c>
    </row>
    <row r="296" spans="1:6" s="350" customFormat="1" ht="18" customHeight="1" x14ac:dyDescent="0.2">
      <c r="A296" s="851" t="s">
        <v>176</v>
      </c>
      <c r="B296" s="852" t="s">
        <v>245</v>
      </c>
      <c r="C296" s="852" t="s">
        <v>173</v>
      </c>
      <c r="D296" s="852" t="s">
        <v>734</v>
      </c>
      <c r="E296" s="852" t="s">
        <v>293</v>
      </c>
      <c r="F296" s="853">
        <v>1</v>
      </c>
    </row>
    <row r="297" spans="1:6" s="350" customFormat="1" ht="18" customHeight="1" x14ac:dyDescent="0.2">
      <c r="A297" s="851" t="s">
        <v>176</v>
      </c>
      <c r="B297" s="852" t="s">
        <v>245</v>
      </c>
      <c r="C297" s="852" t="s">
        <v>173</v>
      </c>
      <c r="D297" s="852" t="s">
        <v>208</v>
      </c>
      <c r="E297" s="852" t="s">
        <v>297</v>
      </c>
      <c r="F297" s="853">
        <v>4</v>
      </c>
    </row>
    <row r="298" spans="1:6" s="350" customFormat="1" ht="18" customHeight="1" x14ac:dyDescent="0.2">
      <c r="A298" s="851" t="s">
        <v>176</v>
      </c>
      <c r="B298" s="852" t="s">
        <v>245</v>
      </c>
      <c r="C298" s="852" t="s">
        <v>173</v>
      </c>
      <c r="D298" s="852" t="s">
        <v>208</v>
      </c>
      <c r="E298" s="852" t="s">
        <v>287</v>
      </c>
      <c r="F298" s="853">
        <v>4</v>
      </c>
    </row>
    <row r="299" spans="1:6" s="350" customFormat="1" ht="18" customHeight="1" x14ac:dyDescent="0.2">
      <c r="A299" s="851" t="s">
        <v>176</v>
      </c>
      <c r="B299" s="852" t="s">
        <v>245</v>
      </c>
      <c r="C299" s="852" t="s">
        <v>173</v>
      </c>
      <c r="D299" s="852" t="s">
        <v>208</v>
      </c>
      <c r="E299" s="852" t="s">
        <v>293</v>
      </c>
      <c r="F299" s="853">
        <v>1</v>
      </c>
    </row>
    <row r="300" spans="1:6" s="350" customFormat="1" ht="18" customHeight="1" x14ac:dyDescent="0.2">
      <c r="A300" s="851" t="s">
        <v>176</v>
      </c>
      <c r="B300" s="852" t="s">
        <v>246</v>
      </c>
      <c r="C300" s="852" t="s">
        <v>170</v>
      </c>
      <c r="D300" s="852" t="s">
        <v>734</v>
      </c>
      <c r="E300" s="852" t="s">
        <v>289</v>
      </c>
      <c r="F300" s="853">
        <v>32595</v>
      </c>
    </row>
    <row r="301" spans="1:6" s="350" customFormat="1" ht="18" customHeight="1" x14ac:dyDescent="0.2">
      <c r="A301" s="851" t="s">
        <v>176</v>
      </c>
      <c r="B301" s="852" t="s">
        <v>246</v>
      </c>
      <c r="C301" s="852" t="s">
        <v>170</v>
      </c>
      <c r="D301" s="852" t="s">
        <v>734</v>
      </c>
      <c r="E301" s="852" t="s">
        <v>287</v>
      </c>
      <c r="F301" s="853">
        <v>84</v>
      </c>
    </row>
    <row r="302" spans="1:6" s="350" customFormat="1" ht="18" customHeight="1" x14ac:dyDescent="0.2">
      <c r="A302" s="851" t="s">
        <v>176</v>
      </c>
      <c r="B302" s="852" t="s">
        <v>246</v>
      </c>
      <c r="C302" s="852" t="s">
        <v>170</v>
      </c>
      <c r="D302" s="852" t="s">
        <v>734</v>
      </c>
      <c r="E302" s="852" t="s">
        <v>293</v>
      </c>
      <c r="F302" s="853">
        <v>4</v>
      </c>
    </row>
    <row r="303" spans="1:6" s="350" customFormat="1" ht="18" customHeight="1" x14ac:dyDescent="0.2">
      <c r="A303" s="851" t="s">
        <v>176</v>
      </c>
      <c r="B303" s="852" t="s">
        <v>246</v>
      </c>
      <c r="C303" s="852" t="s">
        <v>171</v>
      </c>
      <c r="D303" s="852" t="s">
        <v>734</v>
      </c>
      <c r="E303" s="852" t="s">
        <v>289</v>
      </c>
      <c r="F303" s="853">
        <v>1615</v>
      </c>
    </row>
    <row r="304" spans="1:6" s="350" customFormat="1" ht="18" customHeight="1" x14ac:dyDescent="0.2">
      <c r="A304" s="851" t="s">
        <v>176</v>
      </c>
      <c r="B304" s="852" t="s">
        <v>246</v>
      </c>
      <c r="C304" s="852" t="s">
        <v>171</v>
      </c>
      <c r="D304" s="852" t="s">
        <v>734</v>
      </c>
      <c r="E304" s="852" t="s">
        <v>287</v>
      </c>
      <c r="F304" s="853">
        <v>12</v>
      </c>
    </row>
    <row r="305" spans="1:6" s="350" customFormat="1" ht="18" customHeight="1" x14ac:dyDescent="0.2">
      <c r="A305" s="851" t="s">
        <v>176</v>
      </c>
      <c r="B305" s="852" t="s">
        <v>246</v>
      </c>
      <c r="C305" s="852" t="s">
        <v>171</v>
      </c>
      <c r="D305" s="852" t="s">
        <v>209</v>
      </c>
      <c r="E305" s="852" t="s">
        <v>289</v>
      </c>
      <c r="F305" s="853">
        <v>516</v>
      </c>
    </row>
    <row r="306" spans="1:6" s="350" customFormat="1" ht="18" customHeight="1" x14ac:dyDescent="0.2">
      <c r="A306" s="851" t="s">
        <v>176</v>
      </c>
      <c r="B306" s="852" t="s">
        <v>246</v>
      </c>
      <c r="C306" s="852" t="s">
        <v>173</v>
      </c>
      <c r="D306" s="852" t="s">
        <v>734</v>
      </c>
      <c r="E306" s="852" t="s">
        <v>289</v>
      </c>
      <c r="F306" s="853">
        <v>1062</v>
      </c>
    </row>
    <row r="307" spans="1:6" s="350" customFormat="1" ht="18" customHeight="1" x14ac:dyDescent="0.2">
      <c r="A307" s="851" t="s">
        <v>176</v>
      </c>
      <c r="B307" s="852" t="s">
        <v>246</v>
      </c>
      <c r="C307" s="852" t="s">
        <v>173</v>
      </c>
      <c r="D307" s="852" t="s">
        <v>208</v>
      </c>
      <c r="E307" s="852" t="s">
        <v>289</v>
      </c>
      <c r="F307" s="853">
        <v>2463</v>
      </c>
    </row>
    <row r="308" spans="1:6" s="350" customFormat="1" ht="18" customHeight="1" x14ac:dyDescent="0.2">
      <c r="A308" s="851" t="s">
        <v>176</v>
      </c>
      <c r="B308" s="852" t="s">
        <v>246</v>
      </c>
      <c r="C308" s="852" t="s">
        <v>173</v>
      </c>
      <c r="D308" s="852" t="s">
        <v>208</v>
      </c>
      <c r="E308" s="852" t="s">
        <v>287</v>
      </c>
      <c r="F308" s="853">
        <v>21</v>
      </c>
    </row>
    <row r="309" spans="1:6" s="350" customFormat="1" ht="18" customHeight="1" x14ac:dyDescent="0.2">
      <c r="A309" s="851" t="s">
        <v>176</v>
      </c>
      <c r="B309" s="852" t="s">
        <v>143</v>
      </c>
      <c r="C309" s="852" t="s">
        <v>170</v>
      </c>
      <c r="D309" s="852" t="s">
        <v>734</v>
      </c>
      <c r="E309" s="852" t="s">
        <v>297</v>
      </c>
      <c r="F309" s="853">
        <v>1</v>
      </c>
    </row>
    <row r="310" spans="1:6" s="350" customFormat="1" ht="18" customHeight="1" x14ac:dyDescent="0.2">
      <c r="A310" s="851" t="s">
        <v>176</v>
      </c>
      <c r="B310" s="852" t="s">
        <v>143</v>
      </c>
      <c r="C310" s="852" t="s">
        <v>170</v>
      </c>
      <c r="D310" s="852" t="s">
        <v>734</v>
      </c>
      <c r="E310" s="852" t="s">
        <v>287</v>
      </c>
      <c r="F310" s="853">
        <v>2</v>
      </c>
    </row>
    <row r="311" spans="1:6" s="350" customFormat="1" ht="18" customHeight="1" x14ac:dyDescent="0.2">
      <c r="A311" s="851" t="s">
        <v>176</v>
      </c>
      <c r="B311" s="852" t="s">
        <v>143</v>
      </c>
      <c r="C311" s="852" t="s">
        <v>173</v>
      </c>
      <c r="D311" s="852" t="s">
        <v>734</v>
      </c>
      <c r="E311" s="852" t="s">
        <v>297</v>
      </c>
      <c r="F311" s="853">
        <v>2</v>
      </c>
    </row>
    <row r="312" spans="1:6" s="350" customFormat="1" ht="18" customHeight="1" x14ac:dyDescent="0.2">
      <c r="A312" s="851" t="s">
        <v>176</v>
      </c>
      <c r="B312" s="852" t="s">
        <v>143</v>
      </c>
      <c r="C312" s="852" t="s">
        <v>173</v>
      </c>
      <c r="D312" s="852" t="s">
        <v>734</v>
      </c>
      <c r="E312" s="852" t="s">
        <v>287</v>
      </c>
      <c r="F312" s="853">
        <v>1</v>
      </c>
    </row>
    <row r="313" spans="1:6" s="350" customFormat="1" ht="18" customHeight="1" x14ac:dyDescent="0.2">
      <c r="A313" s="851" t="s">
        <v>176</v>
      </c>
      <c r="B313" s="852" t="s">
        <v>143</v>
      </c>
      <c r="C313" s="852" t="s">
        <v>173</v>
      </c>
      <c r="D313" s="852" t="s">
        <v>208</v>
      </c>
      <c r="E313" s="852" t="s">
        <v>287</v>
      </c>
      <c r="F313" s="853">
        <v>2</v>
      </c>
    </row>
    <row r="314" spans="1:6" s="350" customFormat="1" ht="18" customHeight="1" x14ac:dyDescent="0.2">
      <c r="A314" s="851" t="s">
        <v>177</v>
      </c>
      <c r="B314" s="852" t="s">
        <v>242</v>
      </c>
      <c r="C314" s="852" t="s">
        <v>170</v>
      </c>
      <c r="D314" s="852" t="s">
        <v>212</v>
      </c>
      <c r="E314" s="852" t="s">
        <v>289</v>
      </c>
      <c r="F314" s="853">
        <v>159</v>
      </c>
    </row>
    <row r="315" spans="1:6" s="350" customFormat="1" ht="18" customHeight="1" x14ac:dyDescent="0.2">
      <c r="A315" s="851" t="s">
        <v>177</v>
      </c>
      <c r="B315" s="852" t="s">
        <v>242</v>
      </c>
      <c r="C315" s="852" t="s">
        <v>171</v>
      </c>
      <c r="D315" s="852" t="s">
        <v>734</v>
      </c>
      <c r="E315" s="852" t="s">
        <v>289</v>
      </c>
      <c r="F315" s="853">
        <v>2031</v>
      </c>
    </row>
    <row r="316" spans="1:6" s="350" customFormat="1" ht="18" customHeight="1" x14ac:dyDescent="0.2">
      <c r="A316" s="851" t="s">
        <v>177</v>
      </c>
      <c r="B316" s="852" t="s">
        <v>242</v>
      </c>
      <c r="C316" s="852" t="s">
        <v>171</v>
      </c>
      <c r="D316" s="852" t="s">
        <v>734</v>
      </c>
      <c r="E316" s="852" t="s">
        <v>287</v>
      </c>
      <c r="F316" s="853">
        <v>6</v>
      </c>
    </row>
    <row r="317" spans="1:6" s="350" customFormat="1" ht="18" customHeight="1" x14ac:dyDescent="0.2">
      <c r="A317" s="851" t="s">
        <v>177</v>
      </c>
      <c r="B317" s="852" t="s">
        <v>242</v>
      </c>
      <c r="C317" s="852" t="s">
        <v>171</v>
      </c>
      <c r="D317" s="852" t="s">
        <v>734</v>
      </c>
      <c r="E317" s="852" t="s">
        <v>293</v>
      </c>
      <c r="F317" s="853">
        <v>4</v>
      </c>
    </row>
    <row r="318" spans="1:6" s="350" customFormat="1" ht="18" customHeight="1" x14ac:dyDescent="0.2">
      <c r="A318" s="851" t="s">
        <v>177</v>
      </c>
      <c r="B318" s="852" t="s">
        <v>242</v>
      </c>
      <c r="C318" s="852" t="s">
        <v>171</v>
      </c>
      <c r="D318" s="852" t="s">
        <v>207</v>
      </c>
      <c r="E318" s="852" t="s">
        <v>289</v>
      </c>
      <c r="F318" s="853">
        <v>33</v>
      </c>
    </row>
    <row r="319" spans="1:6" s="350" customFormat="1" ht="18" customHeight="1" x14ac:dyDescent="0.2">
      <c r="A319" s="851" t="s">
        <v>177</v>
      </c>
      <c r="B319" s="852" t="s">
        <v>242</v>
      </c>
      <c r="C319" s="852" t="s">
        <v>171</v>
      </c>
      <c r="D319" s="852" t="s">
        <v>207</v>
      </c>
      <c r="E319" s="852" t="s">
        <v>287</v>
      </c>
      <c r="F319" s="853">
        <v>21</v>
      </c>
    </row>
    <row r="320" spans="1:6" s="350" customFormat="1" ht="18" customHeight="1" x14ac:dyDescent="0.2">
      <c r="A320" s="851" t="s">
        <v>177</v>
      </c>
      <c r="B320" s="852" t="s">
        <v>242</v>
      </c>
      <c r="C320" s="852" t="s">
        <v>171</v>
      </c>
      <c r="D320" s="852" t="s">
        <v>212</v>
      </c>
      <c r="E320" s="852" t="s">
        <v>289</v>
      </c>
      <c r="F320" s="853">
        <v>1548</v>
      </c>
    </row>
    <row r="321" spans="1:6" s="350" customFormat="1" ht="18" customHeight="1" x14ac:dyDescent="0.2">
      <c r="A321" s="851" t="s">
        <v>177</v>
      </c>
      <c r="B321" s="852" t="s">
        <v>242</v>
      </c>
      <c r="C321" s="852" t="s">
        <v>171</v>
      </c>
      <c r="D321" s="852" t="s">
        <v>212</v>
      </c>
      <c r="E321" s="852" t="s">
        <v>287</v>
      </c>
      <c r="F321" s="853">
        <v>6</v>
      </c>
    </row>
    <row r="322" spans="1:6" s="350" customFormat="1" ht="18" customHeight="1" x14ac:dyDescent="0.2">
      <c r="A322" s="851" t="s">
        <v>177</v>
      </c>
      <c r="B322" s="852" t="s">
        <v>242</v>
      </c>
      <c r="C322" s="852" t="s">
        <v>173</v>
      </c>
      <c r="D322" s="852" t="s">
        <v>734</v>
      </c>
      <c r="E322" s="852" t="s">
        <v>294</v>
      </c>
      <c r="F322" s="853">
        <v>1</v>
      </c>
    </row>
    <row r="323" spans="1:6" s="350" customFormat="1" ht="18" customHeight="1" x14ac:dyDescent="0.2">
      <c r="A323" s="851" t="s">
        <v>177</v>
      </c>
      <c r="B323" s="852" t="s">
        <v>242</v>
      </c>
      <c r="C323" s="852" t="s">
        <v>173</v>
      </c>
      <c r="D323" s="852" t="s">
        <v>734</v>
      </c>
      <c r="E323" s="852" t="s">
        <v>289</v>
      </c>
      <c r="F323" s="853">
        <v>681</v>
      </c>
    </row>
    <row r="324" spans="1:6" s="350" customFormat="1" ht="18" customHeight="1" x14ac:dyDescent="0.2">
      <c r="A324" s="851" t="s">
        <v>177</v>
      </c>
      <c r="B324" s="852" t="s">
        <v>242</v>
      </c>
      <c r="C324" s="852" t="s">
        <v>173</v>
      </c>
      <c r="D324" s="852" t="s">
        <v>734</v>
      </c>
      <c r="E324" s="852" t="s">
        <v>287</v>
      </c>
      <c r="F324" s="853">
        <v>3</v>
      </c>
    </row>
    <row r="325" spans="1:6" s="350" customFormat="1" ht="18" customHeight="1" x14ac:dyDescent="0.2">
      <c r="A325" s="851" t="s">
        <v>177</v>
      </c>
      <c r="B325" s="852" t="s">
        <v>242</v>
      </c>
      <c r="C325" s="852" t="s">
        <v>173</v>
      </c>
      <c r="D325" s="852" t="s">
        <v>207</v>
      </c>
      <c r="E325" s="852" t="s">
        <v>296</v>
      </c>
      <c r="F325" s="853">
        <v>4</v>
      </c>
    </row>
    <row r="326" spans="1:6" s="350" customFormat="1" ht="18" customHeight="1" x14ac:dyDescent="0.2">
      <c r="A326" s="851" t="s">
        <v>177</v>
      </c>
      <c r="B326" s="852" t="s">
        <v>242</v>
      </c>
      <c r="C326" s="852" t="s">
        <v>173</v>
      </c>
      <c r="D326" s="852" t="s">
        <v>207</v>
      </c>
      <c r="E326" s="852" t="s">
        <v>289</v>
      </c>
      <c r="F326" s="853">
        <v>15</v>
      </c>
    </row>
    <row r="327" spans="1:6" s="350" customFormat="1" ht="18" customHeight="1" x14ac:dyDescent="0.2">
      <c r="A327" s="851" t="s">
        <v>177</v>
      </c>
      <c r="B327" s="852" t="s">
        <v>242</v>
      </c>
      <c r="C327" s="852" t="s">
        <v>173</v>
      </c>
      <c r="D327" s="852" t="s">
        <v>212</v>
      </c>
      <c r="E327" s="852" t="s">
        <v>289</v>
      </c>
      <c r="F327" s="853">
        <v>750</v>
      </c>
    </row>
    <row r="328" spans="1:6" s="350" customFormat="1" ht="18" customHeight="1" x14ac:dyDescent="0.2">
      <c r="A328" s="851" t="s">
        <v>177</v>
      </c>
      <c r="B328" s="852" t="s">
        <v>242</v>
      </c>
      <c r="C328" s="852" t="s">
        <v>173</v>
      </c>
      <c r="D328" s="852" t="s">
        <v>212</v>
      </c>
      <c r="E328" s="852" t="s">
        <v>287</v>
      </c>
      <c r="F328" s="853">
        <v>6</v>
      </c>
    </row>
    <row r="329" spans="1:6" s="350" customFormat="1" ht="18" customHeight="1" x14ac:dyDescent="0.2">
      <c r="A329" s="851" t="s">
        <v>177</v>
      </c>
      <c r="B329" s="852" t="s">
        <v>243</v>
      </c>
      <c r="C329" s="852" t="s">
        <v>170</v>
      </c>
      <c r="D329" s="852" t="s">
        <v>212</v>
      </c>
      <c r="E329" s="852" t="s">
        <v>289</v>
      </c>
      <c r="F329" s="853">
        <v>6</v>
      </c>
    </row>
    <row r="330" spans="1:6" s="350" customFormat="1" ht="18" customHeight="1" x14ac:dyDescent="0.2">
      <c r="A330" s="851" t="s">
        <v>177</v>
      </c>
      <c r="B330" s="852" t="s">
        <v>243</v>
      </c>
      <c r="C330" s="852" t="s">
        <v>171</v>
      </c>
      <c r="D330" s="852" t="s">
        <v>734</v>
      </c>
      <c r="E330" s="852" t="s">
        <v>289</v>
      </c>
      <c r="F330" s="853">
        <v>486</v>
      </c>
    </row>
    <row r="331" spans="1:6" s="350" customFormat="1" ht="18" customHeight="1" x14ac:dyDescent="0.2">
      <c r="A331" s="851" t="s">
        <v>177</v>
      </c>
      <c r="B331" s="852" t="s">
        <v>243</v>
      </c>
      <c r="C331" s="852" t="s">
        <v>171</v>
      </c>
      <c r="D331" s="852" t="s">
        <v>212</v>
      </c>
      <c r="E331" s="852" t="s">
        <v>289</v>
      </c>
      <c r="F331" s="853">
        <v>33</v>
      </c>
    </row>
    <row r="332" spans="1:6" s="350" customFormat="1" ht="18" customHeight="1" x14ac:dyDescent="0.2">
      <c r="A332" s="851" t="s">
        <v>177</v>
      </c>
      <c r="B332" s="852" t="s">
        <v>243</v>
      </c>
      <c r="C332" s="852" t="s">
        <v>173</v>
      </c>
      <c r="D332" s="852" t="s">
        <v>734</v>
      </c>
      <c r="E332" s="852" t="s">
        <v>289</v>
      </c>
      <c r="F332" s="853">
        <v>54</v>
      </c>
    </row>
    <row r="333" spans="1:6" s="350" customFormat="1" ht="18" customHeight="1" x14ac:dyDescent="0.2">
      <c r="A333" s="851" t="s">
        <v>177</v>
      </c>
      <c r="B333" s="852" t="s">
        <v>243</v>
      </c>
      <c r="C333" s="852" t="s">
        <v>173</v>
      </c>
      <c r="D333" s="852" t="s">
        <v>207</v>
      </c>
      <c r="E333" s="852" t="s">
        <v>289</v>
      </c>
      <c r="F333" s="853">
        <v>3</v>
      </c>
    </row>
    <row r="334" spans="1:6" s="350" customFormat="1" ht="18" customHeight="1" x14ac:dyDescent="0.2">
      <c r="A334" s="851" t="s">
        <v>177</v>
      </c>
      <c r="B334" s="852" t="s">
        <v>243</v>
      </c>
      <c r="C334" s="852" t="s">
        <v>173</v>
      </c>
      <c r="D334" s="852" t="s">
        <v>212</v>
      </c>
      <c r="E334" s="852" t="s">
        <v>289</v>
      </c>
      <c r="F334" s="853">
        <v>54</v>
      </c>
    </row>
    <row r="335" spans="1:6" s="350" customFormat="1" ht="18" customHeight="1" x14ac:dyDescent="0.2">
      <c r="A335" s="851" t="s">
        <v>177</v>
      </c>
      <c r="B335" s="852" t="s">
        <v>244</v>
      </c>
      <c r="C335" s="852" t="s">
        <v>170</v>
      </c>
      <c r="D335" s="852" t="s">
        <v>212</v>
      </c>
      <c r="E335" s="852" t="s">
        <v>297</v>
      </c>
      <c r="F335" s="853">
        <v>2</v>
      </c>
    </row>
    <row r="336" spans="1:6" s="350" customFormat="1" ht="18" customHeight="1" x14ac:dyDescent="0.2">
      <c r="A336" s="851" t="s">
        <v>177</v>
      </c>
      <c r="B336" s="852" t="s">
        <v>244</v>
      </c>
      <c r="C336" s="852" t="s">
        <v>170</v>
      </c>
      <c r="D336" s="852" t="s">
        <v>212</v>
      </c>
      <c r="E336" s="852" t="s">
        <v>287</v>
      </c>
      <c r="F336" s="853">
        <v>2</v>
      </c>
    </row>
    <row r="337" spans="1:6" s="350" customFormat="1" ht="18" customHeight="1" x14ac:dyDescent="0.2">
      <c r="A337" s="851" t="s">
        <v>177</v>
      </c>
      <c r="B337" s="852" t="s">
        <v>244</v>
      </c>
      <c r="C337" s="852" t="s">
        <v>170</v>
      </c>
      <c r="D337" s="852" t="s">
        <v>212</v>
      </c>
      <c r="E337" s="852" t="s">
        <v>293</v>
      </c>
      <c r="F337" s="853">
        <v>3</v>
      </c>
    </row>
    <row r="338" spans="1:6" s="350" customFormat="1" ht="18" customHeight="1" x14ac:dyDescent="0.2">
      <c r="A338" s="851" t="s">
        <v>177</v>
      </c>
      <c r="B338" s="852" t="s">
        <v>244</v>
      </c>
      <c r="C338" s="852" t="s">
        <v>171</v>
      </c>
      <c r="D338" s="852" t="s">
        <v>734</v>
      </c>
      <c r="E338" s="852" t="s">
        <v>296</v>
      </c>
      <c r="F338" s="853">
        <v>1</v>
      </c>
    </row>
    <row r="339" spans="1:6" s="350" customFormat="1" ht="18" customHeight="1" x14ac:dyDescent="0.2">
      <c r="A339" s="851" t="s">
        <v>177</v>
      </c>
      <c r="B339" s="852" t="s">
        <v>244</v>
      </c>
      <c r="C339" s="852" t="s">
        <v>171</v>
      </c>
      <c r="D339" s="852" t="s">
        <v>734</v>
      </c>
      <c r="E339" s="852" t="s">
        <v>297</v>
      </c>
      <c r="F339" s="853">
        <v>145</v>
      </c>
    </row>
    <row r="340" spans="1:6" s="350" customFormat="1" ht="18" customHeight="1" x14ac:dyDescent="0.2">
      <c r="A340" s="851" t="s">
        <v>177</v>
      </c>
      <c r="B340" s="852" t="s">
        <v>244</v>
      </c>
      <c r="C340" s="852" t="s">
        <v>171</v>
      </c>
      <c r="D340" s="852" t="s">
        <v>734</v>
      </c>
      <c r="E340" s="852" t="s">
        <v>287</v>
      </c>
      <c r="F340" s="853">
        <v>68</v>
      </c>
    </row>
    <row r="341" spans="1:6" s="350" customFormat="1" ht="18" customHeight="1" x14ac:dyDescent="0.2">
      <c r="A341" s="851" t="s">
        <v>177</v>
      </c>
      <c r="B341" s="852" t="s">
        <v>244</v>
      </c>
      <c r="C341" s="852" t="s">
        <v>171</v>
      </c>
      <c r="D341" s="852" t="s">
        <v>734</v>
      </c>
      <c r="E341" s="852" t="s">
        <v>293</v>
      </c>
      <c r="F341" s="853">
        <v>4</v>
      </c>
    </row>
    <row r="342" spans="1:6" s="350" customFormat="1" ht="18" customHeight="1" x14ac:dyDescent="0.2">
      <c r="A342" s="851" t="s">
        <v>177</v>
      </c>
      <c r="B342" s="852" t="s">
        <v>244</v>
      </c>
      <c r="C342" s="852" t="s">
        <v>171</v>
      </c>
      <c r="D342" s="852" t="s">
        <v>207</v>
      </c>
      <c r="E342" s="852" t="s">
        <v>297</v>
      </c>
      <c r="F342" s="853">
        <v>11</v>
      </c>
    </row>
    <row r="343" spans="1:6" s="350" customFormat="1" ht="18" customHeight="1" x14ac:dyDescent="0.2">
      <c r="A343" s="851" t="s">
        <v>177</v>
      </c>
      <c r="B343" s="852" t="s">
        <v>244</v>
      </c>
      <c r="C343" s="852" t="s">
        <v>171</v>
      </c>
      <c r="D343" s="852" t="s">
        <v>207</v>
      </c>
      <c r="E343" s="852" t="s">
        <v>287</v>
      </c>
      <c r="F343" s="853">
        <v>11</v>
      </c>
    </row>
    <row r="344" spans="1:6" s="350" customFormat="1" ht="18" customHeight="1" x14ac:dyDescent="0.2">
      <c r="A344" s="851" t="s">
        <v>177</v>
      </c>
      <c r="B344" s="852" t="s">
        <v>244</v>
      </c>
      <c r="C344" s="852" t="s">
        <v>171</v>
      </c>
      <c r="D344" s="852" t="s">
        <v>212</v>
      </c>
      <c r="E344" s="852" t="s">
        <v>297</v>
      </c>
      <c r="F344" s="853">
        <v>42</v>
      </c>
    </row>
    <row r="345" spans="1:6" s="350" customFormat="1" ht="18" customHeight="1" x14ac:dyDescent="0.2">
      <c r="A345" s="851" t="s">
        <v>177</v>
      </c>
      <c r="B345" s="852" t="s">
        <v>244</v>
      </c>
      <c r="C345" s="852" t="s">
        <v>171</v>
      </c>
      <c r="D345" s="852" t="s">
        <v>212</v>
      </c>
      <c r="E345" s="852" t="s">
        <v>287</v>
      </c>
      <c r="F345" s="853">
        <v>30</v>
      </c>
    </row>
    <row r="346" spans="1:6" s="350" customFormat="1" ht="18" customHeight="1" x14ac:dyDescent="0.2">
      <c r="A346" s="851" t="s">
        <v>177</v>
      </c>
      <c r="B346" s="852" t="s">
        <v>244</v>
      </c>
      <c r="C346" s="852" t="s">
        <v>171</v>
      </c>
      <c r="D346" s="852" t="s">
        <v>212</v>
      </c>
      <c r="E346" s="852" t="s">
        <v>293</v>
      </c>
      <c r="F346" s="853">
        <v>6</v>
      </c>
    </row>
    <row r="347" spans="1:6" s="350" customFormat="1" ht="18" customHeight="1" x14ac:dyDescent="0.2">
      <c r="A347" s="851" t="s">
        <v>177</v>
      </c>
      <c r="B347" s="852" t="s">
        <v>244</v>
      </c>
      <c r="C347" s="852" t="s">
        <v>173</v>
      </c>
      <c r="D347" s="852" t="s">
        <v>734</v>
      </c>
      <c r="E347" s="852" t="s">
        <v>294</v>
      </c>
      <c r="F347" s="853">
        <v>2</v>
      </c>
    </row>
    <row r="348" spans="1:6" s="350" customFormat="1" ht="18" customHeight="1" x14ac:dyDescent="0.2">
      <c r="A348" s="851" t="s">
        <v>177</v>
      </c>
      <c r="B348" s="852" t="s">
        <v>244</v>
      </c>
      <c r="C348" s="852" t="s">
        <v>173</v>
      </c>
      <c r="D348" s="852" t="s">
        <v>734</v>
      </c>
      <c r="E348" s="852" t="s">
        <v>296</v>
      </c>
      <c r="F348" s="853">
        <v>2</v>
      </c>
    </row>
    <row r="349" spans="1:6" s="350" customFormat="1" ht="18" customHeight="1" x14ac:dyDescent="0.2">
      <c r="A349" s="851" t="s">
        <v>177</v>
      </c>
      <c r="B349" s="852" t="s">
        <v>244</v>
      </c>
      <c r="C349" s="852" t="s">
        <v>173</v>
      </c>
      <c r="D349" s="852" t="s">
        <v>734</v>
      </c>
      <c r="E349" s="852" t="s">
        <v>297</v>
      </c>
      <c r="F349" s="853">
        <v>131</v>
      </c>
    </row>
    <row r="350" spans="1:6" s="350" customFormat="1" ht="18" customHeight="1" x14ac:dyDescent="0.2">
      <c r="A350" s="851" t="s">
        <v>177</v>
      </c>
      <c r="B350" s="852" t="s">
        <v>244</v>
      </c>
      <c r="C350" s="852" t="s">
        <v>173</v>
      </c>
      <c r="D350" s="852" t="s">
        <v>734</v>
      </c>
      <c r="E350" s="852" t="s">
        <v>287</v>
      </c>
      <c r="F350" s="853">
        <v>158</v>
      </c>
    </row>
    <row r="351" spans="1:6" s="350" customFormat="1" ht="18" customHeight="1" x14ac:dyDescent="0.2">
      <c r="A351" s="851" t="s">
        <v>177</v>
      </c>
      <c r="B351" s="852" t="s">
        <v>244</v>
      </c>
      <c r="C351" s="852" t="s">
        <v>173</v>
      </c>
      <c r="D351" s="852" t="s">
        <v>734</v>
      </c>
      <c r="E351" s="852" t="s">
        <v>293</v>
      </c>
      <c r="F351" s="853">
        <v>9</v>
      </c>
    </row>
    <row r="352" spans="1:6" s="350" customFormat="1" ht="18" customHeight="1" x14ac:dyDescent="0.2">
      <c r="A352" s="851" t="s">
        <v>177</v>
      </c>
      <c r="B352" s="852" t="s">
        <v>244</v>
      </c>
      <c r="C352" s="852" t="s">
        <v>173</v>
      </c>
      <c r="D352" s="852" t="s">
        <v>207</v>
      </c>
      <c r="E352" s="852" t="s">
        <v>297</v>
      </c>
      <c r="F352" s="853">
        <v>2</v>
      </c>
    </row>
    <row r="353" spans="1:6" s="350" customFormat="1" ht="18" customHeight="1" x14ac:dyDescent="0.2">
      <c r="A353" s="851" t="s">
        <v>177</v>
      </c>
      <c r="B353" s="852" t="s">
        <v>244</v>
      </c>
      <c r="C353" s="852" t="s">
        <v>173</v>
      </c>
      <c r="D353" s="852" t="s">
        <v>207</v>
      </c>
      <c r="E353" s="852" t="s">
        <v>287</v>
      </c>
      <c r="F353" s="853">
        <v>4</v>
      </c>
    </row>
    <row r="354" spans="1:6" s="350" customFormat="1" ht="18" customHeight="1" x14ac:dyDescent="0.2">
      <c r="A354" s="851" t="s">
        <v>177</v>
      </c>
      <c r="B354" s="852" t="s">
        <v>244</v>
      </c>
      <c r="C354" s="852" t="s">
        <v>173</v>
      </c>
      <c r="D354" s="852" t="s">
        <v>212</v>
      </c>
      <c r="E354" s="852" t="s">
        <v>296</v>
      </c>
      <c r="F354" s="853">
        <v>2</v>
      </c>
    </row>
    <row r="355" spans="1:6" s="350" customFormat="1" ht="18" customHeight="1" x14ac:dyDescent="0.2">
      <c r="A355" s="851" t="s">
        <v>177</v>
      </c>
      <c r="B355" s="852" t="s">
        <v>244</v>
      </c>
      <c r="C355" s="852" t="s">
        <v>173</v>
      </c>
      <c r="D355" s="852" t="s">
        <v>212</v>
      </c>
      <c r="E355" s="852" t="s">
        <v>297</v>
      </c>
      <c r="F355" s="853">
        <v>26</v>
      </c>
    </row>
    <row r="356" spans="1:6" s="350" customFormat="1" ht="18" customHeight="1" x14ac:dyDescent="0.2">
      <c r="A356" s="851" t="s">
        <v>177</v>
      </c>
      <c r="B356" s="852" t="s">
        <v>244</v>
      </c>
      <c r="C356" s="852" t="s">
        <v>173</v>
      </c>
      <c r="D356" s="852" t="s">
        <v>212</v>
      </c>
      <c r="E356" s="852" t="s">
        <v>287</v>
      </c>
      <c r="F356" s="853">
        <v>31</v>
      </c>
    </row>
    <row r="357" spans="1:6" s="350" customFormat="1" ht="18" customHeight="1" x14ac:dyDescent="0.2">
      <c r="A357" s="851" t="s">
        <v>177</v>
      </c>
      <c r="B357" s="852" t="s">
        <v>244</v>
      </c>
      <c r="C357" s="852" t="s">
        <v>173</v>
      </c>
      <c r="D357" s="852" t="s">
        <v>212</v>
      </c>
      <c r="E357" s="852" t="s">
        <v>293</v>
      </c>
      <c r="F357" s="853">
        <v>3</v>
      </c>
    </row>
    <row r="358" spans="1:6" s="350" customFormat="1" ht="18" customHeight="1" x14ac:dyDescent="0.2">
      <c r="A358" s="851" t="s">
        <v>177</v>
      </c>
      <c r="B358" s="852" t="s">
        <v>245</v>
      </c>
      <c r="C358" s="852" t="s">
        <v>171</v>
      </c>
      <c r="D358" s="852" t="s">
        <v>734</v>
      </c>
      <c r="E358" s="852" t="s">
        <v>297</v>
      </c>
      <c r="F358" s="853">
        <v>8</v>
      </c>
    </row>
    <row r="359" spans="1:6" s="350" customFormat="1" ht="18" customHeight="1" x14ac:dyDescent="0.2">
      <c r="A359" s="851" t="s">
        <v>177</v>
      </c>
      <c r="B359" s="852" t="s">
        <v>245</v>
      </c>
      <c r="C359" s="852" t="s">
        <v>171</v>
      </c>
      <c r="D359" s="852" t="s">
        <v>734</v>
      </c>
      <c r="E359" s="852" t="s">
        <v>287</v>
      </c>
      <c r="F359" s="853">
        <v>3</v>
      </c>
    </row>
    <row r="360" spans="1:6" s="350" customFormat="1" ht="18" customHeight="1" x14ac:dyDescent="0.2">
      <c r="A360" s="851" t="s">
        <v>177</v>
      </c>
      <c r="B360" s="852" t="s">
        <v>245</v>
      </c>
      <c r="C360" s="852" t="s">
        <v>171</v>
      </c>
      <c r="D360" s="852" t="s">
        <v>734</v>
      </c>
      <c r="E360" s="852" t="s">
        <v>293</v>
      </c>
      <c r="F360" s="853">
        <v>1</v>
      </c>
    </row>
    <row r="361" spans="1:6" s="350" customFormat="1" ht="18" customHeight="1" x14ac:dyDescent="0.2">
      <c r="A361" s="851" t="s">
        <v>177</v>
      </c>
      <c r="B361" s="852" t="s">
        <v>245</v>
      </c>
      <c r="C361" s="852" t="s">
        <v>171</v>
      </c>
      <c r="D361" s="852" t="s">
        <v>212</v>
      </c>
      <c r="E361" s="852" t="s">
        <v>297</v>
      </c>
      <c r="F361" s="853">
        <v>2</v>
      </c>
    </row>
    <row r="362" spans="1:6" s="350" customFormat="1" ht="18" customHeight="1" x14ac:dyDescent="0.2">
      <c r="A362" s="851" t="s">
        <v>177</v>
      </c>
      <c r="B362" s="852" t="s">
        <v>245</v>
      </c>
      <c r="C362" s="852" t="s">
        <v>173</v>
      </c>
      <c r="D362" s="852" t="s">
        <v>734</v>
      </c>
      <c r="E362" s="852" t="s">
        <v>294</v>
      </c>
      <c r="F362" s="853">
        <v>1</v>
      </c>
    </row>
    <row r="363" spans="1:6" s="350" customFormat="1" ht="18" customHeight="1" x14ac:dyDescent="0.2">
      <c r="A363" s="851" t="s">
        <v>177</v>
      </c>
      <c r="B363" s="852" t="s">
        <v>245</v>
      </c>
      <c r="C363" s="852" t="s">
        <v>173</v>
      </c>
      <c r="D363" s="852" t="s">
        <v>734</v>
      </c>
      <c r="E363" s="852" t="s">
        <v>297</v>
      </c>
      <c r="F363" s="853">
        <v>8</v>
      </c>
    </row>
    <row r="364" spans="1:6" s="350" customFormat="1" ht="18" customHeight="1" x14ac:dyDescent="0.2">
      <c r="A364" s="851" t="s">
        <v>177</v>
      </c>
      <c r="B364" s="852" t="s">
        <v>245</v>
      </c>
      <c r="C364" s="852" t="s">
        <v>173</v>
      </c>
      <c r="D364" s="852" t="s">
        <v>734</v>
      </c>
      <c r="E364" s="852" t="s">
        <v>287</v>
      </c>
      <c r="F364" s="853">
        <v>7</v>
      </c>
    </row>
    <row r="365" spans="1:6" s="350" customFormat="1" ht="18" customHeight="1" x14ac:dyDescent="0.2">
      <c r="A365" s="851" t="s">
        <v>177</v>
      </c>
      <c r="B365" s="852" t="s">
        <v>245</v>
      </c>
      <c r="C365" s="852" t="s">
        <v>173</v>
      </c>
      <c r="D365" s="852" t="s">
        <v>734</v>
      </c>
      <c r="E365" s="852" t="s">
        <v>293</v>
      </c>
      <c r="F365" s="853">
        <v>1</v>
      </c>
    </row>
    <row r="366" spans="1:6" s="350" customFormat="1" ht="18" customHeight="1" x14ac:dyDescent="0.2">
      <c r="A366" s="851" t="s">
        <v>177</v>
      </c>
      <c r="B366" s="852" t="s">
        <v>245</v>
      </c>
      <c r="C366" s="852" t="s">
        <v>173</v>
      </c>
      <c r="D366" s="852" t="s">
        <v>212</v>
      </c>
      <c r="E366" s="852" t="s">
        <v>297</v>
      </c>
      <c r="F366" s="853">
        <v>1</v>
      </c>
    </row>
    <row r="367" spans="1:6" s="350" customFormat="1" ht="18" customHeight="1" x14ac:dyDescent="0.2">
      <c r="A367" s="851" t="s">
        <v>177</v>
      </c>
      <c r="B367" s="852" t="s">
        <v>245</v>
      </c>
      <c r="C367" s="852" t="s">
        <v>173</v>
      </c>
      <c r="D367" s="852" t="s">
        <v>212</v>
      </c>
      <c r="E367" s="852" t="s">
        <v>287</v>
      </c>
      <c r="F367" s="853">
        <v>2</v>
      </c>
    </row>
    <row r="368" spans="1:6" s="350" customFormat="1" ht="18" customHeight="1" x14ac:dyDescent="0.2">
      <c r="A368" s="851" t="s">
        <v>177</v>
      </c>
      <c r="B368" s="852" t="s">
        <v>245</v>
      </c>
      <c r="C368" s="852" t="s">
        <v>173</v>
      </c>
      <c r="D368" s="852" t="s">
        <v>212</v>
      </c>
      <c r="E368" s="852" t="s">
        <v>293</v>
      </c>
      <c r="F368" s="853">
        <v>1</v>
      </c>
    </row>
    <row r="369" spans="1:6" s="350" customFormat="1" ht="18" customHeight="1" x14ac:dyDescent="0.2">
      <c r="A369" s="851" t="s">
        <v>177</v>
      </c>
      <c r="B369" s="852" t="s">
        <v>246</v>
      </c>
      <c r="C369" s="852" t="s">
        <v>170</v>
      </c>
      <c r="D369" s="852" t="s">
        <v>212</v>
      </c>
      <c r="E369" s="852" t="s">
        <v>289</v>
      </c>
      <c r="F369" s="853">
        <v>849</v>
      </c>
    </row>
    <row r="370" spans="1:6" s="350" customFormat="1" ht="18" customHeight="1" x14ac:dyDescent="0.2">
      <c r="A370" s="851" t="s">
        <v>177</v>
      </c>
      <c r="B370" s="852" t="s">
        <v>246</v>
      </c>
      <c r="C370" s="852" t="s">
        <v>171</v>
      </c>
      <c r="D370" s="852" t="s">
        <v>734</v>
      </c>
      <c r="E370" s="852" t="s">
        <v>289</v>
      </c>
      <c r="F370" s="853">
        <v>15705</v>
      </c>
    </row>
    <row r="371" spans="1:6" s="350" customFormat="1" ht="18" customHeight="1" x14ac:dyDescent="0.2">
      <c r="A371" s="851" t="s">
        <v>177</v>
      </c>
      <c r="B371" s="852" t="s">
        <v>246</v>
      </c>
      <c r="C371" s="852" t="s">
        <v>171</v>
      </c>
      <c r="D371" s="852" t="s">
        <v>734</v>
      </c>
      <c r="E371" s="852" t="s">
        <v>287</v>
      </c>
      <c r="F371" s="853">
        <v>12</v>
      </c>
    </row>
    <row r="372" spans="1:6" s="350" customFormat="1" ht="18" customHeight="1" x14ac:dyDescent="0.2">
      <c r="A372" s="851" t="s">
        <v>177</v>
      </c>
      <c r="B372" s="852" t="s">
        <v>246</v>
      </c>
      <c r="C372" s="852" t="s">
        <v>171</v>
      </c>
      <c r="D372" s="852" t="s">
        <v>207</v>
      </c>
      <c r="E372" s="852" t="s">
        <v>289</v>
      </c>
      <c r="F372" s="853">
        <v>1098</v>
      </c>
    </row>
    <row r="373" spans="1:6" s="350" customFormat="1" ht="18" customHeight="1" x14ac:dyDescent="0.2">
      <c r="A373" s="851" t="s">
        <v>177</v>
      </c>
      <c r="B373" s="852" t="s">
        <v>246</v>
      </c>
      <c r="C373" s="852" t="s">
        <v>171</v>
      </c>
      <c r="D373" s="852" t="s">
        <v>207</v>
      </c>
      <c r="E373" s="852" t="s">
        <v>287</v>
      </c>
      <c r="F373" s="853">
        <v>9</v>
      </c>
    </row>
    <row r="374" spans="1:6" s="350" customFormat="1" ht="18" customHeight="1" x14ac:dyDescent="0.2">
      <c r="A374" s="851" t="s">
        <v>177</v>
      </c>
      <c r="B374" s="852" t="s">
        <v>246</v>
      </c>
      <c r="C374" s="852" t="s">
        <v>171</v>
      </c>
      <c r="D374" s="852" t="s">
        <v>212</v>
      </c>
      <c r="E374" s="852" t="s">
        <v>289</v>
      </c>
      <c r="F374" s="853">
        <v>6159</v>
      </c>
    </row>
    <row r="375" spans="1:6" s="350" customFormat="1" ht="18" customHeight="1" x14ac:dyDescent="0.2">
      <c r="A375" s="851" t="s">
        <v>177</v>
      </c>
      <c r="B375" s="852" t="s">
        <v>246</v>
      </c>
      <c r="C375" s="852" t="s">
        <v>171</v>
      </c>
      <c r="D375" s="852" t="s">
        <v>212</v>
      </c>
      <c r="E375" s="852" t="s">
        <v>287</v>
      </c>
      <c r="F375" s="853">
        <v>24</v>
      </c>
    </row>
    <row r="376" spans="1:6" s="350" customFormat="1" ht="18" customHeight="1" x14ac:dyDescent="0.2">
      <c r="A376" s="851" t="s">
        <v>177</v>
      </c>
      <c r="B376" s="852" t="s">
        <v>246</v>
      </c>
      <c r="C376" s="852" t="s">
        <v>173</v>
      </c>
      <c r="D376" s="852" t="s">
        <v>734</v>
      </c>
      <c r="E376" s="852" t="s">
        <v>289</v>
      </c>
      <c r="F376" s="853">
        <v>11796</v>
      </c>
    </row>
    <row r="377" spans="1:6" s="350" customFormat="1" ht="18" customHeight="1" x14ac:dyDescent="0.2">
      <c r="A377" s="851" t="s">
        <v>177</v>
      </c>
      <c r="B377" s="852" t="s">
        <v>246</v>
      </c>
      <c r="C377" s="852" t="s">
        <v>173</v>
      </c>
      <c r="D377" s="852" t="s">
        <v>734</v>
      </c>
      <c r="E377" s="852" t="s">
        <v>287</v>
      </c>
      <c r="F377" s="853">
        <v>27</v>
      </c>
    </row>
    <row r="378" spans="1:6" s="350" customFormat="1" ht="18" customHeight="1" x14ac:dyDescent="0.2">
      <c r="A378" s="851" t="s">
        <v>177</v>
      </c>
      <c r="B378" s="852" t="s">
        <v>246</v>
      </c>
      <c r="C378" s="852" t="s">
        <v>173</v>
      </c>
      <c r="D378" s="852" t="s">
        <v>207</v>
      </c>
      <c r="E378" s="852" t="s">
        <v>289</v>
      </c>
      <c r="F378" s="853">
        <v>276</v>
      </c>
    </row>
    <row r="379" spans="1:6" s="350" customFormat="1" ht="18" customHeight="1" x14ac:dyDescent="0.2">
      <c r="A379" s="851" t="s">
        <v>177</v>
      </c>
      <c r="B379" s="852" t="s">
        <v>246</v>
      </c>
      <c r="C379" s="852" t="s">
        <v>173</v>
      </c>
      <c r="D379" s="852" t="s">
        <v>207</v>
      </c>
      <c r="E379" s="852" t="s">
        <v>287</v>
      </c>
      <c r="F379" s="853">
        <v>6</v>
      </c>
    </row>
    <row r="380" spans="1:6" s="350" customFormat="1" ht="18" customHeight="1" x14ac:dyDescent="0.2">
      <c r="A380" s="851" t="s">
        <v>177</v>
      </c>
      <c r="B380" s="852" t="s">
        <v>246</v>
      </c>
      <c r="C380" s="852" t="s">
        <v>173</v>
      </c>
      <c r="D380" s="852" t="s">
        <v>207</v>
      </c>
      <c r="E380" s="852" t="s">
        <v>293</v>
      </c>
      <c r="F380" s="853">
        <v>4</v>
      </c>
    </row>
    <row r="381" spans="1:6" s="350" customFormat="1" ht="18" customHeight="1" x14ac:dyDescent="0.2">
      <c r="A381" s="851" t="s">
        <v>177</v>
      </c>
      <c r="B381" s="852" t="s">
        <v>246</v>
      </c>
      <c r="C381" s="852" t="s">
        <v>173</v>
      </c>
      <c r="D381" s="852" t="s">
        <v>212</v>
      </c>
      <c r="E381" s="852" t="s">
        <v>289</v>
      </c>
      <c r="F381" s="853">
        <v>3423</v>
      </c>
    </row>
    <row r="382" spans="1:6" s="350" customFormat="1" ht="18" customHeight="1" x14ac:dyDescent="0.2">
      <c r="A382" s="851" t="s">
        <v>177</v>
      </c>
      <c r="B382" s="852" t="s">
        <v>246</v>
      </c>
      <c r="C382" s="852" t="s">
        <v>173</v>
      </c>
      <c r="D382" s="852" t="s">
        <v>212</v>
      </c>
      <c r="E382" s="852" t="s">
        <v>287</v>
      </c>
      <c r="F382" s="853">
        <v>18</v>
      </c>
    </row>
    <row r="383" spans="1:6" s="350" customFormat="1" ht="18" customHeight="1" x14ac:dyDescent="0.2">
      <c r="A383" s="851" t="s">
        <v>177</v>
      </c>
      <c r="B383" s="852" t="s">
        <v>143</v>
      </c>
      <c r="C383" s="852" t="s">
        <v>171</v>
      </c>
      <c r="D383" s="852" t="s">
        <v>734</v>
      </c>
      <c r="E383" s="852" t="s">
        <v>297</v>
      </c>
      <c r="F383" s="853">
        <v>2</v>
      </c>
    </row>
    <row r="384" spans="1:6" s="350" customFormat="1" ht="18" customHeight="1" x14ac:dyDescent="0.2">
      <c r="A384" s="851" t="s">
        <v>177</v>
      </c>
      <c r="B384" s="852" t="s">
        <v>143</v>
      </c>
      <c r="C384" s="852" t="s">
        <v>171</v>
      </c>
      <c r="D384" s="852" t="s">
        <v>212</v>
      </c>
      <c r="E384" s="852" t="s">
        <v>287</v>
      </c>
      <c r="F384" s="853">
        <v>1</v>
      </c>
    </row>
    <row r="385" spans="1:6" s="350" customFormat="1" ht="18" customHeight="1" x14ac:dyDescent="0.2">
      <c r="A385" s="851" t="s">
        <v>177</v>
      </c>
      <c r="B385" s="852" t="s">
        <v>143</v>
      </c>
      <c r="C385" s="852" t="s">
        <v>173</v>
      </c>
      <c r="D385" s="852" t="s">
        <v>734</v>
      </c>
      <c r="E385" s="852" t="s">
        <v>297</v>
      </c>
      <c r="F385" s="853">
        <v>1</v>
      </c>
    </row>
    <row r="386" spans="1:6" s="350" customFormat="1" ht="18" customHeight="1" x14ac:dyDescent="0.2">
      <c r="A386" s="851" t="s">
        <v>177</v>
      </c>
      <c r="B386" s="852" t="s">
        <v>143</v>
      </c>
      <c r="C386" s="852" t="s">
        <v>173</v>
      </c>
      <c r="D386" s="852" t="s">
        <v>212</v>
      </c>
      <c r="E386" s="852" t="s">
        <v>297</v>
      </c>
      <c r="F386" s="853">
        <v>1</v>
      </c>
    </row>
    <row r="387" spans="1:6" s="350" customFormat="1" ht="18" customHeight="1" x14ac:dyDescent="0.2">
      <c r="A387" s="851" t="s">
        <v>178</v>
      </c>
      <c r="B387" s="852" t="s">
        <v>242</v>
      </c>
      <c r="C387" s="852" t="s">
        <v>169</v>
      </c>
      <c r="D387" s="852" t="s">
        <v>734</v>
      </c>
      <c r="E387" s="852" t="s">
        <v>289</v>
      </c>
      <c r="F387" s="853">
        <v>213</v>
      </c>
    </row>
    <row r="388" spans="1:6" s="350" customFormat="1" ht="18" customHeight="1" x14ac:dyDescent="0.2">
      <c r="A388" s="851" t="s">
        <v>178</v>
      </c>
      <c r="B388" s="852" t="s">
        <v>242</v>
      </c>
      <c r="C388" s="852" t="s">
        <v>170</v>
      </c>
      <c r="D388" s="852" t="s">
        <v>734</v>
      </c>
      <c r="E388" s="852" t="s">
        <v>289</v>
      </c>
      <c r="F388" s="853">
        <v>1032</v>
      </c>
    </row>
    <row r="389" spans="1:6" s="350" customFormat="1" ht="18" customHeight="1" x14ac:dyDescent="0.2">
      <c r="A389" s="851" t="s">
        <v>178</v>
      </c>
      <c r="B389" s="852" t="s">
        <v>242</v>
      </c>
      <c r="C389" s="852" t="s">
        <v>170</v>
      </c>
      <c r="D389" s="852" t="s">
        <v>734</v>
      </c>
      <c r="E389" s="852" t="s">
        <v>287</v>
      </c>
      <c r="F389" s="853">
        <v>6</v>
      </c>
    </row>
    <row r="390" spans="1:6" s="350" customFormat="1" ht="18" customHeight="1" x14ac:dyDescent="0.2">
      <c r="A390" s="851" t="s">
        <v>178</v>
      </c>
      <c r="B390" s="852" t="s">
        <v>242</v>
      </c>
      <c r="C390" s="852" t="s">
        <v>170</v>
      </c>
      <c r="D390" s="852" t="s">
        <v>211</v>
      </c>
      <c r="E390" s="852" t="s">
        <v>289</v>
      </c>
      <c r="F390" s="853">
        <v>297</v>
      </c>
    </row>
    <row r="391" spans="1:6" s="350" customFormat="1" ht="18" customHeight="1" x14ac:dyDescent="0.2">
      <c r="A391" s="851" t="s">
        <v>178</v>
      </c>
      <c r="B391" s="852" t="s">
        <v>242</v>
      </c>
      <c r="C391" s="852" t="s">
        <v>171</v>
      </c>
      <c r="D391" s="852" t="s">
        <v>734</v>
      </c>
      <c r="E391" s="852" t="s">
        <v>289</v>
      </c>
      <c r="F391" s="853">
        <v>1350</v>
      </c>
    </row>
    <row r="392" spans="1:6" s="350" customFormat="1" ht="18" customHeight="1" x14ac:dyDescent="0.2">
      <c r="A392" s="851" t="s">
        <v>178</v>
      </c>
      <c r="B392" s="852" t="s">
        <v>242</v>
      </c>
      <c r="C392" s="852" t="s">
        <v>173</v>
      </c>
      <c r="D392" s="852" t="s">
        <v>734</v>
      </c>
      <c r="E392" s="852" t="s">
        <v>289</v>
      </c>
      <c r="F392" s="853">
        <v>2376</v>
      </c>
    </row>
    <row r="393" spans="1:6" s="350" customFormat="1" ht="18" customHeight="1" x14ac:dyDescent="0.2">
      <c r="A393" s="851" t="s">
        <v>178</v>
      </c>
      <c r="B393" s="852" t="s">
        <v>242</v>
      </c>
      <c r="C393" s="852" t="s">
        <v>173</v>
      </c>
      <c r="D393" s="852" t="s">
        <v>211</v>
      </c>
      <c r="E393" s="852" t="s">
        <v>289</v>
      </c>
      <c r="F393" s="853">
        <v>12</v>
      </c>
    </row>
    <row r="394" spans="1:6" s="350" customFormat="1" ht="18" customHeight="1" x14ac:dyDescent="0.2">
      <c r="A394" s="851" t="s">
        <v>178</v>
      </c>
      <c r="B394" s="852" t="s">
        <v>243</v>
      </c>
      <c r="C394" s="852" t="s">
        <v>169</v>
      </c>
      <c r="D394" s="852" t="s">
        <v>734</v>
      </c>
      <c r="E394" s="852" t="s">
        <v>287</v>
      </c>
      <c r="F394" s="853">
        <v>6</v>
      </c>
    </row>
    <row r="395" spans="1:6" s="350" customFormat="1" ht="18" customHeight="1" x14ac:dyDescent="0.2">
      <c r="A395" s="851" t="s">
        <v>178</v>
      </c>
      <c r="B395" s="852" t="s">
        <v>243</v>
      </c>
      <c r="C395" s="852" t="s">
        <v>170</v>
      </c>
      <c r="D395" s="852" t="s">
        <v>734</v>
      </c>
      <c r="E395" s="852" t="s">
        <v>289</v>
      </c>
      <c r="F395" s="853">
        <v>27</v>
      </c>
    </row>
    <row r="396" spans="1:6" s="350" customFormat="1" ht="18" customHeight="1" x14ac:dyDescent="0.2">
      <c r="A396" s="851" t="s">
        <v>178</v>
      </c>
      <c r="B396" s="852" t="s">
        <v>243</v>
      </c>
      <c r="C396" s="852" t="s">
        <v>170</v>
      </c>
      <c r="D396" s="852" t="s">
        <v>734</v>
      </c>
      <c r="E396" s="852" t="s">
        <v>287</v>
      </c>
      <c r="F396" s="853">
        <v>3</v>
      </c>
    </row>
    <row r="397" spans="1:6" s="350" customFormat="1" ht="18" customHeight="1" x14ac:dyDescent="0.2">
      <c r="A397" s="851" t="s">
        <v>178</v>
      </c>
      <c r="B397" s="852" t="s">
        <v>243</v>
      </c>
      <c r="C397" s="852" t="s">
        <v>171</v>
      </c>
      <c r="D397" s="852" t="s">
        <v>734</v>
      </c>
      <c r="E397" s="852" t="s">
        <v>289</v>
      </c>
      <c r="F397" s="853">
        <v>6</v>
      </c>
    </row>
    <row r="398" spans="1:6" s="350" customFormat="1" ht="18" customHeight="1" x14ac:dyDescent="0.2">
      <c r="A398" s="851" t="s">
        <v>178</v>
      </c>
      <c r="B398" s="852" t="s">
        <v>243</v>
      </c>
      <c r="C398" s="852" t="s">
        <v>173</v>
      </c>
      <c r="D398" s="852" t="s">
        <v>734</v>
      </c>
      <c r="E398" s="852" t="s">
        <v>297</v>
      </c>
      <c r="F398" s="853">
        <v>3</v>
      </c>
    </row>
    <row r="399" spans="1:6" s="350" customFormat="1" ht="18" customHeight="1" x14ac:dyDescent="0.2">
      <c r="A399" s="851" t="s">
        <v>178</v>
      </c>
      <c r="B399" s="852" t="s">
        <v>243</v>
      </c>
      <c r="C399" s="852" t="s">
        <v>173</v>
      </c>
      <c r="D399" s="852" t="s">
        <v>734</v>
      </c>
      <c r="E399" s="852" t="s">
        <v>289</v>
      </c>
      <c r="F399" s="853">
        <v>12</v>
      </c>
    </row>
    <row r="400" spans="1:6" s="350" customFormat="1" ht="18" customHeight="1" x14ac:dyDescent="0.2">
      <c r="A400" s="851" t="s">
        <v>178</v>
      </c>
      <c r="B400" s="852" t="s">
        <v>244</v>
      </c>
      <c r="C400" s="852" t="s">
        <v>169</v>
      </c>
      <c r="D400" s="852" t="s">
        <v>734</v>
      </c>
      <c r="E400" s="852" t="s">
        <v>294</v>
      </c>
      <c r="F400" s="853">
        <v>1</v>
      </c>
    </row>
    <row r="401" spans="1:6" s="350" customFormat="1" ht="18" customHeight="1" x14ac:dyDescent="0.2">
      <c r="A401" s="851" t="s">
        <v>178</v>
      </c>
      <c r="B401" s="852" t="s">
        <v>244</v>
      </c>
      <c r="C401" s="852" t="s">
        <v>169</v>
      </c>
      <c r="D401" s="852" t="s">
        <v>734</v>
      </c>
      <c r="E401" s="852" t="s">
        <v>296</v>
      </c>
      <c r="F401" s="853">
        <v>10</v>
      </c>
    </row>
    <row r="402" spans="1:6" s="350" customFormat="1" ht="18" customHeight="1" x14ac:dyDescent="0.2">
      <c r="A402" s="851" t="s">
        <v>178</v>
      </c>
      <c r="B402" s="852" t="s">
        <v>244</v>
      </c>
      <c r="C402" s="852" t="s">
        <v>169</v>
      </c>
      <c r="D402" s="852" t="s">
        <v>734</v>
      </c>
      <c r="E402" s="852" t="s">
        <v>297</v>
      </c>
      <c r="F402" s="853">
        <v>108</v>
      </c>
    </row>
    <row r="403" spans="1:6" s="350" customFormat="1" ht="18" customHeight="1" x14ac:dyDescent="0.2">
      <c r="A403" s="851" t="s">
        <v>178</v>
      </c>
      <c r="B403" s="852" t="s">
        <v>244</v>
      </c>
      <c r="C403" s="852" t="s">
        <v>169</v>
      </c>
      <c r="D403" s="852" t="s">
        <v>734</v>
      </c>
      <c r="E403" s="852" t="s">
        <v>287</v>
      </c>
      <c r="F403" s="853">
        <v>133</v>
      </c>
    </row>
    <row r="404" spans="1:6" s="350" customFormat="1" ht="18" customHeight="1" x14ac:dyDescent="0.2">
      <c r="A404" s="851" t="s">
        <v>178</v>
      </c>
      <c r="B404" s="852" t="s">
        <v>244</v>
      </c>
      <c r="C404" s="852" t="s">
        <v>169</v>
      </c>
      <c r="D404" s="852" t="s">
        <v>734</v>
      </c>
      <c r="E404" s="852" t="s">
        <v>293</v>
      </c>
      <c r="F404" s="853">
        <v>31</v>
      </c>
    </row>
    <row r="405" spans="1:6" s="350" customFormat="1" ht="18" customHeight="1" x14ac:dyDescent="0.2">
      <c r="A405" s="851" t="s">
        <v>178</v>
      </c>
      <c r="B405" s="852" t="s">
        <v>244</v>
      </c>
      <c r="C405" s="852" t="s">
        <v>170</v>
      </c>
      <c r="D405" s="852" t="s">
        <v>734</v>
      </c>
      <c r="E405" s="852" t="s">
        <v>297</v>
      </c>
      <c r="F405" s="853">
        <v>48</v>
      </c>
    </row>
    <row r="406" spans="1:6" s="350" customFormat="1" ht="18" customHeight="1" x14ac:dyDescent="0.2">
      <c r="A406" s="851" t="s">
        <v>178</v>
      </c>
      <c r="B406" s="852" t="s">
        <v>244</v>
      </c>
      <c r="C406" s="852" t="s">
        <v>170</v>
      </c>
      <c r="D406" s="852" t="s">
        <v>734</v>
      </c>
      <c r="E406" s="852" t="s">
        <v>287</v>
      </c>
      <c r="F406" s="853">
        <v>43</v>
      </c>
    </row>
    <row r="407" spans="1:6" s="350" customFormat="1" ht="18" customHeight="1" x14ac:dyDescent="0.2">
      <c r="A407" s="851" t="s">
        <v>178</v>
      </c>
      <c r="B407" s="852" t="s">
        <v>244</v>
      </c>
      <c r="C407" s="852" t="s">
        <v>170</v>
      </c>
      <c r="D407" s="852" t="s">
        <v>734</v>
      </c>
      <c r="E407" s="852" t="s">
        <v>293</v>
      </c>
      <c r="F407" s="853">
        <v>3</v>
      </c>
    </row>
    <row r="408" spans="1:6" s="350" customFormat="1" ht="18" customHeight="1" x14ac:dyDescent="0.2">
      <c r="A408" s="851" t="s">
        <v>178</v>
      </c>
      <c r="B408" s="852" t="s">
        <v>244</v>
      </c>
      <c r="C408" s="852" t="s">
        <v>170</v>
      </c>
      <c r="D408" s="852" t="s">
        <v>211</v>
      </c>
      <c r="E408" s="852" t="s">
        <v>297</v>
      </c>
      <c r="F408" s="853">
        <v>27</v>
      </c>
    </row>
    <row r="409" spans="1:6" s="350" customFormat="1" ht="18" customHeight="1" x14ac:dyDescent="0.2">
      <c r="A409" s="851" t="s">
        <v>178</v>
      </c>
      <c r="B409" s="852" t="s">
        <v>244</v>
      </c>
      <c r="C409" s="852" t="s">
        <v>170</v>
      </c>
      <c r="D409" s="852" t="s">
        <v>211</v>
      </c>
      <c r="E409" s="852" t="s">
        <v>287</v>
      </c>
      <c r="F409" s="853">
        <v>52</v>
      </c>
    </row>
    <row r="410" spans="1:6" s="350" customFormat="1" ht="18" customHeight="1" x14ac:dyDescent="0.2">
      <c r="A410" s="851" t="s">
        <v>178</v>
      </c>
      <c r="B410" s="852" t="s">
        <v>244</v>
      </c>
      <c r="C410" s="852" t="s">
        <v>171</v>
      </c>
      <c r="D410" s="852" t="s">
        <v>734</v>
      </c>
      <c r="E410" s="852" t="s">
        <v>296</v>
      </c>
      <c r="F410" s="853">
        <v>1</v>
      </c>
    </row>
    <row r="411" spans="1:6" s="350" customFormat="1" ht="18" customHeight="1" x14ac:dyDescent="0.2">
      <c r="A411" s="851" t="s">
        <v>178</v>
      </c>
      <c r="B411" s="852" t="s">
        <v>244</v>
      </c>
      <c r="C411" s="852" t="s">
        <v>171</v>
      </c>
      <c r="D411" s="852" t="s">
        <v>734</v>
      </c>
      <c r="E411" s="852" t="s">
        <v>297</v>
      </c>
      <c r="F411" s="853">
        <v>55</v>
      </c>
    </row>
    <row r="412" spans="1:6" s="350" customFormat="1" ht="18" customHeight="1" x14ac:dyDescent="0.2">
      <c r="A412" s="851" t="s">
        <v>178</v>
      </c>
      <c r="B412" s="852" t="s">
        <v>244</v>
      </c>
      <c r="C412" s="852" t="s">
        <v>171</v>
      </c>
      <c r="D412" s="852" t="s">
        <v>734</v>
      </c>
      <c r="E412" s="852" t="s">
        <v>287</v>
      </c>
      <c r="F412" s="853">
        <v>39</v>
      </c>
    </row>
    <row r="413" spans="1:6" s="350" customFormat="1" ht="18" customHeight="1" x14ac:dyDescent="0.2">
      <c r="A413" s="851" t="s">
        <v>178</v>
      </c>
      <c r="B413" s="852" t="s">
        <v>244</v>
      </c>
      <c r="C413" s="852" t="s">
        <v>171</v>
      </c>
      <c r="D413" s="852" t="s">
        <v>734</v>
      </c>
      <c r="E413" s="852" t="s">
        <v>293</v>
      </c>
      <c r="F413" s="853">
        <v>4</v>
      </c>
    </row>
    <row r="414" spans="1:6" s="350" customFormat="1" ht="18" customHeight="1" x14ac:dyDescent="0.2">
      <c r="A414" s="851" t="s">
        <v>178</v>
      </c>
      <c r="B414" s="852" t="s">
        <v>244</v>
      </c>
      <c r="C414" s="852" t="s">
        <v>173</v>
      </c>
      <c r="D414" s="852" t="s">
        <v>734</v>
      </c>
      <c r="E414" s="852" t="s">
        <v>294</v>
      </c>
      <c r="F414" s="853">
        <v>1</v>
      </c>
    </row>
    <row r="415" spans="1:6" s="350" customFormat="1" ht="18" customHeight="1" x14ac:dyDescent="0.2">
      <c r="A415" s="851" t="s">
        <v>178</v>
      </c>
      <c r="B415" s="852" t="s">
        <v>244</v>
      </c>
      <c r="C415" s="852" t="s">
        <v>173</v>
      </c>
      <c r="D415" s="852" t="s">
        <v>734</v>
      </c>
      <c r="E415" s="852" t="s">
        <v>296</v>
      </c>
      <c r="F415" s="853">
        <v>13</v>
      </c>
    </row>
    <row r="416" spans="1:6" s="350" customFormat="1" ht="18" customHeight="1" x14ac:dyDescent="0.2">
      <c r="A416" s="851" t="s">
        <v>178</v>
      </c>
      <c r="B416" s="852" t="s">
        <v>244</v>
      </c>
      <c r="C416" s="852" t="s">
        <v>173</v>
      </c>
      <c r="D416" s="852" t="s">
        <v>734</v>
      </c>
      <c r="E416" s="852" t="s">
        <v>297</v>
      </c>
      <c r="F416" s="853">
        <v>118</v>
      </c>
    </row>
    <row r="417" spans="1:6" s="350" customFormat="1" ht="18" customHeight="1" x14ac:dyDescent="0.2">
      <c r="A417" s="851" t="s">
        <v>178</v>
      </c>
      <c r="B417" s="852" t="s">
        <v>244</v>
      </c>
      <c r="C417" s="852" t="s">
        <v>173</v>
      </c>
      <c r="D417" s="852" t="s">
        <v>734</v>
      </c>
      <c r="E417" s="852" t="s">
        <v>287</v>
      </c>
      <c r="F417" s="853">
        <v>111</v>
      </c>
    </row>
    <row r="418" spans="1:6" s="350" customFormat="1" ht="18" customHeight="1" x14ac:dyDescent="0.2">
      <c r="A418" s="851" t="s">
        <v>178</v>
      </c>
      <c r="B418" s="852" t="s">
        <v>244</v>
      </c>
      <c r="C418" s="852" t="s">
        <v>173</v>
      </c>
      <c r="D418" s="852" t="s">
        <v>734</v>
      </c>
      <c r="E418" s="852" t="s">
        <v>293</v>
      </c>
      <c r="F418" s="853">
        <v>5</v>
      </c>
    </row>
    <row r="419" spans="1:6" s="350" customFormat="1" ht="18" customHeight="1" x14ac:dyDescent="0.2">
      <c r="A419" s="851" t="s">
        <v>178</v>
      </c>
      <c r="B419" s="852" t="s">
        <v>244</v>
      </c>
      <c r="C419" s="852" t="s">
        <v>173</v>
      </c>
      <c r="D419" s="852" t="s">
        <v>211</v>
      </c>
      <c r="E419" s="852" t="s">
        <v>297</v>
      </c>
      <c r="F419" s="853">
        <v>1</v>
      </c>
    </row>
    <row r="420" spans="1:6" s="350" customFormat="1" ht="18" customHeight="1" x14ac:dyDescent="0.2">
      <c r="A420" s="851" t="s">
        <v>178</v>
      </c>
      <c r="B420" s="852" t="s">
        <v>244</v>
      </c>
      <c r="C420" s="852" t="s">
        <v>173</v>
      </c>
      <c r="D420" s="852" t="s">
        <v>211</v>
      </c>
      <c r="E420" s="852" t="s">
        <v>287</v>
      </c>
      <c r="F420" s="853">
        <v>7</v>
      </c>
    </row>
    <row r="421" spans="1:6" s="350" customFormat="1" ht="18" customHeight="1" x14ac:dyDescent="0.2">
      <c r="A421" s="851" t="s">
        <v>178</v>
      </c>
      <c r="B421" s="852" t="s">
        <v>244</v>
      </c>
      <c r="C421" s="852" t="s">
        <v>173</v>
      </c>
      <c r="D421" s="852" t="s">
        <v>211</v>
      </c>
      <c r="E421" s="852" t="s">
        <v>293</v>
      </c>
      <c r="F421" s="853">
        <v>1</v>
      </c>
    </row>
    <row r="422" spans="1:6" s="350" customFormat="1" ht="18" customHeight="1" x14ac:dyDescent="0.2">
      <c r="A422" s="851" t="s">
        <v>178</v>
      </c>
      <c r="B422" s="852" t="s">
        <v>245</v>
      </c>
      <c r="C422" s="852" t="s">
        <v>169</v>
      </c>
      <c r="D422" s="852" t="s">
        <v>734</v>
      </c>
      <c r="E422" s="852" t="s">
        <v>294</v>
      </c>
      <c r="F422" s="853">
        <v>1</v>
      </c>
    </row>
    <row r="423" spans="1:6" s="350" customFormat="1" ht="18" customHeight="1" x14ac:dyDescent="0.2">
      <c r="A423" s="851" t="s">
        <v>178</v>
      </c>
      <c r="B423" s="852" t="s">
        <v>245</v>
      </c>
      <c r="C423" s="852" t="s">
        <v>169</v>
      </c>
      <c r="D423" s="852" t="s">
        <v>734</v>
      </c>
      <c r="E423" s="852" t="s">
        <v>296</v>
      </c>
      <c r="F423" s="853">
        <v>2</v>
      </c>
    </row>
    <row r="424" spans="1:6" s="350" customFormat="1" ht="18" customHeight="1" x14ac:dyDescent="0.2">
      <c r="A424" s="851" t="s">
        <v>178</v>
      </c>
      <c r="B424" s="852" t="s">
        <v>245</v>
      </c>
      <c r="C424" s="852" t="s">
        <v>169</v>
      </c>
      <c r="D424" s="852" t="s">
        <v>734</v>
      </c>
      <c r="E424" s="852" t="s">
        <v>297</v>
      </c>
      <c r="F424" s="853">
        <v>7</v>
      </c>
    </row>
    <row r="425" spans="1:6" s="350" customFormat="1" ht="18" customHeight="1" x14ac:dyDescent="0.2">
      <c r="A425" s="851" t="s">
        <v>178</v>
      </c>
      <c r="B425" s="852" t="s">
        <v>245</v>
      </c>
      <c r="C425" s="852" t="s">
        <v>169</v>
      </c>
      <c r="D425" s="852" t="s">
        <v>734</v>
      </c>
      <c r="E425" s="852" t="s">
        <v>287</v>
      </c>
      <c r="F425" s="853">
        <v>26</v>
      </c>
    </row>
    <row r="426" spans="1:6" s="350" customFormat="1" ht="18" customHeight="1" x14ac:dyDescent="0.2">
      <c r="A426" s="851" t="s">
        <v>178</v>
      </c>
      <c r="B426" s="852" t="s">
        <v>245</v>
      </c>
      <c r="C426" s="852" t="s">
        <v>169</v>
      </c>
      <c r="D426" s="852" t="s">
        <v>734</v>
      </c>
      <c r="E426" s="852" t="s">
        <v>293</v>
      </c>
      <c r="F426" s="853">
        <v>3</v>
      </c>
    </row>
    <row r="427" spans="1:6" s="350" customFormat="1" ht="18" customHeight="1" x14ac:dyDescent="0.2">
      <c r="A427" s="851" t="s">
        <v>178</v>
      </c>
      <c r="B427" s="852" t="s">
        <v>245</v>
      </c>
      <c r="C427" s="852" t="s">
        <v>170</v>
      </c>
      <c r="D427" s="852" t="s">
        <v>734</v>
      </c>
      <c r="E427" s="852" t="s">
        <v>297</v>
      </c>
      <c r="F427" s="853">
        <v>9</v>
      </c>
    </row>
    <row r="428" spans="1:6" s="350" customFormat="1" ht="18" customHeight="1" x14ac:dyDescent="0.2">
      <c r="A428" s="851" t="s">
        <v>178</v>
      </c>
      <c r="B428" s="852" t="s">
        <v>245</v>
      </c>
      <c r="C428" s="852" t="s">
        <v>170</v>
      </c>
      <c r="D428" s="852" t="s">
        <v>734</v>
      </c>
      <c r="E428" s="852" t="s">
        <v>287</v>
      </c>
      <c r="F428" s="853">
        <v>2</v>
      </c>
    </row>
    <row r="429" spans="1:6" s="350" customFormat="1" ht="18" customHeight="1" x14ac:dyDescent="0.2">
      <c r="A429" s="851" t="s">
        <v>178</v>
      </c>
      <c r="B429" s="852" t="s">
        <v>245</v>
      </c>
      <c r="C429" s="852" t="s">
        <v>170</v>
      </c>
      <c r="D429" s="852" t="s">
        <v>211</v>
      </c>
      <c r="E429" s="852" t="s">
        <v>287</v>
      </c>
      <c r="F429" s="853">
        <v>7</v>
      </c>
    </row>
    <row r="430" spans="1:6" s="350" customFormat="1" ht="18" customHeight="1" x14ac:dyDescent="0.2">
      <c r="A430" s="851" t="s">
        <v>178</v>
      </c>
      <c r="B430" s="852" t="s">
        <v>245</v>
      </c>
      <c r="C430" s="852" t="s">
        <v>171</v>
      </c>
      <c r="D430" s="852" t="s">
        <v>734</v>
      </c>
      <c r="E430" s="852" t="s">
        <v>297</v>
      </c>
      <c r="F430" s="853">
        <v>4</v>
      </c>
    </row>
    <row r="431" spans="1:6" s="350" customFormat="1" ht="18" customHeight="1" x14ac:dyDescent="0.2">
      <c r="A431" s="851" t="s">
        <v>178</v>
      </c>
      <c r="B431" s="852" t="s">
        <v>245</v>
      </c>
      <c r="C431" s="852" t="s">
        <v>171</v>
      </c>
      <c r="D431" s="852" t="s">
        <v>734</v>
      </c>
      <c r="E431" s="852" t="s">
        <v>287</v>
      </c>
      <c r="F431" s="853">
        <v>5</v>
      </c>
    </row>
    <row r="432" spans="1:6" s="350" customFormat="1" ht="18" customHeight="1" x14ac:dyDescent="0.2">
      <c r="A432" s="851" t="s">
        <v>178</v>
      </c>
      <c r="B432" s="852" t="s">
        <v>245</v>
      </c>
      <c r="C432" s="852" t="s">
        <v>173</v>
      </c>
      <c r="D432" s="852" t="s">
        <v>734</v>
      </c>
      <c r="E432" s="852" t="s">
        <v>297</v>
      </c>
      <c r="F432" s="853">
        <v>26</v>
      </c>
    </row>
    <row r="433" spans="1:6" s="350" customFormat="1" ht="18" customHeight="1" x14ac:dyDescent="0.2">
      <c r="A433" s="851" t="s">
        <v>178</v>
      </c>
      <c r="B433" s="852" t="s">
        <v>245</v>
      </c>
      <c r="C433" s="852" t="s">
        <v>173</v>
      </c>
      <c r="D433" s="852" t="s">
        <v>734</v>
      </c>
      <c r="E433" s="852" t="s">
        <v>287</v>
      </c>
      <c r="F433" s="853">
        <v>19</v>
      </c>
    </row>
    <row r="434" spans="1:6" s="350" customFormat="1" ht="18" customHeight="1" x14ac:dyDescent="0.2">
      <c r="A434" s="851" t="s">
        <v>178</v>
      </c>
      <c r="B434" s="852" t="s">
        <v>245</v>
      </c>
      <c r="C434" s="852" t="s">
        <v>173</v>
      </c>
      <c r="D434" s="852" t="s">
        <v>734</v>
      </c>
      <c r="E434" s="852" t="s">
        <v>293</v>
      </c>
      <c r="F434" s="853">
        <v>2</v>
      </c>
    </row>
    <row r="435" spans="1:6" s="350" customFormat="1" ht="18" customHeight="1" x14ac:dyDescent="0.2">
      <c r="A435" s="851" t="s">
        <v>178</v>
      </c>
      <c r="B435" s="852" t="s">
        <v>246</v>
      </c>
      <c r="C435" s="852" t="s">
        <v>169</v>
      </c>
      <c r="D435" s="852" t="s">
        <v>734</v>
      </c>
      <c r="E435" s="852" t="s">
        <v>289</v>
      </c>
      <c r="F435" s="853">
        <v>315</v>
      </c>
    </row>
    <row r="436" spans="1:6" s="350" customFormat="1" ht="18" customHeight="1" x14ac:dyDescent="0.2">
      <c r="A436" s="851" t="s">
        <v>178</v>
      </c>
      <c r="B436" s="852" t="s">
        <v>246</v>
      </c>
      <c r="C436" s="852" t="s">
        <v>170</v>
      </c>
      <c r="D436" s="852" t="s">
        <v>734</v>
      </c>
      <c r="E436" s="852" t="s">
        <v>289</v>
      </c>
      <c r="F436" s="853">
        <v>16302</v>
      </c>
    </row>
    <row r="437" spans="1:6" s="350" customFormat="1" ht="18" customHeight="1" x14ac:dyDescent="0.2">
      <c r="A437" s="851" t="s">
        <v>178</v>
      </c>
      <c r="B437" s="852" t="s">
        <v>246</v>
      </c>
      <c r="C437" s="852" t="s">
        <v>170</v>
      </c>
      <c r="D437" s="852" t="s">
        <v>734</v>
      </c>
      <c r="E437" s="852" t="s">
        <v>287</v>
      </c>
      <c r="F437" s="853">
        <v>21</v>
      </c>
    </row>
    <row r="438" spans="1:6" s="350" customFormat="1" ht="18" customHeight="1" x14ac:dyDescent="0.2">
      <c r="A438" s="851" t="s">
        <v>178</v>
      </c>
      <c r="B438" s="852" t="s">
        <v>246</v>
      </c>
      <c r="C438" s="852" t="s">
        <v>170</v>
      </c>
      <c r="D438" s="852" t="s">
        <v>734</v>
      </c>
      <c r="E438" s="852" t="s">
        <v>293</v>
      </c>
      <c r="F438" s="853">
        <v>4</v>
      </c>
    </row>
    <row r="439" spans="1:6" s="350" customFormat="1" ht="18" customHeight="1" x14ac:dyDescent="0.2">
      <c r="A439" s="851" t="s">
        <v>178</v>
      </c>
      <c r="B439" s="852" t="s">
        <v>246</v>
      </c>
      <c r="C439" s="852" t="s">
        <v>170</v>
      </c>
      <c r="D439" s="852" t="s">
        <v>211</v>
      </c>
      <c r="E439" s="852" t="s">
        <v>289</v>
      </c>
      <c r="F439" s="853">
        <v>5466</v>
      </c>
    </row>
    <row r="440" spans="1:6" s="350" customFormat="1" ht="18" customHeight="1" x14ac:dyDescent="0.2">
      <c r="A440" s="851" t="s">
        <v>178</v>
      </c>
      <c r="B440" s="852" t="s">
        <v>246</v>
      </c>
      <c r="C440" s="852" t="s">
        <v>170</v>
      </c>
      <c r="D440" s="852" t="s">
        <v>211</v>
      </c>
      <c r="E440" s="852" t="s">
        <v>287</v>
      </c>
      <c r="F440" s="853">
        <v>3</v>
      </c>
    </row>
    <row r="441" spans="1:6" s="350" customFormat="1" ht="18" customHeight="1" x14ac:dyDescent="0.2">
      <c r="A441" s="851" t="s">
        <v>178</v>
      </c>
      <c r="B441" s="852" t="s">
        <v>246</v>
      </c>
      <c r="C441" s="852" t="s">
        <v>171</v>
      </c>
      <c r="D441" s="852" t="s">
        <v>734</v>
      </c>
      <c r="E441" s="852" t="s">
        <v>296</v>
      </c>
      <c r="F441" s="853">
        <v>60</v>
      </c>
    </row>
    <row r="442" spans="1:6" s="350" customFormat="1" ht="18" customHeight="1" x14ac:dyDescent="0.2">
      <c r="A442" s="851" t="s">
        <v>178</v>
      </c>
      <c r="B442" s="852" t="s">
        <v>246</v>
      </c>
      <c r="C442" s="852" t="s">
        <v>171</v>
      </c>
      <c r="D442" s="852" t="s">
        <v>734</v>
      </c>
      <c r="E442" s="852" t="s">
        <v>289</v>
      </c>
      <c r="F442" s="853">
        <v>12354</v>
      </c>
    </row>
    <row r="443" spans="1:6" s="350" customFormat="1" ht="18" customHeight="1" x14ac:dyDescent="0.2">
      <c r="A443" s="851" t="s">
        <v>178</v>
      </c>
      <c r="B443" s="852" t="s">
        <v>246</v>
      </c>
      <c r="C443" s="852" t="s">
        <v>171</v>
      </c>
      <c r="D443" s="852" t="s">
        <v>734</v>
      </c>
      <c r="E443" s="852" t="s">
        <v>287</v>
      </c>
      <c r="F443" s="853">
        <v>3</v>
      </c>
    </row>
    <row r="444" spans="1:6" s="350" customFormat="1" ht="18" customHeight="1" x14ac:dyDescent="0.2">
      <c r="A444" s="851" t="s">
        <v>178</v>
      </c>
      <c r="B444" s="852" t="s">
        <v>246</v>
      </c>
      <c r="C444" s="852" t="s">
        <v>173</v>
      </c>
      <c r="D444" s="852" t="s">
        <v>734</v>
      </c>
      <c r="E444" s="852" t="s">
        <v>289</v>
      </c>
      <c r="F444" s="853">
        <v>10518</v>
      </c>
    </row>
    <row r="445" spans="1:6" s="350" customFormat="1" ht="18" customHeight="1" x14ac:dyDescent="0.2">
      <c r="A445" s="851" t="s">
        <v>178</v>
      </c>
      <c r="B445" s="852" t="s">
        <v>246</v>
      </c>
      <c r="C445" s="852" t="s">
        <v>173</v>
      </c>
      <c r="D445" s="852" t="s">
        <v>734</v>
      </c>
      <c r="E445" s="852" t="s">
        <v>287</v>
      </c>
      <c r="F445" s="853">
        <v>3</v>
      </c>
    </row>
    <row r="446" spans="1:6" s="350" customFormat="1" ht="18" customHeight="1" x14ac:dyDescent="0.2">
      <c r="A446" s="851" t="s">
        <v>178</v>
      </c>
      <c r="B446" s="852" t="s">
        <v>246</v>
      </c>
      <c r="C446" s="852" t="s">
        <v>173</v>
      </c>
      <c r="D446" s="852" t="s">
        <v>211</v>
      </c>
      <c r="E446" s="852" t="s">
        <v>289</v>
      </c>
      <c r="F446" s="853">
        <v>744</v>
      </c>
    </row>
    <row r="447" spans="1:6" s="350" customFormat="1" ht="18" customHeight="1" x14ac:dyDescent="0.2">
      <c r="A447" s="851" t="s">
        <v>178</v>
      </c>
      <c r="B447" s="852" t="s">
        <v>143</v>
      </c>
      <c r="C447" s="852" t="s">
        <v>169</v>
      </c>
      <c r="D447" s="852" t="s">
        <v>734</v>
      </c>
      <c r="E447" s="852" t="s">
        <v>297</v>
      </c>
      <c r="F447" s="853">
        <v>12</v>
      </c>
    </row>
    <row r="448" spans="1:6" s="350" customFormat="1" ht="18" customHeight="1" x14ac:dyDescent="0.2">
      <c r="A448" s="851" t="s">
        <v>178</v>
      </c>
      <c r="B448" s="852" t="s">
        <v>143</v>
      </c>
      <c r="C448" s="852" t="s">
        <v>169</v>
      </c>
      <c r="D448" s="852" t="s">
        <v>734</v>
      </c>
      <c r="E448" s="852" t="s">
        <v>287</v>
      </c>
      <c r="F448" s="853">
        <v>15</v>
      </c>
    </row>
    <row r="449" spans="1:6" s="350" customFormat="1" ht="18" customHeight="1" x14ac:dyDescent="0.2">
      <c r="A449" s="851" t="s">
        <v>178</v>
      </c>
      <c r="B449" s="852" t="s">
        <v>143</v>
      </c>
      <c r="C449" s="852" t="s">
        <v>170</v>
      </c>
      <c r="D449" s="852" t="s">
        <v>734</v>
      </c>
      <c r="E449" s="852" t="s">
        <v>297</v>
      </c>
      <c r="F449" s="853">
        <v>1</v>
      </c>
    </row>
    <row r="450" spans="1:6" s="350" customFormat="1" ht="18" customHeight="1" x14ac:dyDescent="0.2">
      <c r="A450" s="851" t="s">
        <v>178</v>
      </c>
      <c r="B450" s="852" t="s">
        <v>143</v>
      </c>
      <c r="C450" s="852" t="s">
        <v>170</v>
      </c>
      <c r="D450" s="852" t="s">
        <v>211</v>
      </c>
      <c r="E450" s="852" t="s">
        <v>297</v>
      </c>
      <c r="F450" s="853">
        <v>1</v>
      </c>
    </row>
    <row r="451" spans="1:6" s="350" customFormat="1" ht="18" customHeight="1" x14ac:dyDescent="0.2">
      <c r="A451" s="851" t="s">
        <v>178</v>
      </c>
      <c r="B451" s="852" t="s">
        <v>143</v>
      </c>
      <c r="C451" s="852" t="s">
        <v>171</v>
      </c>
      <c r="D451" s="852" t="s">
        <v>734</v>
      </c>
      <c r="E451" s="852" t="s">
        <v>297</v>
      </c>
      <c r="F451" s="853">
        <v>3</v>
      </c>
    </row>
    <row r="452" spans="1:6" s="350" customFormat="1" ht="18" customHeight="1" x14ac:dyDescent="0.2">
      <c r="A452" s="851" t="s">
        <v>178</v>
      </c>
      <c r="B452" s="852" t="s">
        <v>143</v>
      </c>
      <c r="C452" s="852" t="s">
        <v>171</v>
      </c>
      <c r="D452" s="852" t="s">
        <v>734</v>
      </c>
      <c r="E452" s="852" t="s">
        <v>287</v>
      </c>
      <c r="F452" s="853">
        <v>6</v>
      </c>
    </row>
    <row r="453" spans="1:6" s="350" customFormat="1" ht="18" customHeight="1" x14ac:dyDescent="0.2">
      <c r="A453" s="851" t="s">
        <v>178</v>
      </c>
      <c r="B453" s="852" t="s">
        <v>143</v>
      </c>
      <c r="C453" s="852" t="s">
        <v>173</v>
      </c>
      <c r="D453" s="852" t="s">
        <v>734</v>
      </c>
      <c r="E453" s="852" t="s">
        <v>297</v>
      </c>
      <c r="F453" s="853">
        <v>4</v>
      </c>
    </row>
    <row r="454" spans="1:6" s="350" customFormat="1" ht="18" customHeight="1" x14ac:dyDescent="0.2">
      <c r="A454" s="851" t="s">
        <v>178</v>
      </c>
      <c r="B454" s="852" t="s">
        <v>143</v>
      </c>
      <c r="C454" s="852" t="s">
        <v>173</v>
      </c>
      <c r="D454" s="852" t="s">
        <v>734</v>
      </c>
      <c r="E454" s="852" t="s">
        <v>287</v>
      </c>
      <c r="F454" s="853">
        <v>12</v>
      </c>
    </row>
    <row r="455" spans="1:6" s="350" customFormat="1" ht="18" customHeight="1" x14ac:dyDescent="0.2">
      <c r="A455" s="851" t="s">
        <v>178</v>
      </c>
      <c r="B455" s="852" t="s">
        <v>143</v>
      </c>
      <c r="C455" s="852" t="s">
        <v>173</v>
      </c>
      <c r="D455" s="852" t="s">
        <v>734</v>
      </c>
      <c r="E455" s="852" t="s">
        <v>293</v>
      </c>
      <c r="F455" s="853">
        <v>1</v>
      </c>
    </row>
    <row r="456" spans="1:6" s="350" customFormat="1" ht="18" customHeight="1" x14ac:dyDescent="0.2">
      <c r="A456" s="851" t="s">
        <v>179</v>
      </c>
      <c r="B456" s="852" t="s">
        <v>242</v>
      </c>
      <c r="C456" s="852" t="s">
        <v>169</v>
      </c>
      <c r="D456" s="852" t="s">
        <v>734</v>
      </c>
      <c r="E456" s="852" t="s">
        <v>289</v>
      </c>
      <c r="F456" s="853">
        <v>27</v>
      </c>
    </row>
    <row r="457" spans="1:6" s="350" customFormat="1" ht="18" customHeight="1" x14ac:dyDescent="0.2">
      <c r="A457" s="851" t="s">
        <v>179</v>
      </c>
      <c r="B457" s="852" t="s">
        <v>242</v>
      </c>
      <c r="C457" s="852" t="s">
        <v>170</v>
      </c>
      <c r="D457" s="852" t="s">
        <v>734</v>
      </c>
      <c r="E457" s="852" t="s">
        <v>289</v>
      </c>
      <c r="F457" s="853">
        <v>3357</v>
      </c>
    </row>
    <row r="458" spans="1:6" s="350" customFormat="1" ht="18" customHeight="1" x14ac:dyDescent="0.2">
      <c r="A458" s="851" t="s">
        <v>179</v>
      </c>
      <c r="B458" s="852" t="s">
        <v>242</v>
      </c>
      <c r="C458" s="852" t="s">
        <v>170</v>
      </c>
      <c r="D458" s="852" t="s">
        <v>734</v>
      </c>
      <c r="E458" s="852" t="s">
        <v>287</v>
      </c>
      <c r="F458" s="853">
        <v>6</v>
      </c>
    </row>
    <row r="459" spans="1:6" s="350" customFormat="1" ht="18" customHeight="1" x14ac:dyDescent="0.2">
      <c r="A459" s="851" t="s">
        <v>179</v>
      </c>
      <c r="B459" s="852" t="s">
        <v>242</v>
      </c>
      <c r="C459" s="852" t="s">
        <v>171</v>
      </c>
      <c r="D459" s="852" t="s">
        <v>734</v>
      </c>
      <c r="E459" s="852" t="s">
        <v>289</v>
      </c>
      <c r="F459" s="853">
        <v>120</v>
      </c>
    </row>
    <row r="460" spans="1:6" s="350" customFormat="1" ht="18" customHeight="1" x14ac:dyDescent="0.2">
      <c r="A460" s="851" t="s">
        <v>179</v>
      </c>
      <c r="B460" s="852" t="s">
        <v>242</v>
      </c>
      <c r="C460" s="852" t="s">
        <v>171</v>
      </c>
      <c r="D460" s="852" t="s">
        <v>210</v>
      </c>
      <c r="E460" s="852" t="s">
        <v>289</v>
      </c>
      <c r="F460" s="853">
        <v>1377</v>
      </c>
    </row>
    <row r="461" spans="1:6" s="350" customFormat="1" ht="18" customHeight="1" x14ac:dyDescent="0.2">
      <c r="A461" s="851" t="s">
        <v>179</v>
      </c>
      <c r="B461" s="852" t="s">
        <v>242</v>
      </c>
      <c r="C461" s="852" t="s">
        <v>171</v>
      </c>
      <c r="D461" s="852" t="s">
        <v>213</v>
      </c>
      <c r="E461" s="852" t="s">
        <v>289</v>
      </c>
      <c r="F461" s="853">
        <v>873</v>
      </c>
    </row>
    <row r="462" spans="1:6" s="350" customFormat="1" ht="18" customHeight="1" x14ac:dyDescent="0.2">
      <c r="A462" s="851" t="s">
        <v>179</v>
      </c>
      <c r="B462" s="852" t="s">
        <v>242</v>
      </c>
      <c r="C462" s="852" t="s">
        <v>173</v>
      </c>
      <c r="D462" s="852" t="s">
        <v>734</v>
      </c>
      <c r="E462" s="852" t="s">
        <v>289</v>
      </c>
      <c r="F462" s="853">
        <v>2976</v>
      </c>
    </row>
    <row r="463" spans="1:6" s="350" customFormat="1" ht="18" customHeight="1" x14ac:dyDescent="0.2">
      <c r="A463" s="851" t="s">
        <v>179</v>
      </c>
      <c r="B463" s="852" t="s">
        <v>242</v>
      </c>
      <c r="C463" s="852" t="s">
        <v>173</v>
      </c>
      <c r="D463" s="852" t="s">
        <v>734</v>
      </c>
      <c r="E463" s="852" t="s">
        <v>287</v>
      </c>
      <c r="F463" s="853">
        <v>15</v>
      </c>
    </row>
    <row r="464" spans="1:6" s="350" customFormat="1" ht="18" customHeight="1" x14ac:dyDescent="0.2">
      <c r="A464" s="851" t="s">
        <v>179</v>
      </c>
      <c r="B464" s="852" t="s">
        <v>243</v>
      </c>
      <c r="C464" s="852" t="s">
        <v>169</v>
      </c>
      <c r="D464" s="852" t="s">
        <v>734</v>
      </c>
      <c r="E464" s="852" t="s">
        <v>287</v>
      </c>
      <c r="F464" s="853">
        <v>9</v>
      </c>
    </row>
    <row r="465" spans="1:6" s="350" customFormat="1" ht="18" customHeight="1" x14ac:dyDescent="0.2">
      <c r="A465" s="851" t="s">
        <v>179</v>
      </c>
      <c r="B465" s="852" t="s">
        <v>243</v>
      </c>
      <c r="C465" s="852" t="s">
        <v>170</v>
      </c>
      <c r="D465" s="852" t="s">
        <v>734</v>
      </c>
      <c r="E465" s="852" t="s">
        <v>297</v>
      </c>
      <c r="F465" s="853">
        <v>1</v>
      </c>
    </row>
    <row r="466" spans="1:6" s="350" customFormat="1" ht="18" customHeight="1" x14ac:dyDescent="0.2">
      <c r="A466" s="851" t="s">
        <v>179</v>
      </c>
      <c r="B466" s="852" t="s">
        <v>243</v>
      </c>
      <c r="C466" s="852" t="s">
        <v>170</v>
      </c>
      <c r="D466" s="852" t="s">
        <v>734</v>
      </c>
      <c r="E466" s="852" t="s">
        <v>289</v>
      </c>
      <c r="F466" s="853">
        <v>3</v>
      </c>
    </row>
    <row r="467" spans="1:6" s="350" customFormat="1" ht="18" customHeight="1" x14ac:dyDescent="0.2">
      <c r="A467" s="851" t="s">
        <v>179</v>
      </c>
      <c r="B467" s="852" t="s">
        <v>243</v>
      </c>
      <c r="C467" s="852" t="s">
        <v>170</v>
      </c>
      <c r="D467" s="852" t="s">
        <v>734</v>
      </c>
      <c r="E467" s="852" t="s">
        <v>287</v>
      </c>
      <c r="F467" s="853">
        <v>3</v>
      </c>
    </row>
    <row r="468" spans="1:6" s="350" customFormat="1" ht="18" customHeight="1" x14ac:dyDescent="0.2">
      <c r="A468" s="851" t="s">
        <v>179</v>
      </c>
      <c r="B468" s="852" t="s">
        <v>243</v>
      </c>
      <c r="C468" s="852" t="s">
        <v>171</v>
      </c>
      <c r="D468" s="852" t="s">
        <v>734</v>
      </c>
      <c r="E468" s="852" t="s">
        <v>289</v>
      </c>
      <c r="F468" s="853">
        <v>6</v>
      </c>
    </row>
    <row r="469" spans="1:6" s="350" customFormat="1" ht="18" customHeight="1" x14ac:dyDescent="0.2">
      <c r="A469" s="851" t="s">
        <v>179</v>
      </c>
      <c r="B469" s="852" t="s">
        <v>243</v>
      </c>
      <c r="C469" s="852" t="s">
        <v>171</v>
      </c>
      <c r="D469" s="852" t="s">
        <v>210</v>
      </c>
      <c r="E469" s="852" t="s">
        <v>289</v>
      </c>
      <c r="F469" s="853">
        <v>6</v>
      </c>
    </row>
    <row r="470" spans="1:6" s="350" customFormat="1" ht="18" customHeight="1" x14ac:dyDescent="0.2">
      <c r="A470" s="851" t="s">
        <v>179</v>
      </c>
      <c r="B470" s="852" t="s">
        <v>243</v>
      </c>
      <c r="C470" s="852" t="s">
        <v>171</v>
      </c>
      <c r="D470" s="852" t="s">
        <v>213</v>
      </c>
      <c r="E470" s="852" t="s">
        <v>289</v>
      </c>
      <c r="F470" s="853">
        <v>3</v>
      </c>
    </row>
    <row r="471" spans="1:6" s="350" customFormat="1" ht="18" customHeight="1" x14ac:dyDescent="0.2">
      <c r="A471" s="851" t="s">
        <v>179</v>
      </c>
      <c r="B471" s="852" t="s">
        <v>243</v>
      </c>
      <c r="C471" s="852" t="s">
        <v>171</v>
      </c>
      <c r="D471" s="852" t="s">
        <v>213</v>
      </c>
      <c r="E471" s="852" t="s">
        <v>287</v>
      </c>
      <c r="F471" s="853">
        <v>3</v>
      </c>
    </row>
    <row r="472" spans="1:6" s="350" customFormat="1" ht="18" customHeight="1" x14ac:dyDescent="0.2">
      <c r="A472" s="851" t="s">
        <v>179</v>
      </c>
      <c r="B472" s="852" t="s">
        <v>243</v>
      </c>
      <c r="C472" s="852" t="s">
        <v>173</v>
      </c>
      <c r="D472" s="852" t="s">
        <v>734</v>
      </c>
      <c r="E472" s="852" t="s">
        <v>289</v>
      </c>
      <c r="F472" s="853">
        <v>3</v>
      </c>
    </row>
    <row r="473" spans="1:6" s="350" customFormat="1" ht="18" customHeight="1" x14ac:dyDescent="0.2">
      <c r="A473" s="851" t="s">
        <v>179</v>
      </c>
      <c r="B473" s="852" t="s">
        <v>244</v>
      </c>
      <c r="C473" s="852" t="s">
        <v>169</v>
      </c>
      <c r="D473" s="852" t="s">
        <v>734</v>
      </c>
      <c r="E473" s="852" t="s">
        <v>294</v>
      </c>
      <c r="F473" s="853">
        <v>3</v>
      </c>
    </row>
    <row r="474" spans="1:6" s="350" customFormat="1" ht="18" customHeight="1" x14ac:dyDescent="0.2">
      <c r="A474" s="851" t="s">
        <v>179</v>
      </c>
      <c r="B474" s="852" t="s">
        <v>244</v>
      </c>
      <c r="C474" s="852" t="s">
        <v>169</v>
      </c>
      <c r="D474" s="852" t="s">
        <v>734</v>
      </c>
      <c r="E474" s="852" t="s">
        <v>296</v>
      </c>
      <c r="F474" s="853">
        <v>10</v>
      </c>
    </row>
    <row r="475" spans="1:6" s="350" customFormat="1" ht="18" customHeight="1" x14ac:dyDescent="0.2">
      <c r="A475" s="851" t="s">
        <v>179</v>
      </c>
      <c r="B475" s="852" t="s">
        <v>244</v>
      </c>
      <c r="C475" s="852" t="s">
        <v>169</v>
      </c>
      <c r="D475" s="852" t="s">
        <v>734</v>
      </c>
      <c r="E475" s="852" t="s">
        <v>297</v>
      </c>
      <c r="F475" s="853">
        <v>87</v>
      </c>
    </row>
    <row r="476" spans="1:6" s="350" customFormat="1" ht="18" customHeight="1" x14ac:dyDescent="0.2">
      <c r="A476" s="851" t="s">
        <v>179</v>
      </c>
      <c r="B476" s="852" t="s">
        <v>244</v>
      </c>
      <c r="C476" s="852" t="s">
        <v>169</v>
      </c>
      <c r="D476" s="852" t="s">
        <v>734</v>
      </c>
      <c r="E476" s="852" t="s">
        <v>287</v>
      </c>
      <c r="F476" s="853">
        <v>275</v>
      </c>
    </row>
    <row r="477" spans="1:6" s="350" customFormat="1" ht="18" customHeight="1" x14ac:dyDescent="0.2">
      <c r="A477" s="851" t="s">
        <v>179</v>
      </c>
      <c r="B477" s="852" t="s">
        <v>244</v>
      </c>
      <c r="C477" s="852" t="s">
        <v>169</v>
      </c>
      <c r="D477" s="852" t="s">
        <v>734</v>
      </c>
      <c r="E477" s="852" t="s">
        <v>293</v>
      </c>
      <c r="F477" s="853">
        <v>23</v>
      </c>
    </row>
    <row r="478" spans="1:6" s="350" customFormat="1" ht="18" customHeight="1" x14ac:dyDescent="0.2">
      <c r="A478" s="851" t="s">
        <v>179</v>
      </c>
      <c r="B478" s="852" t="s">
        <v>244</v>
      </c>
      <c r="C478" s="852" t="s">
        <v>170</v>
      </c>
      <c r="D478" s="852" t="s">
        <v>734</v>
      </c>
      <c r="E478" s="852" t="s">
        <v>296</v>
      </c>
      <c r="F478" s="853">
        <v>1</v>
      </c>
    </row>
    <row r="479" spans="1:6" s="350" customFormat="1" ht="18" customHeight="1" x14ac:dyDescent="0.2">
      <c r="A479" s="851" t="s">
        <v>179</v>
      </c>
      <c r="B479" s="852" t="s">
        <v>244</v>
      </c>
      <c r="C479" s="852" t="s">
        <v>170</v>
      </c>
      <c r="D479" s="852" t="s">
        <v>734</v>
      </c>
      <c r="E479" s="852" t="s">
        <v>297</v>
      </c>
      <c r="F479" s="853">
        <v>66</v>
      </c>
    </row>
    <row r="480" spans="1:6" s="350" customFormat="1" ht="18" customHeight="1" x14ac:dyDescent="0.2">
      <c r="A480" s="851" t="s">
        <v>179</v>
      </c>
      <c r="B480" s="852" t="s">
        <v>244</v>
      </c>
      <c r="C480" s="852" t="s">
        <v>170</v>
      </c>
      <c r="D480" s="852" t="s">
        <v>734</v>
      </c>
      <c r="E480" s="852" t="s">
        <v>287</v>
      </c>
      <c r="F480" s="853">
        <v>89</v>
      </c>
    </row>
    <row r="481" spans="1:6" s="350" customFormat="1" ht="18" customHeight="1" x14ac:dyDescent="0.2">
      <c r="A481" s="851" t="s">
        <v>179</v>
      </c>
      <c r="B481" s="852" t="s">
        <v>244</v>
      </c>
      <c r="C481" s="852" t="s">
        <v>170</v>
      </c>
      <c r="D481" s="852" t="s">
        <v>734</v>
      </c>
      <c r="E481" s="852" t="s">
        <v>293</v>
      </c>
      <c r="F481" s="853">
        <v>9</v>
      </c>
    </row>
    <row r="482" spans="1:6" s="350" customFormat="1" ht="18" customHeight="1" x14ac:dyDescent="0.2">
      <c r="A482" s="851" t="s">
        <v>179</v>
      </c>
      <c r="B482" s="852" t="s">
        <v>244</v>
      </c>
      <c r="C482" s="852" t="s">
        <v>171</v>
      </c>
      <c r="D482" s="852" t="s">
        <v>734</v>
      </c>
      <c r="E482" s="852" t="s">
        <v>296</v>
      </c>
      <c r="F482" s="853">
        <v>1</v>
      </c>
    </row>
    <row r="483" spans="1:6" s="350" customFormat="1" ht="18" customHeight="1" x14ac:dyDescent="0.2">
      <c r="A483" s="851" t="s">
        <v>179</v>
      </c>
      <c r="B483" s="852" t="s">
        <v>244</v>
      </c>
      <c r="C483" s="852" t="s">
        <v>171</v>
      </c>
      <c r="D483" s="852" t="s">
        <v>734</v>
      </c>
      <c r="E483" s="852" t="s">
        <v>297</v>
      </c>
      <c r="F483" s="853">
        <v>26</v>
      </c>
    </row>
    <row r="484" spans="1:6" s="350" customFormat="1" ht="18" customHeight="1" x14ac:dyDescent="0.2">
      <c r="A484" s="851" t="s">
        <v>179</v>
      </c>
      <c r="B484" s="852" t="s">
        <v>244</v>
      </c>
      <c r="C484" s="852" t="s">
        <v>171</v>
      </c>
      <c r="D484" s="852" t="s">
        <v>734</v>
      </c>
      <c r="E484" s="852" t="s">
        <v>287</v>
      </c>
      <c r="F484" s="853">
        <v>14</v>
      </c>
    </row>
    <row r="485" spans="1:6" s="350" customFormat="1" ht="18" customHeight="1" x14ac:dyDescent="0.2">
      <c r="A485" s="851" t="s">
        <v>179</v>
      </c>
      <c r="B485" s="852" t="s">
        <v>244</v>
      </c>
      <c r="C485" s="852" t="s">
        <v>171</v>
      </c>
      <c r="D485" s="852" t="s">
        <v>734</v>
      </c>
      <c r="E485" s="852" t="s">
        <v>293</v>
      </c>
      <c r="F485" s="853">
        <v>1</v>
      </c>
    </row>
    <row r="486" spans="1:6" s="350" customFormat="1" ht="18" customHeight="1" x14ac:dyDescent="0.2">
      <c r="A486" s="851" t="s">
        <v>179</v>
      </c>
      <c r="B486" s="852" t="s">
        <v>244</v>
      </c>
      <c r="C486" s="852" t="s">
        <v>171</v>
      </c>
      <c r="D486" s="852" t="s">
        <v>210</v>
      </c>
      <c r="E486" s="852" t="s">
        <v>296</v>
      </c>
      <c r="F486" s="853">
        <v>3</v>
      </c>
    </row>
    <row r="487" spans="1:6" s="350" customFormat="1" ht="18" customHeight="1" x14ac:dyDescent="0.2">
      <c r="A487" s="851" t="s">
        <v>179</v>
      </c>
      <c r="B487" s="852" t="s">
        <v>244</v>
      </c>
      <c r="C487" s="852" t="s">
        <v>171</v>
      </c>
      <c r="D487" s="852" t="s">
        <v>210</v>
      </c>
      <c r="E487" s="852" t="s">
        <v>297</v>
      </c>
      <c r="F487" s="853">
        <v>22</v>
      </c>
    </row>
    <row r="488" spans="1:6" s="350" customFormat="1" ht="18" customHeight="1" x14ac:dyDescent="0.2">
      <c r="A488" s="851" t="s">
        <v>179</v>
      </c>
      <c r="B488" s="852" t="s">
        <v>244</v>
      </c>
      <c r="C488" s="852" t="s">
        <v>171</v>
      </c>
      <c r="D488" s="852" t="s">
        <v>210</v>
      </c>
      <c r="E488" s="852" t="s">
        <v>287</v>
      </c>
      <c r="F488" s="853">
        <v>48</v>
      </c>
    </row>
    <row r="489" spans="1:6" s="350" customFormat="1" ht="18" customHeight="1" x14ac:dyDescent="0.2">
      <c r="A489" s="851" t="s">
        <v>179</v>
      </c>
      <c r="B489" s="852" t="s">
        <v>244</v>
      </c>
      <c r="C489" s="852" t="s">
        <v>171</v>
      </c>
      <c r="D489" s="852" t="s">
        <v>210</v>
      </c>
      <c r="E489" s="852" t="s">
        <v>293</v>
      </c>
      <c r="F489" s="853">
        <v>5</v>
      </c>
    </row>
    <row r="490" spans="1:6" s="350" customFormat="1" ht="18" customHeight="1" x14ac:dyDescent="0.2">
      <c r="A490" s="851" t="s">
        <v>179</v>
      </c>
      <c r="B490" s="852" t="s">
        <v>244</v>
      </c>
      <c r="C490" s="852" t="s">
        <v>171</v>
      </c>
      <c r="D490" s="852" t="s">
        <v>213</v>
      </c>
      <c r="E490" s="852" t="s">
        <v>294</v>
      </c>
      <c r="F490" s="853">
        <v>1</v>
      </c>
    </row>
    <row r="491" spans="1:6" s="350" customFormat="1" ht="18" customHeight="1" x14ac:dyDescent="0.2">
      <c r="A491" s="851" t="s">
        <v>179</v>
      </c>
      <c r="B491" s="852" t="s">
        <v>244</v>
      </c>
      <c r="C491" s="852" t="s">
        <v>171</v>
      </c>
      <c r="D491" s="852" t="s">
        <v>213</v>
      </c>
      <c r="E491" s="852" t="s">
        <v>297</v>
      </c>
      <c r="F491" s="853">
        <v>38</v>
      </c>
    </row>
    <row r="492" spans="1:6" s="350" customFormat="1" ht="18" customHeight="1" x14ac:dyDescent="0.2">
      <c r="A492" s="851" t="s">
        <v>179</v>
      </c>
      <c r="B492" s="852" t="s">
        <v>244</v>
      </c>
      <c r="C492" s="852" t="s">
        <v>171</v>
      </c>
      <c r="D492" s="852" t="s">
        <v>213</v>
      </c>
      <c r="E492" s="852" t="s">
        <v>287</v>
      </c>
      <c r="F492" s="853">
        <v>26</v>
      </c>
    </row>
    <row r="493" spans="1:6" s="350" customFormat="1" ht="18" customHeight="1" x14ac:dyDescent="0.2">
      <c r="A493" s="851" t="s">
        <v>179</v>
      </c>
      <c r="B493" s="852" t="s">
        <v>244</v>
      </c>
      <c r="C493" s="852" t="s">
        <v>171</v>
      </c>
      <c r="D493" s="852" t="s">
        <v>213</v>
      </c>
      <c r="E493" s="852" t="s">
        <v>293</v>
      </c>
      <c r="F493" s="853">
        <v>2</v>
      </c>
    </row>
    <row r="494" spans="1:6" s="350" customFormat="1" ht="18" customHeight="1" x14ac:dyDescent="0.2">
      <c r="A494" s="851" t="s">
        <v>179</v>
      </c>
      <c r="B494" s="852" t="s">
        <v>244</v>
      </c>
      <c r="C494" s="852" t="s">
        <v>173</v>
      </c>
      <c r="D494" s="852" t="s">
        <v>734</v>
      </c>
      <c r="E494" s="852" t="s">
        <v>294</v>
      </c>
      <c r="F494" s="853">
        <v>3</v>
      </c>
    </row>
    <row r="495" spans="1:6" s="350" customFormat="1" ht="18" customHeight="1" x14ac:dyDescent="0.2">
      <c r="A495" s="851" t="s">
        <v>179</v>
      </c>
      <c r="B495" s="852" t="s">
        <v>244</v>
      </c>
      <c r="C495" s="852" t="s">
        <v>173</v>
      </c>
      <c r="D495" s="852" t="s">
        <v>734</v>
      </c>
      <c r="E495" s="852" t="s">
        <v>296</v>
      </c>
      <c r="F495" s="853">
        <v>17</v>
      </c>
    </row>
    <row r="496" spans="1:6" s="350" customFormat="1" ht="18" customHeight="1" x14ac:dyDescent="0.2">
      <c r="A496" s="851" t="s">
        <v>179</v>
      </c>
      <c r="B496" s="852" t="s">
        <v>244</v>
      </c>
      <c r="C496" s="852" t="s">
        <v>173</v>
      </c>
      <c r="D496" s="852" t="s">
        <v>734</v>
      </c>
      <c r="E496" s="852" t="s">
        <v>297</v>
      </c>
      <c r="F496" s="853">
        <v>304</v>
      </c>
    </row>
    <row r="497" spans="1:6" s="350" customFormat="1" ht="18" customHeight="1" x14ac:dyDescent="0.2">
      <c r="A497" s="851" t="s">
        <v>179</v>
      </c>
      <c r="B497" s="852" t="s">
        <v>244</v>
      </c>
      <c r="C497" s="852" t="s">
        <v>173</v>
      </c>
      <c r="D497" s="852" t="s">
        <v>734</v>
      </c>
      <c r="E497" s="852" t="s">
        <v>287</v>
      </c>
      <c r="F497" s="853">
        <v>438</v>
      </c>
    </row>
    <row r="498" spans="1:6" s="350" customFormat="1" ht="18" customHeight="1" x14ac:dyDescent="0.2">
      <c r="A498" s="851" t="s">
        <v>179</v>
      </c>
      <c r="B498" s="852" t="s">
        <v>244</v>
      </c>
      <c r="C498" s="852" t="s">
        <v>173</v>
      </c>
      <c r="D498" s="852" t="s">
        <v>734</v>
      </c>
      <c r="E498" s="852" t="s">
        <v>293</v>
      </c>
      <c r="F498" s="853">
        <v>43</v>
      </c>
    </row>
    <row r="499" spans="1:6" s="350" customFormat="1" ht="18" customHeight="1" x14ac:dyDescent="0.2">
      <c r="A499" s="851" t="s">
        <v>179</v>
      </c>
      <c r="B499" s="852" t="s">
        <v>244</v>
      </c>
      <c r="C499" s="852" t="s">
        <v>173</v>
      </c>
      <c r="D499" s="852" t="s">
        <v>210</v>
      </c>
      <c r="E499" s="852" t="s">
        <v>287</v>
      </c>
      <c r="F499" s="853">
        <v>1</v>
      </c>
    </row>
    <row r="500" spans="1:6" s="350" customFormat="1" ht="18" customHeight="1" x14ac:dyDescent="0.2">
      <c r="A500" s="851" t="s">
        <v>179</v>
      </c>
      <c r="B500" s="852" t="s">
        <v>244</v>
      </c>
      <c r="C500" s="852" t="s">
        <v>173</v>
      </c>
      <c r="D500" s="852" t="s">
        <v>210</v>
      </c>
      <c r="E500" s="852" t="s">
        <v>293</v>
      </c>
      <c r="F500" s="853">
        <v>2</v>
      </c>
    </row>
    <row r="501" spans="1:6" s="350" customFormat="1" ht="18" customHeight="1" x14ac:dyDescent="0.2">
      <c r="A501" s="851" t="s">
        <v>179</v>
      </c>
      <c r="B501" s="852" t="s">
        <v>244</v>
      </c>
      <c r="C501" s="852" t="s">
        <v>173</v>
      </c>
      <c r="D501" s="852" t="s">
        <v>213</v>
      </c>
      <c r="E501" s="852" t="s">
        <v>297</v>
      </c>
      <c r="F501" s="853">
        <v>1</v>
      </c>
    </row>
    <row r="502" spans="1:6" s="350" customFormat="1" ht="18" customHeight="1" x14ac:dyDescent="0.2">
      <c r="A502" s="851" t="s">
        <v>179</v>
      </c>
      <c r="B502" s="852" t="s">
        <v>245</v>
      </c>
      <c r="C502" s="852" t="s">
        <v>169</v>
      </c>
      <c r="D502" s="852" t="s">
        <v>734</v>
      </c>
      <c r="E502" s="852" t="s">
        <v>294</v>
      </c>
      <c r="F502" s="853">
        <v>2</v>
      </c>
    </row>
    <row r="503" spans="1:6" s="350" customFormat="1" ht="18" customHeight="1" x14ac:dyDescent="0.2">
      <c r="A503" s="851" t="s">
        <v>179</v>
      </c>
      <c r="B503" s="852" t="s">
        <v>245</v>
      </c>
      <c r="C503" s="852" t="s">
        <v>169</v>
      </c>
      <c r="D503" s="852" t="s">
        <v>734</v>
      </c>
      <c r="E503" s="852" t="s">
        <v>296</v>
      </c>
      <c r="F503" s="853">
        <v>3</v>
      </c>
    </row>
    <row r="504" spans="1:6" s="350" customFormat="1" ht="18" customHeight="1" x14ac:dyDescent="0.2">
      <c r="A504" s="851" t="s">
        <v>179</v>
      </c>
      <c r="B504" s="852" t="s">
        <v>245</v>
      </c>
      <c r="C504" s="852" t="s">
        <v>169</v>
      </c>
      <c r="D504" s="852" t="s">
        <v>734</v>
      </c>
      <c r="E504" s="852" t="s">
        <v>297</v>
      </c>
      <c r="F504" s="853">
        <v>6</v>
      </c>
    </row>
    <row r="505" spans="1:6" s="350" customFormat="1" ht="18" customHeight="1" x14ac:dyDescent="0.2">
      <c r="A505" s="851" t="s">
        <v>179</v>
      </c>
      <c r="B505" s="852" t="s">
        <v>245</v>
      </c>
      <c r="C505" s="852" t="s">
        <v>169</v>
      </c>
      <c r="D505" s="852" t="s">
        <v>734</v>
      </c>
      <c r="E505" s="852" t="s">
        <v>287</v>
      </c>
      <c r="F505" s="853">
        <v>30</v>
      </c>
    </row>
    <row r="506" spans="1:6" s="350" customFormat="1" ht="18" customHeight="1" x14ac:dyDescent="0.2">
      <c r="A506" s="851" t="s">
        <v>179</v>
      </c>
      <c r="B506" s="852" t="s">
        <v>245</v>
      </c>
      <c r="C506" s="852" t="s">
        <v>169</v>
      </c>
      <c r="D506" s="852" t="s">
        <v>734</v>
      </c>
      <c r="E506" s="852" t="s">
        <v>293</v>
      </c>
      <c r="F506" s="853">
        <v>8</v>
      </c>
    </row>
    <row r="507" spans="1:6" s="350" customFormat="1" ht="18" customHeight="1" x14ac:dyDescent="0.2">
      <c r="A507" s="851" t="s">
        <v>179</v>
      </c>
      <c r="B507" s="852" t="s">
        <v>245</v>
      </c>
      <c r="C507" s="852" t="s">
        <v>170</v>
      </c>
      <c r="D507" s="852" t="s">
        <v>734</v>
      </c>
      <c r="E507" s="852" t="s">
        <v>297</v>
      </c>
      <c r="F507" s="853">
        <v>15</v>
      </c>
    </row>
    <row r="508" spans="1:6" s="350" customFormat="1" ht="18" customHeight="1" x14ac:dyDescent="0.2">
      <c r="A508" s="851" t="s">
        <v>179</v>
      </c>
      <c r="B508" s="852" t="s">
        <v>245</v>
      </c>
      <c r="C508" s="852" t="s">
        <v>170</v>
      </c>
      <c r="D508" s="852" t="s">
        <v>734</v>
      </c>
      <c r="E508" s="852" t="s">
        <v>287</v>
      </c>
      <c r="F508" s="853">
        <v>16</v>
      </c>
    </row>
    <row r="509" spans="1:6" s="350" customFormat="1" ht="18" customHeight="1" x14ac:dyDescent="0.2">
      <c r="A509" s="851" t="s">
        <v>179</v>
      </c>
      <c r="B509" s="852" t="s">
        <v>245</v>
      </c>
      <c r="C509" s="852" t="s">
        <v>170</v>
      </c>
      <c r="D509" s="852" t="s">
        <v>734</v>
      </c>
      <c r="E509" s="852" t="s">
        <v>293</v>
      </c>
      <c r="F509" s="853">
        <v>2</v>
      </c>
    </row>
    <row r="510" spans="1:6" s="350" customFormat="1" ht="18" customHeight="1" x14ac:dyDescent="0.2">
      <c r="A510" s="851" t="s">
        <v>179</v>
      </c>
      <c r="B510" s="852" t="s">
        <v>245</v>
      </c>
      <c r="C510" s="852" t="s">
        <v>171</v>
      </c>
      <c r="D510" s="852" t="s">
        <v>734</v>
      </c>
      <c r="E510" s="852" t="s">
        <v>297</v>
      </c>
      <c r="F510" s="853">
        <v>1</v>
      </c>
    </row>
    <row r="511" spans="1:6" s="350" customFormat="1" ht="18" customHeight="1" x14ac:dyDescent="0.2">
      <c r="A511" s="851" t="s">
        <v>179</v>
      </c>
      <c r="B511" s="852" t="s">
        <v>245</v>
      </c>
      <c r="C511" s="852" t="s">
        <v>171</v>
      </c>
      <c r="D511" s="852" t="s">
        <v>734</v>
      </c>
      <c r="E511" s="852" t="s">
        <v>287</v>
      </c>
      <c r="F511" s="853">
        <v>2</v>
      </c>
    </row>
    <row r="512" spans="1:6" s="350" customFormat="1" ht="18" customHeight="1" x14ac:dyDescent="0.2">
      <c r="A512" s="851" t="s">
        <v>179</v>
      </c>
      <c r="B512" s="852" t="s">
        <v>245</v>
      </c>
      <c r="C512" s="852" t="s">
        <v>171</v>
      </c>
      <c r="D512" s="852" t="s">
        <v>210</v>
      </c>
      <c r="E512" s="852" t="s">
        <v>297</v>
      </c>
      <c r="F512" s="853">
        <v>3</v>
      </c>
    </row>
    <row r="513" spans="1:6" s="350" customFormat="1" ht="18" customHeight="1" x14ac:dyDescent="0.2">
      <c r="A513" s="851" t="s">
        <v>179</v>
      </c>
      <c r="B513" s="852" t="s">
        <v>245</v>
      </c>
      <c r="C513" s="852" t="s">
        <v>171</v>
      </c>
      <c r="D513" s="852" t="s">
        <v>210</v>
      </c>
      <c r="E513" s="852" t="s">
        <v>287</v>
      </c>
      <c r="F513" s="853">
        <v>9</v>
      </c>
    </row>
    <row r="514" spans="1:6" s="350" customFormat="1" ht="18" customHeight="1" x14ac:dyDescent="0.2">
      <c r="A514" s="851" t="s">
        <v>179</v>
      </c>
      <c r="B514" s="852" t="s">
        <v>245</v>
      </c>
      <c r="C514" s="852" t="s">
        <v>171</v>
      </c>
      <c r="D514" s="852" t="s">
        <v>213</v>
      </c>
      <c r="E514" s="852" t="s">
        <v>297</v>
      </c>
      <c r="F514" s="853">
        <v>2</v>
      </c>
    </row>
    <row r="515" spans="1:6" s="350" customFormat="1" ht="18" customHeight="1" x14ac:dyDescent="0.2">
      <c r="A515" s="851" t="s">
        <v>179</v>
      </c>
      <c r="B515" s="852" t="s">
        <v>245</v>
      </c>
      <c r="C515" s="852" t="s">
        <v>171</v>
      </c>
      <c r="D515" s="852" t="s">
        <v>213</v>
      </c>
      <c r="E515" s="852" t="s">
        <v>287</v>
      </c>
      <c r="F515" s="853">
        <v>1</v>
      </c>
    </row>
    <row r="516" spans="1:6" s="350" customFormat="1" ht="18" customHeight="1" x14ac:dyDescent="0.2">
      <c r="A516" s="851" t="s">
        <v>179</v>
      </c>
      <c r="B516" s="852" t="s">
        <v>245</v>
      </c>
      <c r="C516" s="852" t="s">
        <v>173</v>
      </c>
      <c r="D516" s="852" t="s">
        <v>734</v>
      </c>
      <c r="E516" s="852" t="s">
        <v>294</v>
      </c>
      <c r="F516" s="853">
        <v>2</v>
      </c>
    </row>
    <row r="517" spans="1:6" s="350" customFormat="1" ht="18" customHeight="1" x14ac:dyDescent="0.2">
      <c r="A517" s="851" t="s">
        <v>179</v>
      </c>
      <c r="B517" s="852" t="s">
        <v>245</v>
      </c>
      <c r="C517" s="852" t="s">
        <v>173</v>
      </c>
      <c r="D517" s="852" t="s">
        <v>734</v>
      </c>
      <c r="E517" s="852" t="s">
        <v>296</v>
      </c>
      <c r="F517" s="853">
        <v>2</v>
      </c>
    </row>
    <row r="518" spans="1:6" s="350" customFormat="1" ht="18" customHeight="1" x14ac:dyDescent="0.2">
      <c r="A518" s="851" t="s">
        <v>179</v>
      </c>
      <c r="B518" s="852" t="s">
        <v>245</v>
      </c>
      <c r="C518" s="852" t="s">
        <v>173</v>
      </c>
      <c r="D518" s="852" t="s">
        <v>734</v>
      </c>
      <c r="E518" s="852" t="s">
        <v>297</v>
      </c>
      <c r="F518" s="853">
        <v>26</v>
      </c>
    </row>
    <row r="519" spans="1:6" s="350" customFormat="1" ht="18" customHeight="1" x14ac:dyDescent="0.2">
      <c r="A519" s="851" t="s">
        <v>179</v>
      </c>
      <c r="B519" s="852" t="s">
        <v>245</v>
      </c>
      <c r="C519" s="852" t="s">
        <v>173</v>
      </c>
      <c r="D519" s="852" t="s">
        <v>734</v>
      </c>
      <c r="E519" s="852" t="s">
        <v>287</v>
      </c>
      <c r="F519" s="853">
        <v>80</v>
      </c>
    </row>
    <row r="520" spans="1:6" s="350" customFormat="1" ht="18" customHeight="1" x14ac:dyDescent="0.2">
      <c r="A520" s="851" t="s">
        <v>179</v>
      </c>
      <c r="B520" s="852" t="s">
        <v>245</v>
      </c>
      <c r="C520" s="852" t="s">
        <v>173</v>
      </c>
      <c r="D520" s="852" t="s">
        <v>734</v>
      </c>
      <c r="E520" s="852" t="s">
        <v>293</v>
      </c>
      <c r="F520" s="853">
        <v>7</v>
      </c>
    </row>
    <row r="521" spans="1:6" s="350" customFormat="1" ht="18" customHeight="1" x14ac:dyDescent="0.2">
      <c r="A521" s="851" t="s">
        <v>179</v>
      </c>
      <c r="B521" s="852" t="s">
        <v>141</v>
      </c>
      <c r="C521" s="852" t="s">
        <v>173</v>
      </c>
      <c r="D521" s="852" t="s">
        <v>734</v>
      </c>
      <c r="E521" s="852" t="s">
        <v>294</v>
      </c>
      <c r="F521" s="853">
        <v>2</v>
      </c>
    </row>
    <row r="522" spans="1:6" s="350" customFormat="1" ht="18" customHeight="1" x14ac:dyDescent="0.2">
      <c r="A522" s="851" t="s">
        <v>179</v>
      </c>
      <c r="B522" s="852" t="s">
        <v>246</v>
      </c>
      <c r="C522" s="852" t="s">
        <v>169</v>
      </c>
      <c r="D522" s="852" t="s">
        <v>734</v>
      </c>
      <c r="E522" s="852" t="s">
        <v>289</v>
      </c>
      <c r="F522" s="853">
        <v>129</v>
      </c>
    </row>
    <row r="523" spans="1:6" s="350" customFormat="1" ht="18" customHeight="1" x14ac:dyDescent="0.2">
      <c r="A523" s="851" t="s">
        <v>179</v>
      </c>
      <c r="B523" s="852" t="s">
        <v>246</v>
      </c>
      <c r="C523" s="852" t="s">
        <v>170</v>
      </c>
      <c r="D523" s="852" t="s">
        <v>734</v>
      </c>
      <c r="E523" s="852" t="s">
        <v>289</v>
      </c>
      <c r="F523" s="853">
        <v>12210</v>
      </c>
    </row>
    <row r="524" spans="1:6" s="350" customFormat="1" ht="18" customHeight="1" x14ac:dyDescent="0.2">
      <c r="A524" s="851" t="s">
        <v>179</v>
      </c>
      <c r="B524" s="852" t="s">
        <v>246</v>
      </c>
      <c r="C524" s="852" t="s">
        <v>170</v>
      </c>
      <c r="D524" s="852" t="s">
        <v>734</v>
      </c>
      <c r="E524" s="852" t="s">
        <v>287</v>
      </c>
      <c r="F524" s="853">
        <v>15</v>
      </c>
    </row>
    <row r="525" spans="1:6" s="350" customFormat="1" ht="18" customHeight="1" x14ac:dyDescent="0.2">
      <c r="A525" s="851" t="s">
        <v>179</v>
      </c>
      <c r="B525" s="852" t="s">
        <v>246</v>
      </c>
      <c r="C525" s="852" t="s">
        <v>171</v>
      </c>
      <c r="D525" s="852" t="s">
        <v>734</v>
      </c>
      <c r="E525" s="852" t="s">
        <v>289</v>
      </c>
      <c r="F525" s="853">
        <v>3786</v>
      </c>
    </row>
    <row r="526" spans="1:6" s="350" customFormat="1" ht="18" customHeight="1" x14ac:dyDescent="0.2">
      <c r="A526" s="851" t="s">
        <v>179</v>
      </c>
      <c r="B526" s="852" t="s">
        <v>246</v>
      </c>
      <c r="C526" s="852" t="s">
        <v>171</v>
      </c>
      <c r="D526" s="852" t="s">
        <v>734</v>
      </c>
      <c r="E526" s="852" t="s">
        <v>287</v>
      </c>
      <c r="F526" s="853">
        <v>3</v>
      </c>
    </row>
    <row r="527" spans="1:6" s="350" customFormat="1" ht="18" customHeight="1" x14ac:dyDescent="0.2">
      <c r="A527" s="851" t="s">
        <v>179</v>
      </c>
      <c r="B527" s="852" t="s">
        <v>246</v>
      </c>
      <c r="C527" s="852" t="s">
        <v>171</v>
      </c>
      <c r="D527" s="852" t="s">
        <v>210</v>
      </c>
      <c r="E527" s="852" t="s">
        <v>289</v>
      </c>
      <c r="F527" s="853">
        <v>13488</v>
      </c>
    </row>
    <row r="528" spans="1:6" s="350" customFormat="1" ht="18" customHeight="1" x14ac:dyDescent="0.2">
      <c r="A528" s="851" t="s">
        <v>179</v>
      </c>
      <c r="B528" s="852" t="s">
        <v>246</v>
      </c>
      <c r="C528" s="852" t="s">
        <v>171</v>
      </c>
      <c r="D528" s="852" t="s">
        <v>213</v>
      </c>
      <c r="E528" s="852" t="s">
        <v>289</v>
      </c>
      <c r="F528" s="853">
        <v>3243</v>
      </c>
    </row>
    <row r="529" spans="1:6" s="350" customFormat="1" ht="18" customHeight="1" x14ac:dyDescent="0.2">
      <c r="A529" s="851" t="s">
        <v>179</v>
      </c>
      <c r="B529" s="852" t="s">
        <v>246</v>
      </c>
      <c r="C529" s="852" t="s">
        <v>173</v>
      </c>
      <c r="D529" s="852" t="s">
        <v>734</v>
      </c>
      <c r="E529" s="852" t="s">
        <v>289</v>
      </c>
      <c r="F529" s="853">
        <v>25587</v>
      </c>
    </row>
    <row r="530" spans="1:6" s="350" customFormat="1" ht="18" customHeight="1" x14ac:dyDescent="0.2">
      <c r="A530" s="851" t="s">
        <v>179</v>
      </c>
      <c r="B530" s="852" t="s">
        <v>246</v>
      </c>
      <c r="C530" s="852" t="s">
        <v>173</v>
      </c>
      <c r="D530" s="852" t="s">
        <v>734</v>
      </c>
      <c r="E530" s="852" t="s">
        <v>287</v>
      </c>
      <c r="F530" s="853">
        <v>9</v>
      </c>
    </row>
    <row r="531" spans="1:6" s="350" customFormat="1" ht="18" customHeight="1" x14ac:dyDescent="0.2">
      <c r="A531" s="851" t="s">
        <v>179</v>
      </c>
      <c r="B531" s="852" t="s">
        <v>246</v>
      </c>
      <c r="C531" s="852" t="s">
        <v>173</v>
      </c>
      <c r="D531" s="852" t="s">
        <v>210</v>
      </c>
      <c r="E531" s="852" t="s">
        <v>289</v>
      </c>
      <c r="F531" s="853">
        <v>30</v>
      </c>
    </row>
    <row r="532" spans="1:6" s="350" customFormat="1" ht="18" customHeight="1" x14ac:dyDescent="0.2">
      <c r="A532" s="851" t="s">
        <v>179</v>
      </c>
      <c r="B532" s="852" t="s">
        <v>246</v>
      </c>
      <c r="C532" s="852" t="s">
        <v>173</v>
      </c>
      <c r="D532" s="852" t="s">
        <v>213</v>
      </c>
      <c r="E532" s="852" t="s">
        <v>289</v>
      </c>
      <c r="F532" s="853">
        <v>777</v>
      </c>
    </row>
    <row r="533" spans="1:6" s="350" customFormat="1" ht="18" customHeight="1" x14ac:dyDescent="0.2">
      <c r="A533" s="851" t="s">
        <v>179</v>
      </c>
      <c r="B533" s="852" t="s">
        <v>143</v>
      </c>
      <c r="C533" s="852" t="s">
        <v>169</v>
      </c>
      <c r="D533" s="852" t="s">
        <v>734</v>
      </c>
      <c r="E533" s="852" t="s">
        <v>297</v>
      </c>
      <c r="F533" s="853">
        <v>4</v>
      </c>
    </row>
    <row r="534" spans="1:6" s="350" customFormat="1" ht="18" customHeight="1" x14ac:dyDescent="0.2">
      <c r="A534" s="851" t="s">
        <v>179</v>
      </c>
      <c r="B534" s="852" t="s">
        <v>143</v>
      </c>
      <c r="C534" s="852" t="s">
        <v>169</v>
      </c>
      <c r="D534" s="852" t="s">
        <v>734</v>
      </c>
      <c r="E534" s="852" t="s">
        <v>287</v>
      </c>
      <c r="F534" s="853">
        <v>8</v>
      </c>
    </row>
    <row r="535" spans="1:6" s="350" customFormat="1" ht="18" customHeight="1" x14ac:dyDescent="0.2">
      <c r="A535" s="851" t="s">
        <v>179</v>
      </c>
      <c r="B535" s="852" t="s">
        <v>143</v>
      </c>
      <c r="C535" s="852" t="s">
        <v>169</v>
      </c>
      <c r="D535" s="852" t="s">
        <v>734</v>
      </c>
      <c r="E535" s="852" t="s">
        <v>293</v>
      </c>
      <c r="F535" s="853">
        <v>1</v>
      </c>
    </row>
    <row r="536" spans="1:6" s="350" customFormat="1" ht="18" customHeight="1" x14ac:dyDescent="0.2">
      <c r="A536" s="851" t="s">
        <v>179</v>
      </c>
      <c r="B536" s="852" t="s">
        <v>143</v>
      </c>
      <c r="C536" s="852" t="s">
        <v>170</v>
      </c>
      <c r="D536" s="852" t="s">
        <v>734</v>
      </c>
      <c r="E536" s="852" t="s">
        <v>297</v>
      </c>
      <c r="F536" s="853">
        <v>1</v>
      </c>
    </row>
    <row r="537" spans="1:6" s="350" customFormat="1" ht="18" customHeight="1" x14ac:dyDescent="0.2">
      <c r="A537" s="851" t="s">
        <v>179</v>
      </c>
      <c r="B537" s="852" t="s">
        <v>143</v>
      </c>
      <c r="C537" s="852" t="s">
        <v>173</v>
      </c>
      <c r="D537" s="852" t="s">
        <v>734</v>
      </c>
      <c r="E537" s="852" t="s">
        <v>297</v>
      </c>
      <c r="F537" s="853">
        <v>5</v>
      </c>
    </row>
    <row r="538" spans="1:6" s="350" customFormat="1" ht="18" customHeight="1" x14ac:dyDescent="0.2">
      <c r="A538" s="851" t="s">
        <v>179</v>
      </c>
      <c r="B538" s="852" t="s">
        <v>143</v>
      </c>
      <c r="C538" s="852" t="s">
        <v>173</v>
      </c>
      <c r="D538" s="852" t="s">
        <v>734</v>
      </c>
      <c r="E538" s="852" t="s">
        <v>287</v>
      </c>
      <c r="F538" s="853">
        <v>12</v>
      </c>
    </row>
    <row r="539" spans="1:6" s="350" customFormat="1" ht="18" customHeight="1" x14ac:dyDescent="0.2">
      <c r="A539" s="851" t="s">
        <v>179</v>
      </c>
      <c r="B539" s="852" t="s">
        <v>143</v>
      </c>
      <c r="C539" s="852" t="s">
        <v>173</v>
      </c>
      <c r="D539" s="852" t="s">
        <v>734</v>
      </c>
      <c r="E539" s="852" t="s">
        <v>293</v>
      </c>
      <c r="F539" s="853">
        <v>1</v>
      </c>
    </row>
    <row r="540" spans="1:6" s="350" customFormat="1" ht="18" customHeight="1" x14ac:dyDescent="0.2">
      <c r="A540" s="851" t="s">
        <v>180</v>
      </c>
      <c r="B540" s="852" t="s">
        <v>242</v>
      </c>
      <c r="C540" s="852" t="s">
        <v>170</v>
      </c>
      <c r="D540" s="852" t="s">
        <v>734</v>
      </c>
      <c r="E540" s="852" t="s">
        <v>289</v>
      </c>
      <c r="F540" s="853">
        <v>183</v>
      </c>
    </row>
    <row r="541" spans="1:6" s="350" customFormat="1" ht="18" customHeight="1" x14ac:dyDescent="0.2">
      <c r="A541" s="851" t="s">
        <v>180</v>
      </c>
      <c r="B541" s="852" t="s">
        <v>242</v>
      </c>
      <c r="C541" s="852" t="s">
        <v>170</v>
      </c>
      <c r="D541" s="852" t="s">
        <v>734</v>
      </c>
      <c r="E541" s="852" t="s">
        <v>287</v>
      </c>
      <c r="F541" s="853">
        <v>3</v>
      </c>
    </row>
    <row r="542" spans="1:6" s="350" customFormat="1" ht="18" customHeight="1" x14ac:dyDescent="0.2">
      <c r="A542" s="851" t="s">
        <v>180</v>
      </c>
      <c r="B542" s="852" t="s">
        <v>242</v>
      </c>
      <c r="C542" s="852" t="s">
        <v>171</v>
      </c>
      <c r="D542" s="852" t="s">
        <v>734</v>
      </c>
      <c r="E542" s="852" t="s">
        <v>289</v>
      </c>
      <c r="F542" s="853">
        <v>795</v>
      </c>
    </row>
    <row r="543" spans="1:6" s="350" customFormat="1" ht="18" customHeight="1" x14ac:dyDescent="0.2">
      <c r="A543" s="851" t="s">
        <v>180</v>
      </c>
      <c r="B543" s="852" t="s">
        <v>242</v>
      </c>
      <c r="C543" s="852" t="s">
        <v>171</v>
      </c>
      <c r="D543" s="852" t="s">
        <v>734</v>
      </c>
      <c r="E543" s="852" t="s">
        <v>287</v>
      </c>
      <c r="F543" s="853">
        <v>3</v>
      </c>
    </row>
    <row r="544" spans="1:6" s="350" customFormat="1" ht="18" customHeight="1" x14ac:dyDescent="0.2">
      <c r="A544" s="851" t="s">
        <v>180</v>
      </c>
      <c r="B544" s="852" t="s">
        <v>242</v>
      </c>
      <c r="C544" s="852" t="s">
        <v>171</v>
      </c>
      <c r="D544" s="852" t="s">
        <v>209</v>
      </c>
      <c r="E544" s="852" t="s">
        <v>296</v>
      </c>
      <c r="F544" s="853">
        <v>8</v>
      </c>
    </row>
    <row r="545" spans="1:6" s="350" customFormat="1" ht="18" customHeight="1" x14ac:dyDescent="0.2">
      <c r="A545" s="851" t="s">
        <v>180</v>
      </c>
      <c r="B545" s="852" t="s">
        <v>242</v>
      </c>
      <c r="C545" s="852" t="s">
        <v>171</v>
      </c>
      <c r="D545" s="852" t="s">
        <v>209</v>
      </c>
      <c r="E545" s="852" t="s">
        <v>289</v>
      </c>
      <c r="F545" s="853">
        <v>195</v>
      </c>
    </row>
    <row r="546" spans="1:6" s="350" customFormat="1" ht="18" customHeight="1" x14ac:dyDescent="0.2">
      <c r="A546" s="851" t="s">
        <v>180</v>
      </c>
      <c r="B546" s="852" t="s">
        <v>242</v>
      </c>
      <c r="C546" s="852" t="s">
        <v>171</v>
      </c>
      <c r="D546" s="852" t="s">
        <v>209</v>
      </c>
      <c r="E546" s="852" t="s">
        <v>287</v>
      </c>
      <c r="F546" s="853">
        <v>18</v>
      </c>
    </row>
    <row r="547" spans="1:6" s="350" customFormat="1" ht="18" customHeight="1" x14ac:dyDescent="0.2">
      <c r="A547" s="851" t="s">
        <v>180</v>
      </c>
      <c r="B547" s="852" t="s">
        <v>242</v>
      </c>
      <c r="C547" s="852" t="s">
        <v>171</v>
      </c>
      <c r="D547" s="852" t="s">
        <v>209</v>
      </c>
      <c r="E547" s="852" t="s">
        <v>293</v>
      </c>
      <c r="F547" s="853">
        <v>4</v>
      </c>
    </row>
    <row r="548" spans="1:6" s="350" customFormat="1" ht="18" customHeight="1" x14ac:dyDescent="0.2">
      <c r="A548" s="851" t="s">
        <v>180</v>
      </c>
      <c r="B548" s="852" t="s">
        <v>242</v>
      </c>
      <c r="C548" s="852" t="s">
        <v>171</v>
      </c>
      <c r="D548" s="852" t="s">
        <v>210</v>
      </c>
      <c r="E548" s="852" t="s">
        <v>289</v>
      </c>
      <c r="F548" s="853">
        <v>225</v>
      </c>
    </row>
    <row r="549" spans="1:6" s="350" customFormat="1" ht="18" customHeight="1" x14ac:dyDescent="0.2">
      <c r="A549" s="851" t="s">
        <v>180</v>
      </c>
      <c r="B549" s="852" t="s">
        <v>242</v>
      </c>
      <c r="C549" s="852" t="s">
        <v>173</v>
      </c>
      <c r="D549" s="852" t="s">
        <v>734</v>
      </c>
      <c r="E549" s="852" t="s">
        <v>289</v>
      </c>
      <c r="F549" s="853">
        <v>450</v>
      </c>
    </row>
    <row r="550" spans="1:6" s="350" customFormat="1" ht="18" customHeight="1" x14ac:dyDescent="0.2">
      <c r="A550" s="851" t="s">
        <v>180</v>
      </c>
      <c r="B550" s="852" t="s">
        <v>242</v>
      </c>
      <c r="C550" s="852" t="s">
        <v>173</v>
      </c>
      <c r="D550" s="852" t="s">
        <v>734</v>
      </c>
      <c r="E550" s="852" t="s">
        <v>287</v>
      </c>
      <c r="F550" s="853">
        <v>6</v>
      </c>
    </row>
    <row r="551" spans="1:6" s="350" customFormat="1" ht="18" customHeight="1" x14ac:dyDescent="0.2">
      <c r="A551" s="851" t="s">
        <v>180</v>
      </c>
      <c r="B551" s="852" t="s">
        <v>242</v>
      </c>
      <c r="C551" s="852" t="s">
        <v>173</v>
      </c>
      <c r="D551" s="852" t="s">
        <v>209</v>
      </c>
      <c r="E551" s="852" t="s">
        <v>289</v>
      </c>
      <c r="F551" s="853">
        <v>36</v>
      </c>
    </row>
    <row r="552" spans="1:6" s="350" customFormat="1" ht="18" customHeight="1" x14ac:dyDescent="0.2">
      <c r="A552" s="851" t="s">
        <v>180</v>
      </c>
      <c r="B552" s="852" t="s">
        <v>242</v>
      </c>
      <c r="C552" s="852" t="s">
        <v>173</v>
      </c>
      <c r="D552" s="852" t="s">
        <v>210</v>
      </c>
      <c r="E552" s="852" t="s">
        <v>289</v>
      </c>
      <c r="F552" s="853">
        <v>117</v>
      </c>
    </row>
    <row r="553" spans="1:6" s="350" customFormat="1" ht="18" customHeight="1" x14ac:dyDescent="0.2">
      <c r="A553" s="851" t="s">
        <v>180</v>
      </c>
      <c r="B553" s="852" t="s">
        <v>243</v>
      </c>
      <c r="C553" s="852" t="s">
        <v>170</v>
      </c>
      <c r="D553" s="852" t="s">
        <v>734</v>
      </c>
      <c r="E553" s="852" t="s">
        <v>289</v>
      </c>
      <c r="F553" s="853">
        <v>9</v>
      </c>
    </row>
    <row r="554" spans="1:6" s="350" customFormat="1" ht="18" customHeight="1" x14ac:dyDescent="0.2">
      <c r="A554" s="851" t="s">
        <v>180</v>
      </c>
      <c r="B554" s="852" t="s">
        <v>243</v>
      </c>
      <c r="C554" s="852" t="s">
        <v>171</v>
      </c>
      <c r="D554" s="852" t="s">
        <v>734</v>
      </c>
      <c r="E554" s="852" t="s">
        <v>289</v>
      </c>
      <c r="F554" s="853">
        <v>159</v>
      </c>
    </row>
    <row r="555" spans="1:6" s="350" customFormat="1" ht="18" customHeight="1" x14ac:dyDescent="0.2">
      <c r="A555" s="851" t="s">
        <v>180</v>
      </c>
      <c r="B555" s="852" t="s">
        <v>243</v>
      </c>
      <c r="C555" s="852" t="s">
        <v>171</v>
      </c>
      <c r="D555" s="852" t="s">
        <v>209</v>
      </c>
      <c r="E555" s="852" t="s">
        <v>289</v>
      </c>
      <c r="F555" s="853">
        <v>15</v>
      </c>
    </row>
    <row r="556" spans="1:6" s="350" customFormat="1" ht="18" customHeight="1" x14ac:dyDescent="0.2">
      <c r="A556" s="851" t="s">
        <v>180</v>
      </c>
      <c r="B556" s="852" t="s">
        <v>243</v>
      </c>
      <c r="C556" s="852" t="s">
        <v>173</v>
      </c>
      <c r="D556" s="852" t="s">
        <v>734</v>
      </c>
      <c r="E556" s="852" t="s">
        <v>297</v>
      </c>
      <c r="F556" s="853">
        <v>1</v>
      </c>
    </row>
    <row r="557" spans="1:6" s="350" customFormat="1" ht="18" customHeight="1" x14ac:dyDescent="0.2">
      <c r="A557" s="851" t="s">
        <v>180</v>
      </c>
      <c r="B557" s="852" t="s">
        <v>243</v>
      </c>
      <c r="C557" s="852" t="s">
        <v>173</v>
      </c>
      <c r="D557" s="852" t="s">
        <v>734</v>
      </c>
      <c r="E557" s="852" t="s">
        <v>289</v>
      </c>
      <c r="F557" s="853">
        <v>24</v>
      </c>
    </row>
    <row r="558" spans="1:6" s="350" customFormat="1" ht="18" customHeight="1" x14ac:dyDescent="0.2">
      <c r="A558" s="851" t="s">
        <v>180</v>
      </c>
      <c r="B558" s="852" t="s">
        <v>243</v>
      </c>
      <c r="C558" s="852" t="s">
        <v>173</v>
      </c>
      <c r="D558" s="852" t="s">
        <v>210</v>
      </c>
      <c r="E558" s="852" t="s">
        <v>289</v>
      </c>
      <c r="F558" s="853">
        <v>57</v>
      </c>
    </row>
    <row r="559" spans="1:6" s="350" customFormat="1" ht="18" customHeight="1" x14ac:dyDescent="0.2">
      <c r="A559" s="851" t="s">
        <v>180</v>
      </c>
      <c r="B559" s="852" t="s">
        <v>244</v>
      </c>
      <c r="C559" s="852" t="s">
        <v>170</v>
      </c>
      <c r="D559" s="852" t="s">
        <v>734</v>
      </c>
      <c r="E559" s="852" t="s">
        <v>297</v>
      </c>
      <c r="F559" s="853">
        <v>32</v>
      </c>
    </row>
    <row r="560" spans="1:6" s="350" customFormat="1" ht="18" customHeight="1" x14ac:dyDescent="0.2">
      <c r="A560" s="851" t="s">
        <v>180</v>
      </c>
      <c r="B560" s="852" t="s">
        <v>244</v>
      </c>
      <c r="C560" s="852" t="s">
        <v>170</v>
      </c>
      <c r="D560" s="852" t="s">
        <v>734</v>
      </c>
      <c r="E560" s="852" t="s">
        <v>287</v>
      </c>
      <c r="F560" s="853">
        <v>19</v>
      </c>
    </row>
    <row r="561" spans="1:6" s="350" customFormat="1" ht="18" customHeight="1" x14ac:dyDescent="0.2">
      <c r="A561" s="851" t="s">
        <v>180</v>
      </c>
      <c r="B561" s="852" t="s">
        <v>244</v>
      </c>
      <c r="C561" s="852" t="s">
        <v>171</v>
      </c>
      <c r="D561" s="852" t="s">
        <v>734</v>
      </c>
      <c r="E561" s="852" t="s">
        <v>296</v>
      </c>
      <c r="F561" s="853">
        <v>1</v>
      </c>
    </row>
    <row r="562" spans="1:6" s="350" customFormat="1" ht="18" customHeight="1" x14ac:dyDescent="0.2">
      <c r="A562" s="851" t="s">
        <v>180</v>
      </c>
      <c r="B562" s="852" t="s">
        <v>244</v>
      </c>
      <c r="C562" s="852" t="s">
        <v>171</v>
      </c>
      <c r="D562" s="852" t="s">
        <v>734</v>
      </c>
      <c r="E562" s="852" t="s">
        <v>297</v>
      </c>
      <c r="F562" s="853">
        <v>35</v>
      </c>
    </row>
    <row r="563" spans="1:6" s="350" customFormat="1" ht="18" customHeight="1" x14ac:dyDescent="0.2">
      <c r="A563" s="851" t="s">
        <v>180</v>
      </c>
      <c r="B563" s="852" t="s">
        <v>244</v>
      </c>
      <c r="C563" s="852" t="s">
        <v>171</v>
      </c>
      <c r="D563" s="852" t="s">
        <v>734</v>
      </c>
      <c r="E563" s="852" t="s">
        <v>287</v>
      </c>
      <c r="F563" s="853">
        <v>40</v>
      </c>
    </row>
    <row r="564" spans="1:6" s="350" customFormat="1" ht="18" customHeight="1" x14ac:dyDescent="0.2">
      <c r="A564" s="851" t="s">
        <v>180</v>
      </c>
      <c r="B564" s="852" t="s">
        <v>244</v>
      </c>
      <c r="C564" s="852" t="s">
        <v>171</v>
      </c>
      <c r="D564" s="852" t="s">
        <v>734</v>
      </c>
      <c r="E564" s="852" t="s">
        <v>293</v>
      </c>
      <c r="F564" s="853">
        <v>2</v>
      </c>
    </row>
    <row r="565" spans="1:6" s="350" customFormat="1" ht="18" customHeight="1" x14ac:dyDescent="0.2">
      <c r="A565" s="851" t="s">
        <v>180</v>
      </c>
      <c r="B565" s="852" t="s">
        <v>244</v>
      </c>
      <c r="C565" s="852" t="s">
        <v>171</v>
      </c>
      <c r="D565" s="852" t="s">
        <v>209</v>
      </c>
      <c r="E565" s="852" t="s">
        <v>297</v>
      </c>
      <c r="F565" s="853">
        <v>21</v>
      </c>
    </row>
    <row r="566" spans="1:6" s="350" customFormat="1" ht="18" customHeight="1" x14ac:dyDescent="0.2">
      <c r="A566" s="851" t="s">
        <v>180</v>
      </c>
      <c r="B566" s="852" t="s">
        <v>244</v>
      </c>
      <c r="C566" s="852" t="s">
        <v>171</v>
      </c>
      <c r="D566" s="852" t="s">
        <v>209</v>
      </c>
      <c r="E566" s="852" t="s">
        <v>287</v>
      </c>
      <c r="F566" s="853">
        <v>22</v>
      </c>
    </row>
    <row r="567" spans="1:6" s="350" customFormat="1" ht="18" customHeight="1" x14ac:dyDescent="0.2">
      <c r="A567" s="851" t="s">
        <v>180</v>
      </c>
      <c r="B567" s="852" t="s">
        <v>244</v>
      </c>
      <c r="C567" s="852" t="s">
        <v>171</v>
      </c>
      <c r="D567" s="852" t="s">
        <v>209</v>
      </c>
      <c r="E567" s="852" t="s">
        <v>293</v>
      </c>
      <c r="F567" s="853">
        <v>3</v>
      </c>
    </row>
    <row r="568" spans="1:6" s="350" customFormat="1" ht="18" customHeight="1" x14ac:dyDescent="0.2">
      <c r="A568" s="851" t="s">
        <v>180</v>
      </c>
      <c r="B568" s="852" t="s">
        <v>244</v>
      </c>
      <c r="C568" s="852" t="s">
        <v>171</v>
      </c>
      <c r="D568" s="852" t="s">
        <v>210</v>
      </c>
      <c r="E568" s="852" t="s">
        <v>297</v>
      </c>
      <c r="F568" s="853">
        <v>21</v>
      </c>
    </row>
    <row r="569" spans="1:6" s="350" customFormat="1" ht="18" customHeight="1" x14ac:dyDescent="0.2">
      <c r="A569" s="851" t="s">
        <v>180</v>
      </c>
      <c r="B569" s="852" t="s">
        <v>244</v>
      </c>
      <c r="C569" s="852" t="s">
        <v>171</v>
      </c>
      <c r="D569" s="852" t="s">
        <v>210</v>
      </c>
      <c r="E569" s="852" t="s">
        <v>287</v>
      </c>
      <c r="F569" s="853">
        <v>26</v>
      </c>
    </row>
    <row r="570" spans="1:6" s="350" customFormat="1" ht="18" customHeight="1" x14ac:dyDescent="0.2">
      <c r="A570" s="851" t="s">
        <v>180</v>
      </c>
      <c r="B570" s="852" t="s">
        <v>244</v>
      </c>
      <c r="C570" s="852" t="s">
        <v>173</v>
      </c>
      <c r="D570" s="852" t="s">
        <v>734</v>
      </c>
      <c r="E570" s="852" t="s">
        <v>294</v>
      </c>
      <c r="F570" s="853">
        <v>3</v>
      </c>
    </row>
    <row r="571" spans="1:6" s="350" customFormat="1" ht="18" customHeight="1" x14ac:dyDescent="0.2">
      <c r="A571" s="851" t="s">
        <v>180</v>
      </c>
      <c r="B571" s="852" t="s">
        <v>244</v>
      </c>
      <c r="C571" s="852" t="s">
        <v>173</v>
      </c>
      <c r="D571" s="852" t="s">
        <v>734</v>
      </c>
      <c r="E571" s="852" t="s">
        <v>296</v>
      </c>
      <c r="F571" s="853">
        <v>4</v>
      </c>
    </row>
    <row r="572" spans="1:6" s="350" customFormat="1" ht="18" customHeight="1" x14ac:dyDescent="0.2">
      <c r="A572" s="851" t="s">
        <v>180</v>
      </c>
      <c r="B572" s="852" t="s">
        <v>244</v>
      </c>
      <c r="C572" s="852" t="s">
        <v>173</v>
      </c>
      <c r="D572" s="852" t="s">
        <v>734</v>
      </c>
      <c r="E572" s="852" t="s">
        <v>297</v>
      </c>
      <c r="F572" s="853">
        <v>137</v>
      </c>
    </row>
    <row r="573" spans="1:6" s="350" customFormat="1" ht="18" customHeight="1" x14ac:dyDescent="0.2">
      <c r="A573" s="851" t="s">
        <v>180</v>
      </c>
      <c r="B573" s="852" t="s">
        <v>244</v>
      </c>
      <c r="C573" s="852" t="s">
        <v>173</v>
      </c>
      <c r="D573" s="852" t="s">
        <v>734</v>
      </c>
      <c r="E573" s="852" t="s">
        <v>287</v>
      </c>
      <c r="F573" s="853">
        <v>160</v>
      </c>
    </row>
    <row r="574" spans="1:6" s="350" customFormat="1" ht="18" customHeight="1" x14ac:dyDescent="0.2">
      <c r="A574" s="851" t="s">
        <v>180</v>
      </c>
      <c r="B574" s="852" t="s">
        <v>244</v>
      </c>
      <c r="C574" s="852" t="s">
        <v>173</v>
      </c>
      <c r="D574" s="852" t="s">
        <v>734</v>
      </c>
      <c r="E574" s="852" t="s">
        <v>293</v>
      </c>
      <c r="F574" s="853">
        <v>30</v>
      </c>
    </row>
    <row r="575" spans="1:6" s="350" customFormat="1" ht="18" customHeight="1" x14ac:dyDescent="0.2">
      <c r="A575" s="851" t="s">
        <v>180</v>
      </c>
      <c r="B575" s="852" t="s">
        <v>244</v>
      </c>
      <c r="C575" s="852" t="s">
        <v>173</v>
      </c>
      <c r="D575" s="852" t="s">
        <v>209</v>
      </c>
      <c r="E575" s="852" t="s">
        <v>296</v>
      </c>
      <c r="F575" s="853">
        <v>1</v>
      </c>
    </row>
    <row r="576" spans="1:6" s="350" customFormat="1" ht="18" customHeight="1" x14ac:dyDescent="0.2">
      <c r="A576" s="851" t="s">
        <v>180</v>
      </c>
      <c r="B576" s="852" t="s">
        <v>244</v>
      </c>
      <c r="C576" s="852" t="s">
        <v>173</v>
      </c>
      <c r="D576" s="852" t="s">
        <v>209</v>
      </c>
      <c r="E576" s="852" t="s">
        <v>297</v>
      </c>
      <c r="F576" s="853">
        <v>30</v>
      </c>
    </row>
    <row r="577" spans="1:6" s="350" customFormat="1" ht="18" customHeight="1" x14ac:dyDescent="0.2">
      <c r="A577" s="851" t="s">
        <v>180</v>
      </c>
      <c r="B577" s="852" t="s">
        <v>244</v>
      </c>
      <c r="C577" s="852" t="s">
        <v>173</v>
      </c>
      <c r="D577" s="852" t="s">
        <v>209</v>
      </c>
      <c r="E577" s="852" t="s">
        <v>287</v>
      </c>
      <c r="F577" s="853">
        <v>25</v>
      </c>
    </row>
    <row r="578" spans="1:6" s="350" customFormat="1" ht="18" customHeight="1" x14ac:dyDescent="0.2">
      <c r="A578" s="851" t="s">
        <v>180</v>
      </c>
      <c r="B578" s="852" t="s">
        <v>244</v>
      </c>
      <c r="C578" s="852" t="s">
        <v>173</v>
      </c>
      <c r="D578" s="852" t="s">
        <v>209</v>
      </c>
      <c r="E578" s="852" t="s">
        <v>293</v>
      </c>
      <c r="F578" s="853">
        <v>5</v>
      </c>
    </row>
    <row r="579" spans="1:6" s="350" customFormat="1" ht="18" customHeight="1" x14ac:dyDescent="0.2">
      <c r="A579" s="851" t="s">
        <v>180</v>
      </c>
      <c r="B579" s="852" t="s">
        <v>244</v>
      </c>
      <c r="C579" s="852" t="s">
        <v>173</v>
      </c>
      <c r="D579" s="852" t="s">
        <v>210</v>
      </c>
      <c r="E579" s="852" t="s">
        <v>296</v>
      </c>
      <c r="F579" s="853">
        <v>2</v>
      </c>
    </row>
    <row r="580" spans="1:6" s="350" customFormat="1" ht="18" customHeight="1" x14ac:dyDescent="0.2">
      <c r="A580" s="851" t="s">
        <v>180</v>
      </c>
      <c r="B580" s="852" t="s">
        <v>244</v>
      </c>
      <c r="C580" s="852" t="s">
        <v>173</v>
      </c>
      <c r="D580" s="852" t="s">
        <v>210</v>
      </c>
      <c r="E580" s="852" t="s">
        <v>297</v>
      </c>
      <c r="F580" s="853">
        <v>14</v>
      </c>
    </row>
    <row r="581" spans="1:6" s="350" customFormat="1" ht="18" customHeight="1" x14ac:dyDescent="0.2">
      <c r="A581" s="851" t="s">
        <v>180</v>
      </c>
      <c r="B581" s="852" t="s">
        <v>244</v>
      </c>
      <c r="C581" s="852" t="s">
        <v>173</v>
      </c>
      <c r="D581" s="852" t="s">
        <v>210</v>
      </c>
      <c r="E581" s="852" t="s">
        <v>287</v>
      </c>
      <c r="F581" s="853">
        <v>21</v>
      </c>
    </row>
    <row r="582" spans="1:6" s="350" customFormat="1" ht="18" customHeight="1" x14ac:dyDescent="0.2">
      <c r="A582" s="851" t="s">
        <v>180</v>
      </c>
      <c r="B582" s="852" t="s">
        <v>244</v>
      </c>
      <c r="C582" s="852" t="s">
        <v>173</v>
      </c>
      <c r="D582" s="852" t="s">
        <v>210</v>
      </c>
      <c r="E582" s="852" t="s">
        <v>293</v>
      </c>
      <c r="F582" s="853">
        <v>1</v>
      </c>
    </row>
    <row r="583" spans="1:6" s="350" customFormat="1" ht="18" customHeight="1" x14ac:dyDescent="0.2">
      <c r="A583" s="851" t="s">
        <v>180</v>
      </c>
      <c r="B583" s="852" t="s">
        <v>245</v>
      </c>
      <c r="C583" s="852" t="s">
        <v>170</v>
      </c>
      <c r="D583" s="852" t="s">
        <v>734</v>
      </c>
      <c r="E583" s="852" t="s">
        <v>287</v>
      </c>
      <c r="F583" s="853">
        <v>1</v>
      </c>
    </row>
    <row r="584" spans="1:6" s="350" customFormat="1" ht="18" customHeight="1" x14ac:dyDescent="0.2">
      <c r="A584" s="851" t="s">
        <v>180</v>
      </c>
      <c r="B584" s="852" t="s">
        <v>245</v>
      </c>
      <c r="C584" s="852" t="s">
        <v>171</v>
      </c>
      <c r="D584" s="852" t="s">
        <v>734</v>
      </c>
      <c r="E584" s="852" t="s">
        <v>297</v>
      </c>
      <c r="F584" s="853">
        <v>1</v>
      </c>
    </row>
    <row r="585" spans="1:6" s="350" customFormat="1" ht="18" customHeight="1" x14ac:dyDescent="0.2">
      <c r="A585" s="851" t="s">
        <v>180</v>
      </c>
      <c r="B585" s="852" t="s">
        <v>245</v>
      </c>
      <c r="C585" s="852" t="s">
        <v>171</v>
      </c>
      <c r="D585" s="852" t="s">
        <v>734</v>
      </c>
      <c r="E585" s="852" t="s">
        <v>287</v>
      </c>
      <c r="F585" s="853">
        <v>3</v>
      </c>
    </row>
    <row r="586" spans="1:6" s="350" customFormat="1" ht="18" customHeight="1" x14ac:dyDescent="0.2">
      <c r="A586" s="851" t="s">
        <v>180</v>
      </c>
      <c r="B586" s="852" t="s">
        <v>245</v>
      </c>
      <c r="C586" s="852" t="s">
        <v>171</v>
      </c>
      <c r="D586" s="852" t="s">
        <v>209</v>
      </c>
      <c r="E586" s="852" t="s">
        <v>297</v>
      </c>
      <c r="F586" s="853">
        <v>1</v>
      </c>
    </row>
    <row r="587" spans="1:6" s="350" customFormat="1" ht="18" customHeight="1" x14ac:dyDescent="0.2">
      <c r="A587" s="851" t="s">
        <v>180</v>
      </c>
      <c r="B587" s="852" t="s">
        <v>245</v>
      </c>
      <c r="C587" s="852" t="s">
        <v>171</v>
      </c>
      <c r="D587" s="852" t="s">
        <v>209</v>
      </c>
      <c r="E587" s="852" t="s">
        <v>287</v>
      </c>
      <c r="F587" s="853">
        <v>2</v>
      </c>
    </row>
    <row r="588" spans="1:6" s="350" customFormat="1" ht="18" customHeight="1" x14ac:dyDescent="0.2">
      <c r="A588" s="851" t="s">
        <v>180</v>
      </c>
      <c r="B588" s="852" t="s">
        <v>245</v>
      </c>
      <c r="C588" s="852" t="s">
        <v>171</v>
      </c>
      <c r="D588" s="852" t="s">
        <v>210</v>
      </c>
      <c r="E588" s="852" t="s">
        <v>287</v>
      </c>
      <c r="F588" s="853">
        <v>1</v>
      </c>
    </row>
    <row r="589" spans="1:6" s="350" customFormat="1" ht="18" customHeight="1" x14ac:dyDescent="0.2">
      <c r="A589" s="851" t="s">
        <v>180</v>
      </c>
      <c r="B589" s="852" t="s">
        <v>245</v>
      </c>
      <c r="C589" s="852" t="s">
        <v>173</v>
      </c>
      <c r="D589" s="852" t="s">
        <v>734</v>
      </c>
      <c r="E589" s="852" t="s">
        <v>296</v>
      </c>
      <c r="F589" s="853">
        <v>1</v>
      </c>
    </row>
    <row r="590" spans="1:6" s="350" customFormat="1" ht="18" customHeight="1" x14ac:dyDescent="0.2">
      <c r="A590" s="851" t="s">
        <v>180</v>
      </c>
      <c r="B590" s="852" t="s">
        <v>245</v>
      </c>
      <c r="C590" s="852" t="s">
        <v>173</v>
      </c>
      <c r="D590" s="852" t="s">
        <v>734</v>
      </c>
      <c r="E590" s="852" t="s">
        <v>297</v>
      </c>
      <c r="F590" s="853">
        <v>11</v>
      </c>
    </row>
    <row r="591" spans="1:6" s="350" customFormat="1" ht="18" customHeight="1" x14ac:dyDescent="0.2">
      <c r="A591" s="851" t="s">
        <v>180</v>
      </c>
      <c r="B591" s="852" t="s">
        <v>245</v>
      </c>
      <c r="C591" s="852" t="s">
        <v>173</v>
      </c>
      <c r="D591" s="852" t="s">
        <v>734</v>
      </c>
      <c r="E591" s="852" t="s">
        <v>287</v>
      </c>
      <c r="F591" s="853">
        <v>19</v>
      </c>
    </row>
    <row r="592" spans="1:6" s="350" customFormat="1" ht="18" customHeight="1" x14ac:dyDescent="0.2">
      <c r="A592" s="851" t="s">
        <v>180</v>
      </c>
      <c r="B592" s="852" t="s">
        <v>245</v>
      </c>
      <c r="C592" s="852" t="s">
        <v>173</v>
      </c>
      <c r="D592" s="852" t="s">
        <v>734</v>
      </c>
      <c r="E592" s="852" t="s">
        <v>293</v>
      </c>
      <c r="F592" s="853">
        <v>8</v>
      </c>
    </row>
    <row r="593" spans="1:6" s="350" customFormat="1" ht="18" customHeight="1" x14ac:dyDescent="0.2">
      <c r="A593" s="851" t="s">
        <v>180</v>
      </c>
      <c r="B593" s="852" t="s">
        <v>245</v>
      </c>
      <c r="C593" s="852" t="s">
        <v>173</v>
      </c>
      <c r="D593" s="852" t="s">
        <v>209</v>
      </c>
      <c r="E593" s="852" t="s">
        <v>297</v>
      </c>
      <c r="F593" s="853">
        <v>2</v>
      </c>
    </row>
    <row r="594" spans="1:6" s="350" customFormat="1" ht="18" customHeight="1" x14ac:dyDescent="0.2">
      <c r="A594" s="851" t="s">
        <v>180</v>
      </c>
      <c r="B594" s="852" t="s">
        <v>245</v>
      </c>
      <c r="C594" s="852" t="s">
        <v>173</v>
      </c>
      <c r="D594" s="852" t="s">
        <v>209</v>
      </c>
      <c r="E594" s="852" t="s">
        <v>287</v>
      </c>
      <c r="F594" s="853">
        <v>2</v>
      </c>
    </row>
    <row r="595" spans="1:6" s="350" customFormat="1" ht="18" customHeight="1" x14ac:dyDescent="0.2">
      <c r="A595" s="851" t="s">
        <v>180</v>
      </c>
      <c r="B595" s="852" t="s">
        <v>245</v>
      </c>
      <c r="C595" s="852" t="s">
        <v>173</v>
      </c>
      <c r="D595" s="852" t="s">
        <v>210</v>
      </c>
      <c r="E595" s="852" t="s">
        <v>294</v>
      </c>
      <c r="F595" s="853">
        <v>1</v>
      </c>
    </row>
    <row r="596" spans="1:6" s="350" customFormat="1" ht="18" customHeight="1" x14ac:dyDescent="0.2">
      <c r="A596" s="851" t="s">
        <v>180</v>
      </c>
      <c r="B596" s="852" t="s">
        <v>245</v>
      </c>
      <c r="C596" s="852" t="s">
        <v>173</v>
      </c>
      <c r="D596" s="852" t="s">
        <v>210</v>
      </c>
      <c r="E596" s="852" t="s">
        <v>287</v>
      </c>
      <c r="F596" s="853">
        <v>1</v>
      </c>
    </row>
    <row r="597" spans="1:6" s="350" customFormat="1" ht="18" customHeight="1" x14ac:dyDescent="0.2">
      <c r="A597" s="851" t="s">
        <v>180</v>
      </c>
      <c r="B597" s="852" t="s">
        <v>245</v>
      </c>
      <c r="C597" s="852" t="s">
        <v>173</v>
      </c>
      <c r="D597" s="852" t="s">
        <v>210</v>
      </c>
      <c r="E597" s="852" t="s">
        <v>293</v>
      </c>
      <c r="F597" s="853">
        <v>1</v>
      </c>
    </row>
    <row r="598" spans="1:6" s="350" customFormat="1" ht="18" customHeight="1" x14ac:dyDescent="0.2">
      <c r="A598" s="851" t="s">
        <v>180</v>
      </c>
      <c r="B598" s="852" t="s">
        <v>246</v>
      </c>
      <c r="C598" s="852" t="s">
        <v>170</v>
      </c>
      <c r="D598" s="852" t="s">
        <v>734</v>
      </c>
      <c r="E598" s="852" t="s">
        <v>289</v>
      </c>
      <c r="F598" s="853">
        <v>7131</v>
      </c>
    </row>
    <row r="599" spans="1:6" s="350" customFormat="1" ht="18" customHeight="1" x14ac:dyDescent="0.2">
      <c r="A599" s="851" t="s">
        <v>180</v>
      </c>
      <c r="B599" s="852" t="s">
        <v>246</v>
      </c>
      <c r="C599" s="852" t="s">
        <v>171</v>
      </c>
      <c r="D599" s="852" t="s">
        <v>734</v>
      </c>
      <c r="E599" s="852" t="s">
        <v>289</v>
      </c>
      <c r="F599" s="853">
        <v>15096</v>
      </c>
    </row>
    <row r="600" spans="1:6" s="350" customFormat="1" ht="18" customHeight="1" x14ac:dyDescent="0.2">
      <c r="A600" s="851" t="s">
        <v>180</v>
      </c>
      <c r="B600" s="852" t="s">
        <v>246</v>
      </c>
      <c r="C600" s="852" t="s">
        <v>171</v>
      </c>
      <c r="D600" s="852" t="s">
        <v>209</v>
      </c>
      <c r="E600" s="852" t="s">
        <v>289</v>
      </c>
      <c r="F600" s="853">
        <v>6654</v>
      </c>
    </row>
    <row r="601" spans="1:6" s="350" customFormat="1" ht="18" customHeight="1" x14ac:dyDescent="0.2">
      <c r="A601" s="851" t="s">
        <v>180</v>
      </c>
      <c r="B601" s="852" t="s">
        <v>246</v>
      </c>
      <c r="C601" s="852" t="s">
        <v>171</v>
      </c>
      <c r="D601" s="852" t="s">
        <v>209</v>
      </c>
      <c r="E601" s="852" t="s">
        <v>287</v>
      </c>
      <c r="F601" s="853">
        <v>12</v>
      </c>
    </row>
    <row r="602" spans="1:6" s="350" customFormat="1" ht="18" customHeight="1" x14ac:dyDescent="0.2">
      <c r="A602" s="851" t="s">
        <v>180</v>
      </c>
      <c r="B602" s="852" t="s">
        <v>246</v>
      </c>
      <c r="C602" s="852" t="s">
        <v>171</v>
      </c>
      <c r="D602" s="852" t="s">
        <v>210</v>
      </c>
      <c r="E602" s="852" t="s">
        <v>289</v>
      </c>
      <c r="F602" s="853">
        <v>13128</v>
      </c>
    </row>
    <row r="603" spans="1:6" s="350" customFormat="1" ht="18" customHeight="1" x14ac:dyDescent="0.2">
      <c r="A603" s="851" t="s">
        <v>180</v>
      </c>
      <c r="B603" s="852" t="s">
        <v>246</v>
      </c>
      <c r="C603" s="852" t="s">
        <v>173</v>
      </c>
      <c r="D603" s="852" t="s">
        <v>734</v>
      </c>
      <c r="E603" s="852" t="s">
        <v>289</v>
      </c>
      <c r="F603" s="853">
        <v>10146</v>
      </c>
    </row>
    <row r="604" spans="1:6" s="350" customFormat="1" ht="18" customHeight="1" x14ac:dyDescent="0.2">
      <c r="A604" s="851" t="s">
        <v>180</v>
      </c>
      <c r="B604" s="852" t="s">
        <v>246</v>
      </c>
      <c r="C604" s="852" t="s">
        <v>173</v>
      </c>
      <c r="D604" s="852" t="s">
        <v>734</v>
      </c>
      <c r="E604" s="852" t="s">
        <v>287</v>
      </c>
      <c r="F604" s="853">
        <v>3</v>
      </c>
    </row>
    <row r="605" spans="1:6" s="350" customFormat="1" ht="18" customHeight="1" x14ac:dyDescent="0.2">
      <c r="A605" s="851" t="s">
        <v>180</v>
      </c>
      <c r="B605" s="852" t="s">
        <v>246</v>
      </c>
      <c r="C605" s="852" t="s">
        <v>173</v>
      </c>
      <c r="D605" s="852" t="s">
        <v>209</v>
      </c>
      <c r="E605" s="852" t="s">
        <v>289</v>
      </c>
      <c r="F605" s="853">
        <v>924</v>
      </c>
    </row>
    <row r="606" spans="1:6" s="350" customFormat="1" ht="18" customHeight="1" x14ac:dyDescent="0.2">
      <c r="A606" s="851" t="s">
        <v>180</v>
      </c>
      <c r="B606" s="852" t="s">
        <v>246</v>
      </c>
      <c r="C606" s="852" t="s">
        <v>173</v>
      </c>
      <c r="D606" s="852" t="s">
        <v>210</v>
      </c>
      <c r="E606" s="852" t="s">
        <v>289</v>
      </c>
      <c r="F606" s="853">
        <v>3285</v>
      </c>
    </row>
    <row r="607" spans="1:6" s="350" customFormat="1" ht="18" customHeight="1" x14ac:dyDescent="0.2">
      <c r="A607" s="851" t="s">
        <v>180</v>
      </c>
      <c r="B607" s="852" t="s">
        <v>143</v>
      </c>
      <c r="C607" s="852" t="s">
        <v>171</v>
      </c>
      <c r="D607" s="852" t="s">
        <v>734</v>
      </c>
      <c r="E607" s="852" t="s">
        <v>297</v>
      </c>
      <c r="F607" s="853">
        <v>3</v>
      </c>
    </row>
    <row r="608" spans="1:6" s="350" customFormat="1" ht="18" customHeight="1" x14ac:dyDescent="0.2">
      <c r="A608" s="851" t="s">
        <v>180</v>
      </c>
      <c r="B608" s="852" t="s">
        <v>143</v>
      </c>
      <c r="C608" s="852" t="s">
        <v>171</v>
      </c>
      <c r="D608" s="852" t="s">
        <v>734</v>
      </c>
      <c r="E608" s="852" t="s">
        <v>287</v>
      </c>
      <c r="F608" s="853">
        <v>1</v>
      </c>
    </row>
    <row r="609" spans="1:6" s="350" customFormat="1" ht="18" customHeight="1" x14ac:dyDescent="0.2">
      <c r="A609" s="851" t="s">
        <v>180</v>
      </c>
      <c r="B609" s="852" t="s">
        <v>143</v>
      </c>
      <c r="C609" s="852" t="s">
        <v>173</v>
      </c>
      <c r="D609" s="852" t="s">
        <v>734</v>
      </c>
      <c r="E609" s="852" t="s">
        <v>297</v>
      </c>
      <c r="F609" s="853">
        <v>1</v>
      </c>
    </row>
    <row r="610" spans="1:6" s="350" customFormat="1" ht="18" customHeight="1" x14ac:dyDescent="0.2">
      <c r="A610" s="851" t="s">
        <v>180</v>
      </c>
      <c r="B610" s="852" t="s">
        <v>143</v>
      </c>
      <c r="C610" s="852" t="s">
        <v>173</v>
      </c>
      <c r="D610" s="852" t="s">
        <v>734</v>
      </c>
      <c r="E610" s="852" t="s">
        <v>287</v>
      </c>
      <c r="F610" s="853">
        <v>8</v>
      </c>
    </row>
    <row r="611" spans="1:6" s="350" customFormat="1" ht="18" customHeight="1" x14ac:dyDescent="0.2">
      <c r="A611" s="851" t="s">
        <v>180</v>
      </c>
      <c r="B611" s="852" t="s">
        <v>143</v>
      </c>
      <c r="C611" s="852" t="s">
        <v>173</v>
      </c>
      <c r="D611" s="852" t="s">
        <v>210</v>
      </c>
      <c r="E611" s="852" t="s">
        <v>287</v>
      </c>
      <c r="F611" s="853">
        <v>1</v>
      </c>
    </row>
    <row r="612" spans="1:6" s="350" customFormat="1" ht="18" customHeight="1" x14ac:dyDescent="0.2">
      <c r="A612" s="851" t="s">
        <v>181</v>
      </c>
      <c r="B612" s="852" t="s">
        <v>242</v>
      </c>
      <c r="C612" s="852" t="s">
        <v>169</v>
      </c>
      <c r="D612" s="852" t="s">
        <v>734</v>
      </c>
      <c r="E612" s="852" t="s">
        <v>289</v>
      </c>
      <c r="F612" s="853">
        <v>123</v>
      </c>
    </row>
    <row r="613" spans="1:6" s="350" customFormat="1" ht="18" customHeight="1" x14ac:dyDescent="0.2">
      <c r="A613" s="851" t="s">
        <v>181</v>
      </c>
      <c r="B613" s="852" t="s">
        <v>242</v>
      </c>
      <c r="C613" s="852" t="s">
        <v>170</v>
      </c>
      <c r="D613" s="852" t="s">
        <v>734</v>
      </c>
      <c r="E613" s="852" t="s">
        <v>289</v>
      </c>
      <c r="F613" s="853">
        <v>225</v>
      </c>
    </row>
    <row r="614" spans="1:6" s="350" customFormat="1" ht="18" customHeight="1" x14ac:dyDescent="0.2">
      <c r="A614" s="851" t="s">
        <v>181</v>
      </c>
      <c r="B614" s="852" t="s">
        <v>242</v>
      </c>
      <c r="C614" s="852" t="s">
        <v>171</v>
      </c>
      <c r="D614" s="852" t="s">
        <v>734</v>
      </c>
      <c r="E614" s="852" t="s">
        <v>289</v>
      </c>
      <c r="F614" s="853">
        <v>819</v>
      </c>
    </row>
    <row r="615" spans="1:6" s="350" customFormat="1" ht="18" customHeight="1" x14ac:dyDescent="0.2">
      <c r="A615" s="851" t="s">
        <v>181</v>
      </c>
      <c r="B615" s="852" t="s">
        <v>242</v>
      </c>
      <c r="C615" s="852" t="s">
        <v>171</v>
      </c>
      <c r="D615" s="852" t="s">
        <v>734</v>
      </c>
      <c r="E615" s="852" t="s">
        <v>287</v>
      </c>
      <c r="F615" s="853">
        <v>3</v>
      </c>
    </row>
    <row r="616" spans="1:6" s="350" customFormat="1" ht="18" customHeight="1" x14ac:dyDescent="0.2">
      <c r="A616" s="851" t="s">
        <v>181</v>
      </c>
      <c r="B616" s="852" t="s">
        <v>242</v>
      </c>
      <c r="C616" s="852" t="s">
        <v>171</v>
      </c>
      <c r="D616" s="852" t="s">
        <v>211</v>
      </c>
      <c r="E616" s="852" t="s">
        <v>289</v>
      </c>
      <c r="F616" s="853">
        <v>282</v>
      </c>
    </row>
    <row r="617" spans="1:6" s="350" customFormat="1" ht="18" customHeight="1" x14ac:dyDescent="0.2">
      <c r="A617" s="851" t="s">
        <v>181</v>
      </c>
      <c r="B617" s="852" t="s">
        <v>242</v>
      </c>
      <c r="C617" s="852" t="s">
        <v>173</v>
      </c>
      <c r="D617" s="852" t="s">
        <v>734</v>
      </c>
      <c r="E617" s="852" t="s">
        <v>289</v>
      </c>
      <c r="F617" s="853">
        <v>96</v>
      </c>
    </row>
    <row r="618" spans="1:6" s="350" customFormat="1" ht="18" customHeight="1" x14ac:dyDescent="0.2">
      <c r="A618" s="851" t="s">
        <v>181</v>
      </c>
      <c r="B618" s="852" t="s">
        <v>242</v>
      </c>
      <c r="C618" s="852" t="s">
        <v>173</v>
      </c>
      <c r="D618" s="852" t="s">
        <v>211</v>
      </c>
      <c r="E618" s="852" t="s">
        <v>289</v>
      </c>
      <c r="F618" s="853">
        <v>69</v>
      </c>
    </row>
    <row r="619" spans="1:6" s="350" customFormat="1" ht="18" customHeight="1" x14ac:dyDescent="0.2">
      <c r="A619" s="851" t="s">
        <v>181</v>
      </c>
      <c r="B619" s="852" t="s">
        <v>243</v>
      </c>
      <c r="C619" s="852" t="s">
        <v>169</v>
      </c>
      <c r="D619" s="852" t="s">
        <v>734</v>
      </c>
      <c r="E619" s="852" t="s">
        <v>287</v>
      </c>
      <c r="F619" s="853">
        <v>6</v>
      </c>
    </row>
    <row r="620" spans="1:6" s="350" customFormat="1" ht="18" customHeight="1" x14ac:dyDescent="0.2">
      <c r="A620" s="851" t="s">
        <v>181</v>
      </c>
      <c r="B620" s="852" t="s">
        <v>243</v>
      </c>
      <c r="C620" s="852" t="s">
        <v>170</v>
      </c>
      <c r="D620" s="852" t="s">
        <v>734</v>
      </c>
      <c r="E620" s="852" t="s">
        <v>289</v>
      </c>
      <c r="F620" s="853">
        <v>39</v>
      </c>
    </row>
    <row r="621" spans="1:6" s="350" customFormat="1" ht="18" customHeight="1" x14ac:dyDescent="0.2">
      <c r="A621" s="851" t="s">
        <v>181</v>
      </c>
      <c r="B621" s="852" t="s">
        <v>243</v>
      </c>
      <c r="C621" s="852" t="s">
        <v>171</v>
      </c>
      <c r="D621" s="852" t="s">
        <v>734</v>
      </c>
      <c r="E621" s="852" t="s">
        <v>296</v>
      </c>
      <c r="F621" s="853">
        <v>2</v>
      </c>
    </row>
    <row r="622" spans="1:6" s="350" customFormat="1" ht="18" customHeight="1" x14ac:dyDescent="0.2">
      <c r="A622" s="851" t="s">
        <v>181</v>
      </c>
      <c r="B622" s="852" t="s">
        <v>243</v>
      </c>
      <c r="C622" s="852" t="s">
        <v>171</v>
      </c>
      <c r="D622" s="852" t="s">
        <v>734</v>
      </c>
      <c r="E622" s="852" t="s">
        <v>289</v>
      </c>
      <c r="F622" s="853">
        <v>30</v>
      </c>
    </row>
    <row r="623" spans="1:6" s="350" customFormat="1" ht="18" customHeight="1" x14ac:dyDescent="0.2">
      <c r="A623" s="851" t="s">
        <v>181</v>
      </c>
      <c r="B623" s="852" t="s">
        <v>243</v>
      </c>
      <c r="C623" s="852" t="s">
        <v>171</v>
      </c>
      <c r="D623" s="852" t="s">
        <v>734</v>
      </c>
      <c r="E623" s="852" t="s">
        <v>293</v>
      </c>
      <c r="F623" s="853">
        <v>8</v>
      </c>
    </row>
    <row r="624" spans="1:6" s="350" customFormat="1" ht="18" customHeight="1" x14ac:dyDescent="0.2">
      <c r="A624" s="851" t="s">
        <v>181</v>
      </c>
      <c r="B624" s="852" t="s">
        <v>243</v>
      </c>
      <c r="C624" s="852" t="s">
        <v>171</v>
      </c>
      <c r="D624" s="852" t="s">
        <v>211</v>
      </c>
      <c r="E624" s="852" t="s">
        <v>289</v>
      </c>
      <c r="F624" s="853">
        <v>3</v>
      </c>
    </row>
    <row r="625" spans="1:6" s="350" customFormat="1" ht="18" customHeight="1" x14ac:dyDescent="0.2">
      <c r="A625" s="851" t="s">
        <v>181</v>
      </c>
      <c r="B625" s="852" t="s">
        <v>243</v>
      </c>
      <c r="C625" s="852" t="s">
        <v>171</v>
      </c>
      <c r="D625" s="852" t="s">
        <v>211</v>
      </c>
      <c r="E625" s="852" t="s">
        <v>293</v>
      </c>
      <c r="F625" s="853">
        <v>4</v>
      </c>
    </row>
    <row r="626" spans="1:6" s="350" customFormat="1" ht="18" customHeight="1" x14ac:dyDescent="0.2">
      <c r="A626" s="851" t="s">
        <v>181</v>
      </c>
      <c r="B626" s="852" t="s">
        <v>243</v>
      </c>
      <c r="C626" s="852" t="s">
        <v>173</v>
      </c>
      <c r="D626" s="852" t="s">
        <v>734</v>
      </c>
      <c r="E626" s="852" t="s">
        <v>289</v>
      </c>
      <c r="F626" s="853">
        <v>246</v>
      </c>
    </row>
    <row r="627" spans="1:6" s="350" customFormat="1" ht="18" customHeight="1" x14ac:dyDescent="0.2">
      <c r="A627" s="851" t="s">
        <v>181</v>
      </c>
      <c r="B627" s="852" t="s">
        <v>244</v>
      </c>
      <c r="C627" s="852" t="s">
        <v>169</v>
      </c>
      <c r="D627" s="852" t="s">
        <v>734</v>
      </c>
      <c r="E627" s="852" t="s">
        <v>294</v>
      </c>
      <c r="F627" s="853">
        <v>1</v>
      </c>
    </row>
    <row r="628" spans="1:6" s="350" customFormat="1" ht="18" customHeight="1" x14ac:dyDescent="0.2">
      <c r="A628" s="851" t="s">
        <v>181</v>
      </c>
      <c r="B628" s="852" t="s">
        <v>244</v>
      </c>
      <c r="C628" s="852" t="s">
        <v>169</v>
      </c>
      <c r="D628" s="852" t="s">
        <v>734</v>
      </c>
      <c r="E628" s="852" t="s">
        <v>296</v>
      </c>
      <c r="F628" s="853">
        <v>6</v>
      </c>
    </row>
    <row r="629" spans="1:6" s="350" customFormat="1" ht="18" customHeight="1" x14ac:dyDescent="0.2">
      <c r="A629" s="851" t="s">
        <v>181</v>
      </c>
      <c r="B629" s="852" t="s">
        <v>244</v>
      </c>
      <c r="C629" s="852" t="s">
        <v>169</v>
      </c>
      <c r="D629" s="852" t="s">
        <v>734</v>
      </c>
      <c r="E629" s="852" t="s">
        <v>297</v>
      </c>
      <c r="F629" s="853">
        <v>88</v>
      </c>
    </row>
    <row r="630" spans="1:6" s="350" customFormat="1" ht="18" customHeight="1" x14ac:dyDescent="0.2">
      <c r="A630" s="851" t="s">
        <v>181</v>
      </c>
      <c r="B630" s="852" t="s">
        <v>244</v>
      </c>
      <c r="C630" s="852" t="s">
        <v>169</v>
      </c>
      <c r="D630" s="852" t="s">
        <v>734</v>
      </c>
      <c r="E630" s="852" t="s">
        <v>287</v>
      </c>
      <c r="F630" s="853">
        <v>200</v>
      </c>
    </row>
    <row r="631" spans="1:6" s="350" customFormat="1" ht="18" customHeight="1" x14ac:dyDescent="0.2">
      <c r="A631" s="851" t="s">
        <v>181</v>
      </c>
      <c r="B631" s="852" t="s">
        <v>244</v>
      </c>
      <c r="C631" s="852" t="s">
        <v>169</v>
      </c>
      <c r="D631" s="852" t="s">
        <v>734</v>
      </c>
      <c r="E631" s="852" t="s">
        <v>293</v>
      </c>
      <c r="F631" s="853">
        <v>14</v>
      </c>
    </row>
    <row r="632" spans="1:6" s="350" customFormat="1" ht="18" customHeight="1" x14ac:dyDescent="0.2">
      <c r="A632" s="851" t="s">
        <v>181</v>
      </c>
      <c r="B632" s="852" t="s">
        <v>244</v>
      </c>
      <c r="C632" s="852" t="s">
        <v>170</v>
      </c>
      <c r="D632" s="852" t="s">
        <v>734</v>
      </c>
      <c r="E632" s="852" t="s">
        <v>297</v>
      </c>
      <c r="F632" s="853">
        <v>19</v>
      </c>
    </row>
    <row r="633" spans="1:6" s="350" customFormat="1" ht="18" customHeight="1" x14ac:dyDescent="0.2">
      <c r="A633" s="851" t="s">
        <v>181</v>
      </c>
      <c r="B633" s="852" t="s">
        <v>244</v>
      </c>
      <c r="C633" s="852" t="s">
        <v>170</v>
      </c>
      <c r="D633" s="852" t="s">
        <v>734</v>
      </c>
      <c r="E633" s="852" t="s">
        <v>287</v>
      </c>
      <c r="F633" s="853">
        <v>31</v>
      </c>
    </row>
    <row r="634" spans="1:6" s="350" customFormat="1" ht="18" customHeight="1" x14ac:dyDescent="0.2">
      <c r="A634" s="851" t="s">
        <v>181</v>
      </c>
      <c r="B634" s="852" t="s">
        <v>244</v>
      </c>
      <c r="C634" s="852" t="s">
        <v>170</v>
      </c>
      <c r="D634" s="852" t="s">
        <v>734</v>
      </c>
      <c r="E634" s="852" t="s">
        <v>293</v>
      </c>
      <c r="F634" s="853">
        <v>1</v>
      </c>
    </row>
    <row r="635" spans="1:6" s="350" customFormat="1" ht="18" customHeight="1" x14ac:dyDescent="0.2">
      <c r="A635" s="851" t="s">
        <v>181</v>
      </c>
      <c r="B635" s="852" t="s">
        <v>244</v>
      </c>
      <c r="C635" s="852" t="s">
        <v>171</v>
      </c>
      <c r="D635" s="852" t="s">
        <v>734</v>
      </c>
      <c r="E635" s="852" t="s">
        <v>296</v>
      </c>
      <c r="F635" s="853">
        <v>5</v>
      </c>
    </row>
    <row r="636" spans="1:6" s="350" customFormat="1" ht="18" customHeight="1" x14ac:dyDescent="0.2">
      <c r="A636" s="851" t="s">
        <v>181</v>
      </c>
      <c r="B636" s="852" t="s">
        <v>244</v>
      </c>
      <c r="C636" s="852" t="s">
        <v>171</v>
      </c>
      <c r="D636" s="852" t="s">
        <v>734</v>
      </c>
      <c r="E636" s="852" t="s">
        <v>297</v>
      </c>
      <c r="F636" s="853">
        <v>245</v>
      </c>
    </row>
    <row r="637" spans="1:6" s="350" customFormat="1" ht="18" customHeight="1" x14ac:dyDescent="0.2">
      <c r="A637" s="851" t="s">
        <v>181</v>
      </c>
      <c r="B637" s="852" t="s">
        <v>244</v>
      </c>
      <c r="C637" s="852" t="s">
        <v>171</v>
      </c>
      <c r="D637" s="852" t="s">
        <v>734</v>
      </c>
      <c r="E637" s="852" t="s">
        <v>287</v>
      </c>
      <c r="F637" s="853">
        <v>165</v>
      </c>
    </row>
    <row r="638" spans="1:6" s="350" customFormat="1" ht="18" customHeight="1" x14ac:dyDescent="0.2">
      <c r="A638" s="851" t="s">
        <v>181</v>
      </c>
      <c r="B638" s="852" t="s">
        <v>244</v>
      </c>
      <c r="C638" s="852" t="s">
        <v>171</v>
      </c>
      <c r="D638" s="852" t="s">
        <v>734</v>
      </c>
      <c r="E638" s="852" t="s">
        <v>293</v>
      </c>
      <c r="F638" s="853">
        <v>7</v>
      </c>
    </row>
    <row r="639" spans="1:6" s="350" customFormat="1" ht="18" customHeight="1" x14ac:dyDescent="0.2">
      <c r="A639" s="851" t="s">
        <v>181</v>
      </c>
      <c r="B639" s="852" t="s">
        <v>244</v>
      </c>
      <c r="C639" s="852" t="s">
        <v>171</v>
      </c>
      <c r="D639" s="852" t="s">
        <v>211</v>
      </c>
      <c r="E639" s="852" t="s">
        <v>297</v>
      </c>
      <c r="F639" s="853">
        <v>68</v>
      </c>
    </row>
    <row r="640" spans="1:6" s="350" customFormat="1" ht="18" customHeight="1" x14ac:dyDescent="0.2">
      <c r="A640" s="851" t="s">
        <v>181</v>
      </c>
      <c r="B640" s="852" t="s">
        <v>244</v>
      </c>
      <c r="C640" s="852" t="s">
        <v>171</v>
      </c>
      <c r="D640" s="852" t="s">
        <v>211</v>
      </c>
      <c r="E640" s="852" t="s">
        <v>287</v>
      </c>
      <c r="F640" s="853">
        <v>36</v>
      </c>
    </row>
    <row r="641" spans="1:6" s="350" customFormat="1" ht="18" customHeight="1" x14ac:dyDescent="0.2">
      <c r="A641" s="851" t="s">
        <v>181</v>
      </c>
      <c r="B641" s="852" t="s">
        <v>244</v>
      </c>
      <c r="C641" s="852" t="s">
        <v>173</v>
      </c>
      <c r="D641" s="852" t="s">
        <v>734</v>
      </c>
      <c r="E641" s="852" t="s">
        <v>294</v>
      </c>
      <c r="F641" s="853">
        <v>2</v>
      </c>
    </row>
    <row r="642" spans="1:6" s="350" customFormat="1" ht="18" customHeight="1" x14ac:dyDescent="0.2">
      <c r="A642" s="851" t="s">
        <v>181</v>
      </c>
      <c r="B642" s="852" t="s">
        <v>244</v>
      </c>
      <c r="C642" s="852" t="s">
        <v>173</v>
      </c>
      <c r="D642" s="852" t="s">
        <v>734</v>
      </c>
      <c r="E642" s="852" t="s">
        <v>296</v>
      </c>
      <c r="F642" s="853">
        <v>4</v>
      </c>
    </row>
    <row r="643" spans="1:6" s="350" customFormat="1" ht="18" customHeight="1" x14ac:dyDescent="0.2">
      <c r="A643" s="851" t="s">
        <v>181</v>
      </c>
      <c r="B643" s="852" t="s">
        <v>244</v>
      </c>
      <c r="C643" s="852" t="s">
        <v>173</v>
      </c>
      <c r="D643" s="852" t="s">
        <v>734</v>
      </c>
      <c r="E643" s="852" t="s">
        <v>297</v>
      </c>
      <c r="F643" s="853">
        <v>23</v>
      </c>
    </row>
    <row r="644" spans="1:6" s="350" customFormat="1" ht="18" customHeight="1" x14ac:dyDescent="0.2">
      <c r="A644" s="851" t="s">
        <v>181</v>
      </c>
      <c r="B644" s="852" t="s">
        <v>244</v>
      </c>
      <c r="C644" s="852" t="s">
        <v>173</v>
      </c>
      <c r="D644" s="852" t="s">
        <v>734</v>
      </c>
      <c r="E644" s="852" t="s">
        <v>287</v>
      </c>
      <c r="F644" s="853">
        <v>31</v>
      </c>
    </row>
    <row r="645" spans="1:6" s="350" customFormat="1" ht="18" customHeight="1" x14ac:dyDescent="0.2">
      <c r="A645" s="851" t="s">
        <v>181</v>
      </c>
      <c r="B645" s="852" t="s">
        <v>244</v>
      </c>
      <c r="C645" s="852" t="s">
        <v>173</v>
      </c>
      <c r="D645" s="852" t="s">
        <v>734</v>
      </c>
      <c r="E645" s="852" t="s">
        <v>293</v>
      </c>
      <c r="F645" s="853">
        <v>11</v>
      </c>
    </row>
    <row r="646" spans="1:6" s="350" customFormat="1" ht="18" customHeight="1" x14ac:dyDescent="0.2">
      <c r="A646" s="851" t="s">
        <v>181</v>
      </c>
      <c r="B646" s="852" t="s">
        <v>244</v>
      </c>
      <c r="C646" s="852" t="s">
        <v>173</v>
      </c>
      <c r="D646" s="852" t="s">
        <v>211</v>
      </c>
      <c r="E646" s="852" t="s">
        <v>296</v>
      </c>
      <c r="F646" s="853">
        <v>1</v>
      </c>
    </row>
    <row r="647" spans="1:6" s="350" customFormat="1" ht="18" customHeight="1" x14ac:dyDescent="0.2">
      <c r="A647" s="851" t="s">
        <v>181</v>
      </c>
      <c r="B647" s="852" t="s">
        <v>244</v>
      </c>
      <c r="C647" s="852" t="s">
        <v>173</v>
      </c>
      <c r="D647" s="852" t="s">
        <v>211</v>
      </c>
      <c r="E647" s="852" t="s">
        <v>297</v>
      </c>
      <c r="F647" s="853">
        <v>10</v>
      </c>
    </row>
    <row r="648" spans="1:6" s="350" customFormat="1" ht="18" customHeight="1" x14ac:dyDescent="0.2">
      <c r="A648" s="851" t="s">
        <v>181</v>
      </c>
      <c r="B648" s="852" t="s">
        <v>244</v>
      </c>
      <c r="C648" s="852" t="s">
        <v>173</v>
      </c>
      <c r="D648" s="852" t="s">
        <v>211</v>
      </c>
      <c r="E648" s="852" t="s">
        <v>287</v>
      </c>
      <c r="F648" s="853">
        <v>10</v>
      </c>
    </row>
    <row r="649" spans="1:6" s="350" customFormat="1" ht="18" customHeight="1" x14ac:dyDescent="0.2">
      <c r="A649" s="851" t="s">
        <v>181</v>
      </c>
      <c r="B649" s="852" t="s">
        <v>245</v>
      </c>
      <c r="C649" s="852" t="s">
        <v>169</v>
      </c>
      <c r="D649" s="852" t="s">
        <v>734</v>
      </c>
      <c r="E649" s="852" t="s">
        <v>297</v>
      </c>
      <c r="F649" s="853">
        <v>11</v>
      </c>
    </row>
    <row r="650" spans="1:6" s="350" customFormat="1" ht="18" customHeight="1" x14ac:dyDescent="0.2">
      <c r="A650" s="851" t="s">
        <v>181</v>
      </c>
      <c r="B650" s="852" t="s">
        <v>245</v>
      </c>
      <c r="C650" s="852" t="s">
        <v>169</v>
      </c>
      <c r="D650" s="852" t="s">
        <v>734</v>
      </c>
      <c r="E650" s="852" t="s">
        <v>287</v>
      </c>
      <c r="F650" s="853">
        <v>13</v>
      </c>
    </row>
    <row r="651" spans="1:6" s="350" customFormat="1" ht="18" customHeight="1" x14ac:dyDescent="0.2">
      <c r="A651" s="851" t="s">
        <v>181</v>
      </c>
      <c r="B651" s="852" t="s">
        <v>245</v>
      </c>
      <c r="C651" s="852" t="s">
        <v>170</v>
      </c>
      <c r="D651" s="852" t="s">
        <v>734</v>
      </c>
      <c r="E651" s="852" t="s">
        <v>297</v>
      </c>
      <c r="F651" s="853">
        <v>2</v>
      </c>
    </row>
    <row r="652" spans="1:6" s="350" customFormat="1" ht="18" customHeight="1" x14ac:dyDescent="0.2">
      <c r="A652" s="851" t="s">
        <v>181</v>
      </c>
      <c r="B652" s="852" t="s">
        <v>245</v>
      </c>
      <c r="C652" s="852" t="s">
        <v>171</v>
      </c>
      <c r="D652" s="852" t="s">
        <v>734</v>
      </c>
      <c r="E652" s="852" t="s">
        <v>294</v>
      </c>
      <c r="F652" s="853">
        <v>1</v>
      </c>
    </row>
    <row r="653" spans="1:6" s="350" customFormat="1" ht="18" customHeight="1" x14ac:dyDescent="0.2">
      <c r="A653" s="851" t="s">
        <v>181</v>
      </c>
      <c r="B653" s="852" t="s">
        <v>245</v>
      </c>
      <c r="C653" s="852" t="s">
        <v>171</v>
      </c>
      <c r="D653" s="852" t="s">
        <v>734</v>
      </c>
      <c r="E653" s="852" t="s">
        <v>297</v>
      </c>
      <c r="F653" s="853">
        <v>23</v>
      </c>
    </row>
    <row r="654" spans="1:6" s="350" customFormat="1" ht="18" customHeight="1" x14ac:dyDescent="0.2">
      <c r="A654" s="851" t="s">
        <v>181</v>
      </c>
      <c r="B654" s="852" t="s">
        <v>245</v>
      </c>
      <c r="C654" s="852" t="s">
        <v>171</v>
      </c>
      <c r="D654" s="852" t="s">
        <v>734</v>
      </c>
      <c r="E654" s="852" t="s">
        <v>287</v>
      </c>
      <c r="F654" s="853">
        <v>15</v>
      </c>
    </row>
    <row r="655" spans="1:6" s="350" customFormat="1" ht="18" customHeight="1" x14ac:dyDescent="0.2">
      <c r="A655" s="851" t="s">
        <v>181</v>
      </c>
      <c r="B655" s="852" t="s">
        <v>245</v>
      </c>
      <c r="C655" s="852" t="s">
        <v>171</v>
      </c>
      <c r="D655" s="852" t="s">
        <v>734</v>
      </c>
      <c r="E655" s="852" t="s">
        <v>293</v>
      </c>
      <c r="F655" s="853">
        <v>5</v>
      </c>
    </row>
    <row r="656" spans="1:6" s="350" customFormat="1" ht="18" customHeight="1" x14ac:dyDescent="0.2">
      <c r="A656" s="851" t="s">
        <v>181</v>
      </c>
      <c r="B656" s="852" t="s">
        <v>245</v>
      </c>
      <c r="C656" s="852" t="s">
        <v>171</v>
      </c>
      <c r="D656" s="852" t="s">
        <v>211</v>
      </c>
      <c r="E656" s="852" t="s">
        <v>297</v>
      </c>
      <c r="F656" s="853">
        <v>10</v>
      </c>
    </row>
    <row r="657" spans="1:6" s="350" customFormat="1" ht="18" customHeight="1" x14ac:dyDescent="0.2">
      <c r="A657" s="851" t="s">
        <v>181</v>
      </c>
      <c r="B657" s="852" t="s">
        <v>245</v>
      </c>
      <c r="C657" s="852" t="s">
        <v>171</v>
      </c>
      <c r="D657" s="852" t="s">
        <v>211</v>
      </c>
      <c r="E657" s="852" t="s">
        <v>287</v>
      </c>
      <c r="F657" s="853">
        <v>13</v>
      </c>
    </row>
    <row r="658" spans="1:6" s="350" customFormat="1" ht="18" customHeight="1" x14ac:dyDescent="0.2">
      <c r="A658" s="851" t="s">
        <v>181</v>
      </c>
      <c r="B658" s="852" t="s">
        <v>245</v>
      </c>
      <c r="C658" s="852" t="s">
        <v>173</v>
      </c>
      <c r="D658" s="852" t="s">
        <v>734</v>
      </c>
      <c r="E658" s="852" t="s">
        <v>297</v>
      </c>
      <c r="F658" s="853">
        <v>2</v>
      </c>
    </row>
    <row r="659" spans="1:6" s="350" customFormat="1" ht="18" customHeight="1" x14ac:dyDescent="0.2">
      <c r="A659" s="851" t="s">
        <v>181</v>
      </c>
      <c r="B659" s="852" t="s">
        <v>245</v>
      </c>
      <c r="C659" s="852" t="s">
        <v>173</v>
      </c>
      <c r="D659" s="852" t="s">
        <v>734</v>
      </c>
      <c r="E659" s="852" t="s">
        <v>287</v>
      </c>
      <c r="F659" s="853">
        <v>6</v>
      </c>
    </row>
    <row r="660" spans="1:6" s="350" customFormat="1" ht="18" customHeight="1" x14ac:dyDescent="0.2">
      <c r="A660" s="851" t="s">
        <v>181</v>
      </c>
      <c r="B660" s="852" t="s">
        <v>245</v>
      </c>
      <c r="C660" s="852" t="s">
        <v>173</v>
      </c>
      <c r="D660" s="852" t="s">
        <v>734</v>
      </c>
      <c r="E660" s="852" t="s">
        <v>293</v>
      </c>
      <c r="F660" s="853">
        <v>2</v>
      </c>
    </row>
    <row r="661" spans="1:6" s="350" customFormat="1" ht="18" customHeight="1" x14ac:dyDescent="0.2">
      <c r="A661" s="851" t="s">
        <v>181</v>
      </c>
      <c r="B661" s="852" t="s">
        <v>245</v>
      </c>
      <c r="C661" s="852" t="s">
        <v>173</v>
      </c>
      <c r="D661" s="852" t="s">
        <v>211</v>
      </c>
      <c r="E661" s="852" t="s">
        <v>297</v>
      </c>
      <c r="F661" s="853">
        <v>3</v>
      </c>
    </row>
    <row r="662" spans="1:6" s="350" customFormat="1" ht="18" customHeight="1" x14ac:dyDescent="0.2">
      <c r="A662" s="851" t="s">
        <v>181</v>
      </c>
      <c r="B662" s="852" t="s">
        <v>245</v>
      </c>
      <c r="C662" s="852" t="s">
        <v>173</v>
      </c>
      <c r="D662" s="852" t="s">
        <v>211</v>
      </c>
      <c r="E662" s="852" t="s">
        <v>287</v>
      </c>
      <c r="F662" s="853">
        <v>4</v>
      </c>
    </row>
    <row r="663" spans="1:6" s="350" customFormat="1" ht="18" customHeight="1" x14ac:dyDescent="0.2">
      <c r="A663" s="851" t="s">
        <v>181</v>
      </c>
      <c r="B663" s="852" t="s">
        <v>246</v>
      </c>
      <c r="C663" s="852" t="s">
        <v>169</v>
      </c>
      <c r="D663" s="852" t="s">
        <v>734</v>
      </c>
      <c r="E663" s="852" t="s">
        <v>289</v>
      </c>
      <c r="F663" s="853">
        <v>93</v>
      </c>
    </row>
    <row r="664" spans="1:6" s="350" customFormat="1" ht="18" customHeight="1" x14ac:dyDescent="0.2">
      <c r="A664" s="851" t="s">
        <v>181</v>
      </c>
      <c r="B664" s="852" t="s">
        <v>246</v>
      </c>
      <c r="C664" s="852" t="s">
        <v>169</v>
      </c>
      <c r="D664" s="852" t="s">
        <v>734</v>
      </c>
      <c r="E664" s="852" t="s">
        <v>287</v>
      </c>
      <c r="F664" s="853">
        <v>3</v>
      </c>
    </row>
    <row r="665" spans="1:6" s="350" customFormat="1" ht="18" customHeight="1" x14ac:dyDescent="0.2">
      <c r="A665" s="851" t="s">
        <v>181</v>
      </c>
      <c r="B665" s="852" t="s">
        <v>246</v>
      </c>
      <c r="C665" s="852" t="s">
        <v>170</v>
      </c>
      <c r="D665" s="852" t="s">
        <v>734</v>
      </c>
      <c r="E665" s="852" t="s">
        <v>289</v>
      </c>
      <c r="F665" s="853">
        <v>2322</v>
      </c>
    </row>
    <row r="666" spans="1:6" s="350" customFormat="1" ht="18" customHeight="1" x14ac:dyDescent="0.2">
      <c r="A666" s="851" t="s">
        <v>181</v>
      </c>
      <c r="B666" s="852" t="s">
        <v>246</v>
      </c>
      <c r="C666" s="852" t="s">
        <v>170</v>
      </c>
      <c r="D666" s="852" t="s">
        <v>734</v>
      </c>
      <c r="E666" s="852" t="s">
        <v>287</v>
      </c>
      <c r="F666" s="853">
        <v>3</v>
      </c>
    </row>
    <row r="667" spans="1:6" s="350" customFormat="1" ht="18" customHeight="1" x14ac:dyDescent="0.2">
      <c r="A667" s="851" t="s">
        <v>181</v>
      </c>
      <c r="B667" s="852" t="s">
        <v>246</v>
      </c>
      <c r="C667" s="852" t="s">
        <v>171</v>
      </c>
      <c r="D667" s="852" t="s">
        <v>734</v>
      </c>
      <c r="E667" s="852" t="s">
        <v>289</v>
      </c>
      <c r="F667" s="853">
        <v>17985</v>
      </c>
    </row>
    <row r="668" spans="1:6" s="350" customFormat="1" ht="18" customHeight="1" x14ac:dyDescent="0.2">
      <c r="A668" s="851" t="s">
        <v>181</v>
      </c>
      <c r="B668" s="852" t="s">
        <v>246</v>
      </c>
      <c r="C668" s="852" t="s">
        <v>171</v>
      </c>
      <c r="D668" s="852" t="s">
        <v>211</v>
      </c>
      <c r="E668" s="852" t="s">
        <v>289</v>
      </c>
      <c r="F668" s="853">
        <v>3000</v>
      </c>
    </row>
    <row r="669" spans="1:6" s="350" customFormat="1" ht="18" customHeight="1" x14ac:dyDescent="0.2">
      <c r="A669" s="851" t="s">
        <v>181</v>
      </c>
      <c r="B669" s="852" t="s">
        <v>246</v>
      </c>
      <c r="C669" s="852" t="s">
        <v>173</v>
      </c>
      <c r="D669" s="852" t="s">
        <v>734</v>
      </c>
      <c r="E669" s="852" t="s">
        <v>289</v>
      </c>
      <c r="F669" s="853">
        <v>357</v>
      </c>
    </row>
    <row r="670" spans="1:6" s="350" customFormat="1" ht="18" customHeight="1" x14ac:dyDescent="0.2">
      <c r="A670" s="851" t="s">
        <v>181</v>
      </c>
      <c r="B670" s="852" t="s">
        <v>246</v>
      </c>
      <c r="C670" s="852" t="s">
        <v>173</v>
      </c>
      <c r="D670" s="852" t="s">
        <v>211</v>
      </c>
      <c r="E670" s="852" t="s">
        <v>289</v>
      </c>
      <c r="F670" s="853">
        <v>894</v>
      </c>
    </row>
    <row r="671" spans="1:6" s="350" customFormat="1" ht="18" customHeight="1" x14ac:dyDescent="0.2">
      <c r="A671" s="851" t="s">
        <v>181</v>
      </c>
      <c r="B671" s="852" t="s">
        <v>246</v>
      </c>
      <c r="C671" s="852" t="s">
        <v>173</v>
      </c>
      <c r="D671" s="852" t="s">
        <v>211</v>
      </c>
      <c r="E671" s="852" t="s">
        <v>287</v>
      </c>
      <c r="F671" s="853">
        <v>3</v>
      </c>
    </row>
    <row r="672" spans="1:6" s="350" customFormat="1" ht="18" customHeight="1" x14ac:dyDescent="0.2">
      <c r="A672" s="851" t="s">
        <v>181</v>
      </c>
      <c r="B672" s="852" t="s">
        <v>143</v>
      </c>
      <c r="C672" s="852" t="s">
        <v>169</v>
      </c>
      <c r="D672" s="852" t="s">
        <v>734</v>
      </c>
      <c r="E672" s="852" t="s">
        <v>296</v>
      </c>
      <c r="F672" s="853">
        <v>1</v>
      </c>
    </row>
    <row r="673" spans="1:6" s="350" customFormat="1" ht="18" customHeight="1" x14ac:dyDescent="0.2">
      <c r="A673" s="851" t="s">
        <v>181</v>
      </c>
      <c r="B673" s="852" t="s">
        <v>143</v>
      </c>
      <c r="C673" s="852" t="s">
        <v>169</v>
      </c>
      <c r="D673" s="852" t="s">
        <v>734</v>
      </c>
      <c r="E673" s="852" t="s">
        <v>297</v>
      </c>
      <c r="F673" s="853">
        <v>2</v>
      </c>
    </row>
    <row r="674" spans="1:6" s="350" customFormat="1" ht="18" customHeight="1" x14ac:dyDescent="0.2">
      <c r="A674" s="851" t="s">
        <v>181</v>
      </c>
      <c r="B674" s="852" t="s">
        <v>143</v>
      </c>
      <c r="C674" s="852" t="s">
        <v>169</v>
      </c>
      <c r="D674" s="852" t="s">
        <v>734</v>
      </c>
      <c r="E674" s="852" t="s">
        <v>287</v>
      </c>
      <c r="F674" s="853">
        <v>18</v>
      </c>
    </row>
    <row r="675" spans="1:6" s="350" customFormat="1" ht="18" customHeight="1" x14ac:dyDescent="0.2">
      <c r="A675" s="851" t="s">
        <v>181</v>
      </c>
      <c r="B675" s="852" t="s">
        <v>143</v>
      </c>
      <c r="C675" s="852" t="s">
        <v>170</v>
      </c>
      <c r="D675" s="852" t="s">
        <v>734</v>
      </c>
      <c r="E675" s="852" t="s">
        <v>297</v>
      </c>
      <c r="F675" s="853">
        <v>1</v>
      </c>
    </row>
    <row r="676" spans="1:6" s="350" customFormat="1" ht="18" customHeight="1" x14ac:dyDescent="0.2">
      <c r="A676" s="851" t="s">
        <v>181</v>
      </c>
      <c r="B676" s="852" t="s">
        <v>143</v>
      </c>
      <c r="C676" s="852" t="s">
        <v>171</v>
      </c>
      <c r="D676" s="852" t="s">
        <v>734</v>
      </c>
      <c r="E676" s="852" t="s">
        <v>297</v>
      </c>
      <c r="F676" s="853">
        <v>2</v>
      </c>
    </row>
    <row r="677" spans="1:6" s="350" customFormat="1" ht="18" customHeight="1" x14ac:dyDescent="0.2">
      <c r="A677" s="851" t="s">
        <v>181</v>
      </c>
      <c r="B677" s="852" t="s">
        <v>143</v>
      </c>
      <c r="C677" s="852" t="s">
        <v>171</v>
      </c>
      <c r="D677" s="852" t="s">
        <v>211</v>
      </c>
      <c r="E677" s="852" t="s">
        <v>297</v>
      </c>
      <c r="F677" s="853">
        <v>3</v>
      </c>
    </row>
    <row r="678" spans="1:6" s="350" customFormat="1" ht="18" customHeight="1" x14ac:dyDescent="0.2">
      <c r="A678" s="851" t="s">
        <v>181</v>
      </c>
      <c r="B678" s="852" t="s">
        <v>143</v>
      </c>
      <c r="C678" s="852" t="s">
        <v>171</v>
      </c>
      <c r="D678" s="852" t="s">
        <v>211</v>
      </c>
      <c r="E678" s="852" t="s">
        <v>287</v>
      </c>
      <c r="F678" s="853">
        <v>2</v>
      </c>
    </row>
    <row r="679" spans="1:6" s="350" customFormat="1" ht="18" customHeight="1" x14ac:dyDescent="0.2">
      <c r="A679" s="851" t="s">
        <v>181</v>
      </c>
      <c r="B679" s="852" t="s">
        <v>143</v>
      </c>
      <c r="C679" s="852" t="s">
        <v>173</v>
      </c>
      <c r="D679" s="852" t="s">
        <v>734</v>
      </c>
      <c r="E679" s="852" t="s">
        <v>297</v>
      </c>
      <c r="F679" s="853">
        <v>3</v>
      </c>
    </row>
    <row r="680" spans="1:6" s="350" customFormat="1" ht="18" customHeight="1" x14ac:dyDescent="0.2">
      <c r="A680" s="851" t="s">
        <v>182</v>
      </c>
      <c r="B680" s="852" t="s">
        <v>242</v>
      </c>
      <c r="C680" s="852" t="s">
        <v>169</v>
      </c>
      <c r="D680" s="852" t="s">
        <v>734</v>
      </c>
      <c r="E680" s="852" t="s">
        <v>289</v>
      </c>
      <c r="F680" s="853">
        <v>9</v>
      </c>
    </row>
    <row r="681" spans="1:6" s="350" customFormat="1" ht="18" customHeight="1" x14ac:dyDescent="0.2">
      <c r="A681" s="851" t="s">
        <v>182</v>
      </c>
      <c r="B681" s="852" t="s">
        <v>242</v>
      </c>
      <c r="C681" s="852" t="s">
        <v>170</v>
      </c>
      <c r="D681" s="852" t="s">
        <v>734</v>
      </c>
      <c r="E681" s="852" t="s">
        <v>289</v>
      </c>
      <c r="F681" s="853">
        <v>210</v>
      </c>
    </row>
    <row r="682" spans="1:6" s="350" customFormat="1" ht="18" customHeight="1" x14ac:dyDescent="0.2">
      <c r="A682" s="851" t="s">
        <v>182</v>
      </c>
      <c r="B682" s="852" t="s">
        <v>242</v>
      </c>
      <c r="C682" s="852" t="s">
        <v>171</v>
      </c>
      <c r="D682" s="852" t="s">
        <v>734</v>
      </c>
      <c r="E682" s="852" t="s">
        <v>289</v>
      </c>
      <c r="F682" s="853">
        <v>441</v>
      </c>
    </row>
    <row r="683" spans="1:6" s="350" customFormat="1" ht="18" customHeight="1" x14ac:dyDescent="0.2">
      <c r="A683" s="851" t="s">
        <v>182</v>
      </c>
      <c r="B683" s="852" t="s">
        <v>242</v>
      </c>
      <c r="C683" s="852" t="s">
        <v>171</v>
      </c>
      <c r="D683" s="852" t="s">
        <v>734</v>
      </c>
      <c r="E683" s="852" t="s">
        <v>287</v>
      </c>
      <c r="F683" s="853">
        <v>3</v>
      </c>
    </row>
    <row r="684" spans="1:6" s="350" customFormat="1" ht="18" customHeight="1" x14ac:dyDescent="0.2">
      <c r="A684" s="851" t="s">
        <v>182</v>
      </c>
      <c r="B684" s="852" t="s">
        <v>242</v>
      </c>
      <c r="C684" s="852" t="s">
        <v>171</v>
      </c>
      <c r="D684" s="852" t="s">
        <v>213</v>
      </c>
      <c r="E684" s="852" t="s">
        <v>289</v>
      </c>
      <c r="F684" s="853">
        <v>237</v>
      </c>
    </row>
    <row r="685" spans="1:6" s="350" customFormat="1" ht="18" customHeight="1" x14ac:dyDescent="0.2">
      <c r="A685" s="851" t="s">
        <v>182</v>
      </c>
      <c r="B685" s="852" t="s">
        <v>242</v>
      </c>
      <c r="C685" s="852" t="s">
        <v>171</v>
      </c>
      <c r="D685" s="852" t="s">
        <v>213</v>
      </c>
      <c r="E685" s="852" t="s">
        <v>287</v>
      </c>
      <c r="F685" s="853">
        <v>18</v>
      </c>
    </row>
    <row r="686" spans="1:6" s="350" customFormat="1" ht="18" customHeight="1" x14ac:dyDescent="0.2">
      <c r="A686" s="851" t="s">
        <v>182</v>
      </c>
      <c r="B686" s="852" t="s">
        <v>242</v>
      </c>
      <c r="C686" s="852" t="s">
        <v>173</v>
      </c>
      <c r="D686" s="852" t="s">
        <v>734</v>
      </c>
      <c r="E686" s="852" t="s">
        <v>289</v>
      </c>
      <c r="F686" s="853">
        <v>381</v>
      </c>
    </row>
    <row r="687" spans="1:6" s="350" customFormat="1" ht="18" customHeight="1" x14ac:dyDescent="0.2">
      <c r="A687" s="851" t="s">
        <v>182</v>
      </c>
      <c r="B687" s="852" t="s">
        <v>242</v>
      </c>
      <c r="C687" s="852" t="s">
        <v>173</v>
      </c>
      <c r="D687" s="852" t="s">
        <v>734</v>
      </c>
      <c r="E687" s="852" t="s">
        <v>287</v>
      </c>
      <c r="F687" s="853">
        <v>12</v>
      </c>
    </row>
    <row r="688" spans="1:6" s="350" customFormat="1" ht="18" customHeight="1" x14ac:dyDescent="0.2">
      <c r="A688" s="851" t="s">
        <v>182</v>
      </c>
      <c r="B688" s="852" t="s">
        <v>243</v>
      </c>
      <c r="C688" s="852" t="s">
        <v>169</v>
      </c>
      <c r="D688" s="852" t="s">
        <v>734</v>
      </c>
      <c r="E688" s="852" t="s">
        <v>296</v>
      </c>
      <c r="F688" s="853">
        <v>4</v>
      </c>
    </row>
    <row r="689" spans="1:6" s="350" customFormat="1" ht="18" customHeight="1" x14ac:dyDescent="0.2">
      <c r="A689" s="851" t="s">
        <v>182</v>
      </c>
      <c r="B689" s="852" t="s">
        <v>243</v>
      </c>
      <c r="C689" s="852" t="s">
        <v>169</v>
      </c>
      <c r="D689" s="852" t="s">
        <v>734</v>
      </c>
      <c r="E689" s="852" t="s">
        <v>287</v>
      </c>
      <c r="F689" s="853">
        <v>3</v>
      </c>
    </row>
    <row r="690" spans="1:6" s="350" customFormat="1" ht="18" customHeight="1" x14ac:dyDescent="0.2">
      <c r="A690" s="851" t="s">
        <v>182</v>
      </c>
      <c r="B690" s="852" t="s">
        <v>243</v>
      </c>
      <c r="C690" s="852" t="s">
        <v>170</v>
      </c>
      <c r="D690" s="852" t="s">
        <v>734</v>
      </c>
      <c r="E690" s="852" t="s">
        <v>289</v>
      </c>
      <c r="F690" s="853">
        <v>3</v>
      </c>
    </row>
    <row r="691" spans="1:6" s="350" customFormat="1" ht="18" customHeight="1" x14ac:dyDescent="0.2">
      <c r="A691" s="851" t="s">
        <v>182</v>
      </c>
      <c r="B691" s="852" t="s">
        <v>243</v>
      </c>
      <c r="C691" s="852" t="s">
        <v>173</v>
      </c>
      <c r="D691" s="852" t="s">
        <v>734</v>
      </c>
      <c r="E691" s="852" t="s">
        <v>289</v>
      </c>
      <c r="F691" s="853">
        <v>21</v>
      </c>
    </row>
    <row r="692" spans="1:6" s="350" customFormat="1" ht="18" customHeight="1" x14ac:dyDescent="0.2">
      <c r="A692" s="851" t="s">
        <v>182</v>
      </c>
      <c r="B692" s="852" t="s">
        <v>244</v>
      </c>
      <c r="C692" s="852" t="s">
        <v>169</v>
      </c>
      <c r="D692" s="852" t="s">
        <v>734</v>
      </c>
      <c r="E692" s="852" t="s">
        <v>296</v>
      </c>
      <c r="F692" s="853">
        <v>2</v>
      </c>
    </row>
    <row r="693" spans="1:6" s="350" customFormat="1" ht="18" customHeight="1" x14ac:dyDescent="0.2">
      <c r="A693" s="851" t="s">
        <v>182</v>
      </c>
      <c r="B693" s="852" t="s">
        <v>244</v>
      </c>
      <c r="C693" s="852" t="s">
        <v>169</v>
      </c>
      <c r="D693" s="852" t="s">
        <v>734</v>
      </c>
      <c r="E693" s="852" t="s">
        <v>297</v>
      </c>
      <c r="F693" s="853">
        <v>138</v>
      </c>
    </row>
    <row r="694" spans="1:6" s="350" customFormat="1" ht="18" customHeight="1" x14ac:dyDescent="0.2">
      <c r="A694" s="851" t="s">
        <v>182</v>
      </c>
      <c r="B694" s="852" t="s">
        <v>244</v>
      </c>
      <c r="C694" s="852" t="s">
        <v>169</v>
      </c>
      <c r="D694" s="852" t="s">
        <v>734</v>
      </c>
      <c r="E694" s="852" t="s">
        <v>287</v>
      </c>
      <c r="F694" s="853">
        <v>168</v>
      </c>
    </row>
    <row r="695" spans="1:6" s="350" customFormat="1" ht="18" customHeight="1" x14ac:dyDescent="0.2">
      <c r="A695" s="851" t="s">
        <v>182</v>
      </c>
      <c r="B695" s="852" t="s">
        <v>244</v>
      </c>
      <c r="C695" s="852" t="s">
        <v>169</v>
      </c>
      <c r="D695" s="852" t="s">
        <v>734</v>
      </c>
      <c r="E695" s="852" t="s">
        <v>293</v>
      </c>
      <c r="F695" s="853">
        <v>11</v>
      </c>
    </row>
    <row r="696" spans="1:6" s="350" customFormat="1" ht="18" customHeight="1" x14ac:dyDescent="0.2">
      <c r="A696" s="851" t="s">
        <v>182</v>
      </c>
      <c r="B696" s="852" t="s">
        <v>244</v>
      </c>
      <c r="C696" s="852" t="s">
        <v>170</v>
      </c>
      <c r="D696" s="852" t="s">
        <v>734</v>
      </c>
      <c r="E696" s="852" t="s">
        <v>294</v>
      </c>
      <c r="F696" s="853">
        <v>1</v>
      </c>
    </row>
    <row r="697" spans="1:6" s="350" customFormat="1" ht="18" customHeight="1" x14ac:dyDescent="0.2">
      <c r="A697" s="851" t="s">
        <v>182</v>
      </c>
      <c r="B697" s="852" t="s">
        <v>244</v>
      </c>
      <c r="C697" s="852" t="s">
        <v>170</v>
      </c>
      <c r="D697" s="852" t="s">
        <v>734</v>
      </c>
      <c r="E697" s="852" t="s">
        <v>297</v>
      </c>
      <c r="F697" s="853">
        <v>29</v>
      </c>
    </row>
    <row r="698" spans="1:6" s="350" customFormat="1" ht="18" customHeight="1" x14ac:dyDescent="0.2">
      <c r="A698" s="851" t="s">
        <v>182</v>
      </c>
      <c r="B698" s="852" t="s">
        <v>244</v>
      </c>
      <c r="C698" s="852" t="s">
        <v>170</v>
      </c>
      <c r="D698" s="852" t="s">
        <v>734</v>
      </c>
      <c r="E698" s="852" t="s">
        <v>287</v>
      </c>
      <c r="F698" s="853">
        <v>9</v>
      </c>
    </row>
    <row r="699" spans="1:6" s="350" customFormat="1" ht="18" customHeight="1" x14ac:dyDescent="0.2">
      <c r="A699" s="851" t="s">
        <v>182</v>
      </c>
      <c r="B699" s="852" t="s">
        <v>244</v>
      </c>
      <c r="C699" s="852" t="s">
        <v>171</v>
      </c>
      <c r="D699" s="852" t="s">
        <v>734</v>
      </c>
      <c r="E699" s="852" t="s">
        <v>297</v>
      </c>
      <c r="F699" s="853">
        <v>29</v>
      </c>
    </row>
    <row r="700" spans="1:6" s="350" customFormat="1" ht="18" customHeight="1" x14ac:dyDescent="0.2">
      <c r="A700" s="851" t="s">
        <v>182</v>
      </c>
      <c r="B700" s="852" t="s">
        <v>244</v>
      </c>
      <c r="C700" s="852" t="s">
        <v>171</v>
      </c>
      <c r="D700" s="852" t="s">
        <v>734</v>
      </c>
      <c r="E700" s="852" t="s">
        <v>287</v>
      </c>
      <c r="F700" s="853">
        <v>21</v>
      </c>
    </row>
    <row r="701" spans="1:6" s="350" customFormat="1" ht="18" customHeight="1" x14ac:dyDescent="0.2">
      <c r="A701" s="851" t="s">
        <v>182</v>
      </c>
      <c r="B701" s="852" t="s">
        <v>244</v>
      </c>
      <c r="C701" s="852" t="s">
        <v>171</v>
      </c>
      <c r="D701" s="852" t="s">
        <v>734</v>
      </c>
      <c r="E701" s="852" t="s">
        <v>293</v>
      </c>
      <c r="F701" s="853">
        <v>4</v>
      </c>
    </row>
    <row r="702" spans="1:6" s="350" customFormat="1" ht="18" customHeight="1" x14ac:dyDescent="0.2">
      <c r="A702" s="851" t="s">
        <v>182</v>
      </c>
      <c r="B702" s="852" t="s">
        <v>244</v>
      </c>
      <c r="C702" s="852" t="s">
        <v>171</v>
      </c>
      <c r="D702" s="852" t="s">
        <v>213</v>
      </c>
      <c r="E702" s="852" t="s">
        <v>297</v>
      </c>
      <c r="F702" s="853">
        <v>42</v>
      </c>
    </row>
    <row r="703" spans="1:6" s="350" customFormat="1" ht="18" customHeight="1" x14ac:dyDescent="0.2">
      <c r="A703" s="851" t="s">
        <v>182</v>
      </c>
      <c r="B703" s="852" t="s">
        <v>244</v>
      </c>
      <c r="C703" s="852" t="s">
        <v>171</v>
      </c>
      <c r="D703" s="852" t="s">
        <v>213</v>
      </c>
      <c r="E703" s="852" t="s">
        <v>287</v>
      </c>
      <c r="F703" s="853">
        <v>25</v>
      </c>
    </row>
    <row r="704" spans="1:6" s="350" customFormat="1" ht="18" customHeight="1" x14ac:dyDescent="0.2">
      <c r="A704" s="851" t="s">
        <v>182</v>
      </c>
      <c r="B704" s="852" t="s">
        <v>244</v>
      </c>
      <c r="C704" s="852" t="s">
        <v>171</v>
      </c>
      <c r="D704" s="852" t="s">
        <v>213</v>
      </c>
      <c r="E704" s="852" t="s">
        <v>293</v>
      </c>
      <c r="F704" s="853">
        <v>2</v>
      </c>
    </row>
    <row r="705" spans="1:6" s="350" customFormat="1" ht="18" customHeight="1" x14ac:dyDescent="0.2">
      <c r="A705" s="851" t="s">
        <v>182</v>
      </c>
      <c r="B705" s="852" t="s">
        <v>244</v>
      </c>
      <c r="C705" s="852" t="s">
        <v>173</v>
      </c>
      <c r="D705" s="852" t="s">
        <v>734</v>
      </c>
      <c r="E705" s="852" t="s">
        <v>297</v>
      </c>
      <c r="F705" s="853">
        <v>69</v>
      </c>
    </row>
    <row r="706" spans="1:6" s="350" customFormat="1" ht="18" customHeight="1" x14ac:dyDescent="0.2">
      <c r="A706" s="851" t="s">
        <v>182</v>
      </c>
      <c r="B706" s="852" t="s">
        <v>244</v>
      </c>
      <c r="C706" s="852" t="s">
        <v>173</v>
      </c>
      <c r="D706" s="852" t="s">
        <v>734</v>
      </c>
      <c r="E706" s="852" t="s">
        <v>287</v>
      </c>
      <c r="F706" s="853">
        <v>49</v>
      </c>
    </row>
    <row r="707" spans="1:6" s="350" customFormat="1" ht="18" customHeight="1" x14ac:dyDescent="0.2">
      <c r="A707" s="851" t="s">
        <v>182</v>
      </c>
      <c r="B707" s="852" t="s">
        <v>244</v>
      </c>
      <c r="C707" s="852" t="s">
        <v>173</v>
      </c>
      <c r="D707" s="852" t="s">
        <v>734</v>
      </c>
      <c r="E707" s="852" t="s">
        <v>293</v>
      </c>
      <c r="F707" s="853">
        <v>3</v>
      </c>
    </row>
    <row r="708" spans="1:6" s="350" customFormat="1" ht="18" customHeight="1" x14ac:dyDescent="0.2">
      <c r="A708" s="851" t="s">
        <v>182</v>
      </c>
      <c r="B708" s="852" t="s">
        <v>245</v>
      </c>
      <c r="C708" s="852" t="s">
        <v>169</v>
      </c>
      <c r="D708" s="852" t="s">
        <v>734</v>
      </c>
      <c r="E708" s="852" t="s">
        <v>296</v>
      </c>
      <c r="F708" s="853">
        <v>1</v>
      </c>
    </row>
    <row r="709" spans="1:6" s="350" customFormat="1" ht="18" customHeight="1" x14ac:dyDescent="0.2">
      <c r="A709" s="851" t="s">
        <v>182</v>
      </c>
      <c r="B709" s="852" t="s">
        <v>245</v>
      </c>
      <c r="C709" s="852" t="s">
        <v>169</v>
      </c>
      <c r="D709" s="852" t="s">
        <v>734</v>
      </c>
      <c r="E709" s="852" t="s">
        <v>297</v>
      </c>
      <c r="F709" s="853">
        <v>5</v>
      </c>
    </row>
    <row r="710" spans="1:6" s="350" customFormat="1" ht="18" customHeight="1" x14ac:dyDescent="0.2">
      <c r="A710" s="851" t="s">
        <v>182</v>
      </c>
      <c r="B710" s="852" t="s">
        <v>245</v>
      </c>
      <c r="C710" s="852" t="s">
        <v>169</v>
      </c>
      <c r="D710" s="852" t="s">
        <v>734</v>
      </c>
      <c r="E710" s="852" t="s">
        <v>287</v>
      </c>
      <c r="F710" s="853">
        <v>16</v>
      </c>
    </row>
    <row r="711" spans="1:6" s="350" customFormat="1" ht="18" customHeight="1" x14ac:dyDescent="0.2">
      <c r="A711" s="851" t="s">
        <v>182</v>
      </c>
      <c r="B711" s="852" t="s">
        <v>245</v>
      </c>
      <c r="C711" s="852" t="s">
        <v>169</v>
      </c>
      <c r="D711" s="852" t="s">
        <v>734</v>
      </c>
      <c r="E711" s="852" t="s">
        <v>293</v>
      </c>
      <c r="F711" s="853">
        <v>5</v>
      </c>
    </row>
    <row r="712" spans="1:6" s="350" customFormat="1" ht="18" customHeight="1" x14ac:dyDescent="0.2">
      <c r="A712" s="851" t="s">
        <v>182</v>
      </c>
      <c r="B712" s="852" t="s">
        <v>245</v>
      </c>
      <c r="C712" s="852" t="s">
        <v>170</v>
      </c>
      <c r="D712" s="852" t="s">
        <v>734</v>
      </c>
      <c r="E712" s="852" t="s">
        <v>297</v>
      </c>
      <c r="F712" s="853">
        <v>2</v>
      </c>
    </row>
    <row r="713" spans="1:6" s="350" customFormat="1" ht="18" customHeight="1" x14ac:dyDescent="0.2">
      <c r="A713" s="851" t="s">
        <v>182</v>
      </c>
      <c r="B713" s="852" t="s">
        <v>245</v>
      </c>
      <c r="C713" s="852" t="s">
        <v>170</v>
      </c>
      <c r="D713" s="852" t="s">
        <v>734</v>
      </c>
      <c r="E713" s="852" t="s">
        <v>287</v>
      </c>
      <c r="F713" s="853">
        <v>3</v>
      </c>
    </row>
    <row r="714" spans="1:6" s="350" customFormat="1" ht="18" customHeight="1" x14ac:dyDescent="0.2">
      <c r="A714" s="851" t="s">
        <v>182</v>
      </c>
      <c r="B714" s="852" t="s">
        <v>245</v>
      </c>
      <c r="C714" s="852" t="s">
        <v>171</v>
      </c>
      <c r="D714" s="852" t="s">
        <v>734</v>
      </c>
      <c r="E714" s="852" t="s">
        <v>294</v>
      </c>
      <c r="F714" s="853">
        <v>1</v>
      </c>
    </row>
    <row r="715" spans="1:6" s="350" customFormat="1" ht="18" customHeight="1" x14ac:dyDescent="0.2">
      <c r="A715" s="851" t="s">
        <v>182</v>
      </c>
      <c r="B715" s="852" t="s">
        <v>245</v>
      </c>
      <c r="C715" s="852" t="s">
        <v>171</v>
      </c>
      <c r="D715" s="852" t="s">
        <v>734</v>
      </c>
      <c r="E715" s="852" t="s">
        <v>296</v>
      </c>
      <c r="F715" s="853">
        <v>1</v>
      </c>
    </row>
    <row r="716" spans="1:6" s="350" customFormat="1" ht="18" customHeight="1" x14ac:dyDescent="0.2">
      <c r="A716" s="851" t="s">
        <v>182</v>
      </c>
      <c r="B716" s="852" t="s">
        <v>245</v>
      </c>
      <c r="C716" s="852" t="s">
        <v>171</v>
      </c>
      <c r="D716" s="852" t="s">
        <v>734</v>
      </c>
      <c r="E716" s="852" t="s">
        <v>297</v>
      </c>
      <c r="F716" s="853">
        <v>3</v>
      </c>
    </row>
    <row r="717" spans="1:6" s="350" customFormat="1" ht="18" customHeight="1" x14ac:dyDescent="0.2">
      <c r="A717" s="851" t="s">
        <v>182</v>
      </c>
      <c r="B717" s="852" t="s">
        <v>245</v>
      </c>
      <c r="C717" s="852" t="s">
        <v>171</v>
      </c>
      <c r="D717" s="852" t="s">
        <v>734</v>
      </c>
      <c r="E717" s="852" t="s">
        <v>287</v>
      </c>
      <c r="F717" s="853">
        <v>5</v>
      </c>
    </row>
    <row r="718" spans="1:6" s="350" customFormat="1" ht="18" customHeight="1" x14ac:dyDescent="0.2">
      <c r="A718" s="851" t="s">
        <v>182</v>
      </c>
      <c r="B718" s="852" t="s">
        <v>245</v>
      </c>
      <c r="C718" s="852" t="s">
        <v>171</v>
      </c>
      <c r="D718" s="852" t="s">
        <v>213</v>
      </c>
      <c r="E718" s="852" t="s">
        <v>297</v>
      </c>
      <c r="F718" s="853">
        <v>2</v>
      </c>
    </row>
    <row r="719" spans="1:6" s="350" customFormat="1" ht="18" customHeight="1" x14ac:dyDescent="0.2">
      <c r="A719" s="851" t="s">
        <v>182</v>
      </c>
      <c r="B719" s="852" t="s">
        <v>245</v>
      </c>
      <c r="C719" s="852" t="s">
        <v>171</v>
      </c>
      <c r="D719" s="852" t="s">
        <v>213</v>
      </c>
      <c r="E719" s="852" t="s">
        <v>287</v>
      </c>
      <c r="F719" s="853">
        <v>4</v>
      </c>
    </row>
    <row r="720" spans="1:6" s="350" customFormat="1" ht="18" customHeight="1" x14ac:dyDescent="0.2">
      <c r="A720" s="851" t="s">
        <v>182</v>
      </c>
      <c r="B720" s="852" t="s">
        <v>245</v>
      </c>
      <c r="C720" s="852" t="s">
        <v>171</v>
      </c>
      <c r="D720" s="852" t="s">
        <v>213</v>
      </c>
      <c r="E720" s="852" t="s">
        <v>293</v>
      </c>
      <c r="F720" s="853">
        <v>1</v>
      </c>
    </row>
    <row r="721" spans="1:6" s="350" customFormat="1" ht="18" customHeight="1" x14ac:dyDescent="0.2">
      <c r="A721" s="851" t="s">
        <v>182</v>
      </c>
      <c r="B721" s="852" t="s">
        <v>245</v>
      </c>
      <c r="C721" s="852" t="s">
        <v>173</v>
      </c>
      <c r="D721" s="852" t="s">
        <v>734</v>
      </c>
      <c r="E721" s="852" t="s">
        <v>297</v>
      </c>
      <c r="F721" s="853">
        <v>8</v>
      </c>
    </row>
    <row r="722" spans="1:6" s="350" customFormat="1" ht="18" customHeight="1" x14ac:dyDescent="0.2">
      <c r="A722" s="851" t="s">
        <v>182</v>
      </c>
      <c r="B722" s="852" t="s">
        <v>245</v>
      </c>
      <c r="C722" s="852" t="s">
        <v>173</v>
      </c>
      <c r="D722" s="852" t="s">
        <v>734</v>
      </c>
      <c r="E722" s="852" t="s">
        <v>287</v>
      </c>
      <c r="F722" s="853">
        <v>5</v>
      </c>
    </row>
    <row r="723" spans="1:6" s="350" customFormat="1" ht="18" customHeight="1" x14ac:dyDescent="0.2">
      <c r="A723" s="851" t="s">
        <v>182</v>
      </c>
      <c r="B723" s="852" t="s">
        <v>246</v>
      </c>
      <c r="C723" s="852" t="s">
        <v>169</v>
      </c>
      <c r="D723" s="852" t="s">
        <v>734</v>
      </c>
      <c r="E723" s="852" t="s">
        <v>289</v>
      </c>
      <c r="F723" s="853">
        <v>201</v>
      </c>
    </row>
    <row r="724" spans="1:6" s="350" customFormat="1" ht="18" customHeight="1" x14ac:dyDescent="0.2">
      <c r="A724" s="851" t="s">
        <v>182</v>
      </c>
      <c r="B724" s="852" t="s">
        <v>246</v>
      </c>
      <c r="C724" s="852" t="s">
        <v>170</v>
      </c>
      <c r="D724" s="852" t="s">
        <v>734</v>
      </c>
      <c r="E724" s="852" t="s">
        <v>289</v>
      </c>
      <c r="F724" s="853">
        <v>1431</v>
      </c>
    </row>
    <row r="725" spans="1:6" s="350" customFormat="1" ht="18" customHeight="1" x14ac:dyDescent="0.2">
      <c r="A725" s="851" t="s">
        <v>182</v>
      </c>
      <c r="B725" s="852" t="s">
        <v>246</v>
      </c>
      <c r="C725" s="852" t="s">
        <v>170</v>
      </c>
      <c r="D725" s="852" t="s">
        <v>734</v>
      </c>
      <c r="E725" s="852" t="s">
        <v>287</v>
      </c>
      <c r="F725" s="853">
        <v>6</v>
      </c>
    </row>
    <row r="726" spans="1:6" s="350" customFormat="1" ht="18" customHeight="1" x14ac:dyDescent="0.2">
      <c r="A726" s="851" t="s">
        <v>182</v>
      </c>
      <c r="B726" s="852" t="s">
        <v>246</v>
      </c>
      <c r="C726" s="852" t="s">
        <v>171</v>
      </c>
      <c r="D726" s="852" t="s">
        <v>734</v>
      </c>
      <c r="E726" s="852" t="s">
        <v>289</v>
      </c>
      <c r="F726" s="853">
        <v>2232</v>
      </c>
    </row>
    <row r="727" spans="1:6" s="350" customFormat="1" ht="18" customHeight="1" x14ac:dyDescent="0.2">
      <c r="A727" s="851" t="s">
        <v>182</v>
      </c>
      <c r="B727" s="852" t="s">
        <v>246</v>
      </c>
      <c r="C727" s="852" t="s">
        <v>171</v>
      </c>
      <c r="D727" s="852" t="s">
        <v>734</v>
      </c>
      <c r="E727" s="852" t="s">
        <v>287</v>
      </c>
      <c r="F727" s="853">
        <v>6</v>
      </c>
    </row>
    <row r="728" spans="1:6" s="350" customFormat="1" ht="18" customHeight="1" x14ac:dyDescent="0.2">
      <c r="A728" s="851" t="s">
        <v>182</v>
      </c>
      <c r="B728" s="852" t="s">
        <v>246</v>
      </c>
      <c r="C728" s="852" t="s">
        <v>171</v>
      </c>
      <c r="D728" s="852" t="s">
        <v>213</v>
      </c>
      <c r="E728" s="852" t="s">
        <v>289</v>
      </c>
      <c r="F728" s="853">
        <v>4332</v>
      </c>
    </row>
    <row r="729" spans="1:6" s="350" customFormat="1" ht="18" customHeight="1" x14ac:dyDescent="0.2">
      <c r="A729" s="851" t="s">
        <v>182</v>
      </c>
      <c r="B729" s="852" t="s">
        <v>246</v>
      </c>
      <c r="C729" s="852" t="s">
        <v>173</v>
      </c>
      <c r="D729" s="852" t="s">
        <v>734</v>
      </c>
      <c r="E729" s="852" t="s">
        <v>289</v>
      </c>
      <c r="F729" s="853">
        <v>1320</v>
      </c>
    </row>
    <row r="730" spans="1:6" s="350" customFormat="1" ht="18" customHeight="1" x14ac:dyDescent="0.2">
      <c r="A730" s="851" t="s">
        <v>182</v>
      </c>
      <c r="B730" s="852" t="s">
        <v>143</v>
      </c>
      <c r="C730" s="852" t="s">
        <v>169</v>
      </c>
      <c r="D730" s="852" t="s">
        <v>734</v>
      </c>
      <c r="E730" s="852" t="s">
        <v>287</v>
      </c>
      <c r="F730" s="853">
        <v>1</v>
      </c>
    </row>
    <row r="731" spans="1:6" s="350" customFormat="1" ht="18" customHeight="1" x14ac:dyDescent="0.2">
      <c r="A731" s="851" t="s">
        <v>182</v>
      </c>
      <c r="B731" s="852" t="s">
        <v>143</v>
      </c>
      <c r="C731" s="852" t="s">
        <v>173</v>
      </c>
      <c r="D731" s="852" t="s">
        <v>734</v>
      </c>
      <c r="E731" s="852" t="s">
        <v>293</v>
      </c>
      <c r="F731" s="853">
        <v>1</v>
      </c>
    </row>
    <row r="732" spans="1:6" ht="24" customHeight="1" x14ac:dyDescent="0.2">
      <c r="A732" s="1436" t="s">
        <v>247</v>
      </c>
      <c r="B732" s="1437"/>
      <c r="C732" s="1437"/>
      <c r="D732" s="1437"/>
      <c r="E732" s="1437"/>
      <c r="F732" s="854">
        <f>SUM(F7:F731)</f>
        <v>549992</v>
      </c>
    </row>
    <row r="733" spans="1:6" x14ac:dyDescent="0.2">
      <c r="A733" s="368"/>
      <c r="B733"/>
      <c r="C733"/>
      <c r="D733"/>
      <c r="E733"/>
      <c r="F733" s="855"/>
    </row>
    <row r="734" spans="1:6" x14ac:dyDescent="0.2">
      <c r="A734" s="368"/>
      <c r="B734"/>
      <c r="C734"/>
      <c r="D734"/>
      <c r="E734"/>
      <c r="F734" s="855"/>
    </row>
    <row r="735" spans="1:6" x14ac:dyDescent="0.2">
      <c r="A735" s="368"/>
      <c r="B735"/>
      <c r="C735"/>
      <c r="D735"/>
      <c r="E735"/>
      <c r="F735" s="855"/>
    </row>
    <row r="736" spans="1:6" x14ac:dyDescent="0.2">
      <c r="A736" s="368"/>
      <c r="B736"/>
      <c r="C736"/>
      <c r="D736"/>
      <c r="E736"/>
      <c r="F736" s="855"/>
    </row>
    <row r="737" spans="1:6" x14ac:dyDescent="0.2">
      <c r="A737" s="368"/>
      <c r="B737"/>
      <c r="C737"/>
      <c r="D737"/>
      <c r="E737"/>
      <c r="F737" s="855"/>
    </row>
    <row r="738" spans="1:6" x14ac:dyDescent="0.2">
      <c r="A738" s="368"/>
      <c r="B738"/>
      <c r="C738"/>
      <c r="D738"/>
      <c r="E738"/>
      <c r="F738" s="855"/>
    </row>
    <row r="739" spans="1:6" x14ac:dyDescent="0.2">
      <c r="A739" s="368"/>
      <c r="B739"/>
      <c r="C739"/>
      <c r="D739"/>
      <c r="E739"/>
      <c r="F739" s="855"/>
    </row>
    <row r="740" spans="1:6" x14ac:dyDescent="0.2">
      <c r="A740" s="368"/>
      <c r="B740"/>
      <c r="C740"/>
      <c r="D740"/>
      <c r="E740"/>
      <c r="F740" s="855"/>
    </row>
    <row r="741" spans="1:6" x14ac:dyDescent="0.2">
      <c r="A741" s="368"/>
      <c r="B741"/>
      <c r="C741"/>
      <c r="D741"/>
      <c r="E741"/>
      <c r="F741" s="855"/>
    </row>
    <row r="742" spans="1:6" x14ac:dyDescent="0.2">
      <c r="A742" s="368"/>
      <c r="B742"/>
      <c r="C742"/>
      <c r="D742"/>
      <c r="E742"/>
      <c r="F742" s="855"/>
    </row>
    <row r="743" spans="1:6" x14ac:dyDescent="0.2">
      <c r="A743" s="368"/>
      <c r="B743"/>
      <c r="C743"/>
      <c r="D743"/>
      <c r="E743"/>
      <c r="F743" s="855"/>
    </row>
    <row r="744" spans="1:6" x14ac:dyDescent="0.2">
      <c r="A744" s="368"/>
      <c r="B744"/>
      <c r="C744"/>
      <c r="D744"/>
      <c r="E744"/>
      <c r="F744" s="855"/>
    </row>
    <row r="745" spans="1:6" x14ac:dyDescent="0.2">
      <c r="A745" s="368"/>
      <c r="B745"/>
      <c r="C745"/>
      <c r="D745"/>
      <c r="E745"/>
      <c r="F745" s="855"/>
    </row>
    <row r="746" spans="1:6" x14ac:dyDescent="0.2">
      <c r="A746" s="368"/>
      <c r="B746"/>
      <c r="C746"/>
      <c r="D746"/>
      <c r="E746"/>
      <c r="F746" s="855"/>
    </row>
    <row r="747" spans="1:6" x14ac:dyDescent="0.2">
      <c r="A747" s="368"/>
      <c r="B747"/>
      <c r="C747"/>
      <c r="D747"/>
      <c r="E747"/>
      <c r="F747" s="855"/>
    </row>
    <row r="748" spans="1:6" x14ac:dyDescent="0.2">
      <c r="A748" s="368"/>
      <c r="B748"/>
      <c r="C748"/>
      <c r="D748"/>
      <c r="E748"/>
      <c r="F748" s="855"/>
    </row>
    <row r="749" spans="1:6" x14ac:dyDescent="0.2">
      <c r="A749" s="368"/>
      <c r="B749"/>
      <c r="C749"/>
      <c r="D749"/>
      <c r="E749"/>
      <c r="F749" s="855"/>
    </row>
    <row r="750" spans="1:6" x14ac:dyDescent="0.2">
      <c r="A750" s="368"/>
      <c r="B750"/>
      <c r="C750"/>
      <c r="D750"/>
      <c r="E750"/>
      <c r="F750" s="855"/>
    </row>
    <row r="751" spans="1:6" x14ac:dyDescent="0.2">
      <c r="A751" s="368"/>
      <c r="B751"/>
      <c r="C751"/>
      <c r="D751"/>
      <c r="E751"/>
      <c r="F751" s="855"/>
    </row>
    <row r="752" spans="1:6" x14ac:dyDescent="0.2">
      <c r="A752" s="368"/>
      <c r="B752"/>
      <c r="C752"/>
      <c r="D752"/>
      <c r="E752"/>
      <c r="F752" s="855"/>
    </row>
    <row r="753" spans="1:6" x14ac:dyDescent="0.2">
      <c r="A753" s="368"/>
      <c r="B753"/>
      <c r="C753"/>
      <c r="D753"/>
      <c r="E753"/>
      <c r="F753" s="855"/>
    </row>
    <row r="754" spans="1:6" x14ac:dyDescent="0.2">
      <c r="A754" s="368"/>
      <c r="B754"/>
      <c r="C754"/>
      <c r="D754"/>
      <c r="E754"/>
      <c r="F754" s="855"/>
    </row>
    <row r="755" spans="1:6" x14ac:dyDescent="0.2">
      <c r="A755" s="368"/>
      <c r="B755"/>
      <c r="C755"/>
      <c r="D755"/>
      <c r="E755"/>
      <c r="F755" s="855"/>
    </row>
    <row r="756" spans="1:6" x14ac:dyDescent="0.2">
      <c r="A756" s="368"/>
      <c r="B756"/>
      <c r="C756"/>
      <c r="D756"/>
      <c r="E756"/>
      <c r="F756" s="855"/>
    </row>
    <row r="757" spans="1:6" x14ac:dyDescent="0.2">
      <c r="A757" s="368"/>
      <c r="B757"/>
      <c r="C757"/>
      <c r="D757"/>
      <c r="E757"/>
      <c r="F757" s="855"/>
    </row>
    <row r="758" spans="1:6" x14ac:dyDescent="0.2">
      <c r="A758" s="368"/>
      <c r="B758"/>
      <c r="C758"/>
      <c r="D758"/>
      <c r="E758"/>
      <c r="F758" s="855"/>
    </row>
    <row r="759" spans="1:6" x14ac:dyDescent="0.2">
      <c r="A759" s="368"/>
      <c r="B759"/>
      <c r="C759"/>
      <c r="D759"/>
      <c r="E759"/>
      <c r="F759" s="855"/>
    </row>
    <row r="760" spans="1:6" x14ac:dyDescent="0.2">
      <c r="A760" s="368"/>
      <c r="B760"/>
      <c r="C760"/>
      <c r="D760"/>
      <c r="E760"/>
      <c r="F760" s="855"/>
    </row>
    <row r="761" spans="1:6" x14ac:dyDescent="0.2">
      <c r="A761" s="368"/>
      <c r="B761"/>
      <c r="C761"/>
      <c r="D761"/>
      <c r="E761"/>
      <c r="F761" s="855"/>
    </row>
    <row r="762" spans="1:6" x14ac:dyDescent="0.2">
      <c r="A762" s="368"/>
      <c r="B762"/>
      <c r="C762"/>
      <c r="D762"/>
      <c r="E762"/>
      <c r="F762" s="855"/>
    </row>
    <row r="763" spans="1:6" x14ac:dyDescent="0.2">
      <c r="A763" s="368"/>
      <c r="B763"/>
      <c r="C763"/>
      <c r="D763"/>
      <c r="E763"/>
      <c r="F763" s="855"/>
    </row>
    <row r="764" spans="1:6" x14ac:dyDescent="0.2">
      <c r="A764" s="368"/>
      <c r="B764"/>
      <c r="C764"/>
      <c r="D764"/>
      <c r="E764"/>
      <c r="F764" s="855"/>
    </row>
    <row r="765" spans="1:6" x14ac:dyDescent="0.2">
      <c r="A765" s="368"/>
      <c r="B765"/>
      <c r="C765"/>
      <c r="D765"/>
      <c r="E765"/>
      <c r="F765" s="855"/>
    </row>
    <row r="766" spans="1:6" x14ac:dyDescent="0.2">
      <c r="A766" s="368"/>
      <c r="B766"/>
      <c r="C766"/>
      <c r="D766"/>
      <c r="E766"/>
      <c r="F766" s="855"/>
    </row>
    <row r="767" spans="1:6" x14ac:dyDescent="0.2">
      <c r="A767" s="368"/>
      <c r="B767"/>
      <c r="C767"/>
      <c r="D767"/>
      <c r="E767"/>
      <c r="F767" s="855"/>
    </row>
    <row r="768" spans="1:6" x14ac:dyDescent="0.2">
      <c r="A768" s="368"/>
      <c r="B768"/>
      <c r="C768"/>
      <c r="D768"/>
      <c r="E768"/>
      <c r="F768" s="855"/>
    </row>
    <row r="769" spans="1:6" x14ac:dyDescent="0.2">
      <c r="A769" s="368"/>
      <c r="B769"/>
      <c r="C769"/>
      <c r="D769"/>
      <c r="E769"/>
      <c r="F769" s="855"/>
    </row>
    <row r="770" spans="1:6" x14ac:dyDescent="0.2">
      <c r="A770" s="368"/>
      <c r="B770"/>
      <c r="C770"/>
      <c r="D770"/>
      <c r="E770"/>
      <c r="F770" s="855"/>
    </row>
    <row r="771" spans="1:6" x14ac:dyDescent="0.2">
      <c r="A771" s="368"/>
      <c r="B771"/>
      <c r="C771"/>
      <c r="D771"/>
      <c r="E771"/>
      <c r="F771" s="855"/>
    </row>
    <row r="772" spans="1:6" x14ac:dyDescent="0.2">
      <c r="A772" s="368"/>
      <c r="B772"/>
      <c r="C772"/>
      <c r="D772"/>
      <c r="E772"/>
      <c r="F772" s="855"/>
    </row>
    <row r="773" spans="1:6" x14ac:dyDescent="0.2">
      <c r="A773" s="368"/>
      <c r="B773"/>
      <c r="C773"/>
      <c r="D773"/>
      <c r="E773"/>
      <c r="F773" s="855"/>
    </row>
    <row r="774" spans="1:6" x14ac:dyDescent="0.2">
      <c r="A774" s="368"/>
      <c r="B774"/>
      <c r="C774"/>
      <c r="D774"/>
      <c r="E774"/>
      <c r="F774" s="855"/>
    </row>
    <row r="775" spans="1:6" x14ac:dyDescent="0.2">
      <c r="A775" s="368"/>
      <c r="B775"/>
      <c r="C775"/>
      <c r="D775"/>
      <c r="E775"/>
      <c r="F775" s="855"/>
    </row>
    <row r="776" spans="1:6" x14ac:dyDescent="0.2">
      <c r="A776" s="368"/>
      <c r="B776"/>
      <c r="C776"/>
      <c r="D776"/>
      <c r="E776"/>
      <c r="F776" s="855"/>
    </row>
    <row r="777" spans="1:6" x14ac:dyDescent="0.2">
      <c r="A777" s="368"/>
      <c r="B777"/>
      <c r="C777"/>
      <c r="D777"/>
      <c r="E777"/>
      <c r="F777" s="855"/>
    </row>
    <row r="778" spans="1:6" x14ac:dyDescent="0.2">
      <c r="A778" s="368"/>
      <c r="B778"/>
      <c r="C778"/>
      <c r="D778"/>
      <c r="E778"/>
      <c r="F778" s="855"/>
    </row>
    <row r="779" spans="1:6" x14ac:dyDescent="0.2">
      <c r="A779" s="368"/>
      <c r="B779"/>
      <c r="C779"/>
      <c r="D779"/>
      <c r="E779"/>
      <c r="F779" s="855"/>
    </row>
    <row r="780" spans="1:6" x14ac:dyDescent="0.2">
      <c r="A780" s="368"/>
      <c r="B780"/>
      <c r="C780"/>
      <c r="D780"/>
      <c r="E780"/>
      <c r="F780" s="855"/>
    </row>
    <row r="781" spans="1:6" x14ac:dyDescent="0.2">
      <c r="A781" s="368"/>
      <c r="B781"/>
      <c r="C781"/>
      <c r="D781"/>
      <c r="E781"/>
      <c r="F781" s="855"/>
    </row>
    <row r="782" spans="1:6" x14ac:dyDescent="0.2">
      <c r="A782" s="368"/>
      <c r="B782"/>
      <c r="C782"/>
      <c r="D782"/>
      <c r="E782"/>
      <c r="F782" s="855"/>
    </row>
    <row r="783" spans="1:6" x14ac:dyDescent="0.2">
      <c r="A783" s="368"/>
      <c r="B783"/>
      <c r="C783"/>
      <c r="D783"/>
      <c r="E783"/>
      <c r="F783" s="855"/>
    </row>
    <row r="784" spans="1:6" x14ac:dyDescent="0.2">
      <c r="A784" s="368"/>
      <c r="B784"/>
      <c r="C784"/>
      <c r="D784"/>
      <c r="E784"/>
      <c r="F784" s="855"/>
    </row>
    <row r="785" spans="1:6" x14ac:dyDescent="0.2">
      <c r="A785" s="368"/>
      <c r="B785"/>
      <c r="C785"/>
      <c r="D785"/>
      <c r="E785"/>
      <c r="F785" s="855"/>
    </row>
    <row r="786" spans="1:6" x14ac:dyDescent="0.2">
      <c r="A786" s="368"/>
      <c r="B786"/>
      <c r="C786"/>
      <c r="D786"/>
      <c r="E786"/>
      <c r="F786" s="855"/>
    </row>
    <row r="787" spans="1:6" x14ac:dyDescent="0.2">
      <c r="A787" s="368"/>
      <c r="B787"/>
      <c r="C787"/>
      <c r="D787"/>
      <c r="E787"/>
      <c r="F787" s="855"/>
    </row>
    <row r="788" spans="1:6" x14ac:dyDescent="0.2">
      <c r="A788" s="368"/>
      <c r="B788"/>
      <c r="C788"/>
      <c r="D788"/>
      <c r="E788"/>
      <c r="F788" s="855"/>
    </row>
    <row r="789" spans="1:6" x14ac:dyDescent="0.2">
      <c r="A789" s="368"/>
      <c r="B789"/>
      <c r="C789"/>
      <c r="D789"/>
      <c r="E789"/>
      <c r="F789" s="855"/>
    </row>
    <row r="790" spans="1:6" x14ac:dyDescent="0.2">
      <c r="A790" s="368"/>
      <c r="B790"/>
      <c r="C790"/>
      <c r="D790"/>
      <c r="E790"/>
      <c r="F790" s="855"/>
    </row>
    <row r="791" spans="1:6" x14ac:dyDescent="0.2">
      <c r="A791" s="368"/>
      <c r="B791"/>
      <c r="C791"/>
      <c r="D791"/>
      <c r="E791"/>
      <c r="F791" s="855"/>
    </row>
    <row r="792" spans="1:6" x14ac:dyDescent="0.2">
      <c r="A792" s="368"/>
      <c r="B792"/>
      <c r="C792"/>
      <c r="D792"/>
      <c r="E792"/>
      <c r="F792" s="855"/>
    </row>
    <row r="793" spans="1:6" x14ac:dyDescent="0.2">
      <c r="A793" s="368"/>
      <c r="B793"/>
      <c r="C793"/>
      <c r="D793"/>
      <c r="E793"/>
      <c r="F793" s="855"/>
    </row>
    <row r="794" spans="1:6" x14ac:dyDescent="0.2">
      <c r="A794" s="368"/>
      <c r="B794"/>
      <c r="C794"/>
      <c r="D794"/>
      <c r="E794"/>
      <c r="F794" s="855"/>
    </row>
    <row r="795" spans="1:6" x14ac:dyDescent="0.2">
      <c r="A795" s="368"/>
      <c r="B795"/>
      <c r="C795"/>
      <c r="D795"/>
      <c r="E795"/>
      <c r="F795" s="855"/>
    </row>
    <row r="796" spans="1:6" x14ac:dyDescent="0.2">
      <c r="A796" s="368"/>
      <c r="B796"/>
      <c r="C796"/>
      <c r="D796"/>
      <c r="E796"/>
      <c r="F796" s="855"/>
    </row>
    <row r="797" spans="1:6" x14ac:dyDescent="0.2">
      <c r="A797" s="368"/>
      <c r="B797"/>
      <c r="C797"/>
      <c r="D797"/>
      <c r="E797"/>
      <c r="F797" s="855"/>
    </row>
    <row r="798" spans="1:6" x14ac:dyDescent="0.2">
      <c r="A798" s="368"/>
      <c r="B798"/>
      <c r="C798"/>
      <c r="D798"/>
      <c r="E798"/>
      <c r="F798" s="855"/>
    </row>
    <row r="799" spans="1:6" x14ac:dyDescent="0.2">
      <c r="A799" s="368"/>
      <c r="B799"/>
      <c r="C799"/>
      <c r="D799"/>
      <c r="E799"/>
      <c r="F799" s="855"/>
    </row>
    <row r="800" spans="1:6" x14ac:dyDescent="0.2">
      <c r="A800" s="368"/>
      <c r="B800"/>
      <c r="C800"/>
      <c r="D800"/>
      <c r="E800"/>
      <c r="F800" s="855"/>
    </row>
    <row r="801" spans="1:6" x14ac:dyDescent="0.2">
      <c r="A801" s="368"/>
      <c r="B801"/>
      <c r="C801"/>
      <c r="D801"/>
      <c r="E801"/>
      <c r="F801" s="855"/>
    </row>
    <row r="802" spans="1:6" x14ac:dyDescent="0.2">
      <c r="A802" s="368"/>
      <c r="B802"/>
      <c r="C802"/>
      <c r="D802"/>
      <c r="E802"/>
      <c r="F802" s="855"/>
    </row>
    <row r="803" spans="1:6" x14ac:dyDescent="0.2">
      <c r="A803" s="368"/>
      <c r="B803"/>
      <c r="C803"/>
      <c r="D803"/>
      <c r="E803"/>
      <c r="F803" s="855"/>
    </row>
    <row r="804" spans="1:6" x14ac:dyDescent="0.2">
      <c r="A804" s="368"/>
      <c r="B804"/>
      <c r="C804"/>
      <c r="D804"/>
      <c r="E804"/>
      <c r="F804" s="855"/>
    </row>
    <row r="805" spans="1:6" x14ac:dyDescent="0.2">
      <c r="A805" s="368"/>
      <c r="B805"/>
      <c r="C805"/>
      <c r="D805"/>
      <c r="E805"/>
      <c r="F805" s="855"/>
    </row>
    <row r="806" spans="1:6" x14ac:dyDescent="0.2">
      <c r="A806" s="368"/>
      <c r="B806"/>
      <c r="C806"/>
      <c r="D806"/>
      <c r="E806"/>
      <c r="F806" s="855"/>
    </row>
    <row r="807" spans="1:6" x14ac:dyDescent="0.2">
      <c r="A807" s="368"/>
      <c r="B807"/>
      <c r="C807"/>
      <c r="D807"/>
      <c r="E807"/>
      <c r="F807" s="855"/>
    </row>
    <row r="808" spans="1:6" x14ac:dyDescent="0.2">
      <c r="A808" s="368"/>
      <c r="B808"/>
      <c r="C808"/>
      <c r="D808"/>
      <c r="E808"/>
      <c r="F808" s="855"/>
    </row>
    <row r="809" spans="1:6" x14ac:dyDescent="0.2">
      <c r="A809" s="368"/>
      <c r="B809"/>
      <c r="C809"/>
      <c r="D809"/>
      <c r="E809"/>
      <c r="F809" s="855"/>
    </row>
    <row r="810" spans="1:6" x14ac:dyDescent="0.2">
      <c r="A810" s="368"/>
      <c r="B810"/>
      <c r="C810"/>
      <c r="D810"/>
      <c r="E810"/>
      <c r="F810" s="855"/>
    </row>
    <row r="811" spans="1:6" x14ac:dyDescent="0.2">
      <c r="A811" s="368"/>
      <c r="B811"/>
      <c r="C811"/>
      <c r="D811"/>
      <c r="E811"/>
      <c r="F811" s="855"/>
    </row>
    <row r="812" spans="1:6" x14ac:dyDescent="0.2">
      <c r="A812" s="368"/>
      <c r="B812"/>
      <c r="C812"/>
      <c r="D812"/>
      <c r="E812"/>
      <c r="F812" s="855"/>
    </row>
    <row r="813" spans="1:6" x14ac:dyDescent="0.2">
      <c r="A813" s="368"/>
      <c r="B813"/>
      <c r="C813"/>
      <c r="D813"/>
      <c r="E813"/>
      <c r="F813" s="855"/>
    </row>
    <row r="814" spans="1:6" x14ac:dyDescent="0.2">
      <c r="A814" s="368"/>
      <c r="B814"/>
      <c r="C814"/>
      <c r="D814"/>
      <c r="E814"/>
      <c r="F814" s="855"/>
    </row>
    <row r="815" spans="1:6" x14ac:dyDescent="0.2">
      <c r="A815" s="368"/>
      <c r="B815"/>
      <c r="C815"/>
      <c r="D815"/>
      <c r="E815"/>
      <c r="F815" s="855"/>
    </row>
    <row r="816" spans="1:6" x14ac:dyDescent="0.2">
      <c r="A816" s="368"/>
      <c r="B816"/>
      <c r="C816"/>
      <c r="D816"/>
      <c r="E816"/>
      <c r="F816" s="855"/>
    </row>
    <row r="817" spans="1:6" x14ac:dyDescent="0.2">
      <c r="A817" s="368"/>
      <c r="B817"/>
      <c r="C817"/>
      <c r="D817"/>
      <c r="E817"/>
      <c r="F817" s="855"/>
    </row>
    <row r="818" spans="1:6" x14ac:dyDescent="0.2">
      <c r="A818" s="368"/>
      <c r="B818"/>
      <c r="C818"/>
      <c r="D818"/>
      <c r="E818"/>
      <c r="F818" s="855"/>
    </row>
    <row r="819" spans="1:6" x14ac:dyDescent="0.2">
      <c r="A819" s="368"/>
      <c r="B819"/>
      <c r="C819"/>
      <c r="D819"/>
      <c r="E819"/>
      <c r="F819" s="855"/>
    </row>
    <row r="820" spans="1:6" x14ac:dyDescent="0.2">
      <c r="A820" s="368"/>
      <c r="B820"/>
      <c r="C820"/>
      <c r="D820"/>
      <c r="E820"/>
      <c r="F820" s="855"/>
    </row>
    <row r="821" spans="1:6" x14ac:dyDescent="0.2">
      <c r="A821" s="368"/>
      <c r="B821"/>
      <c r="C821"/>
      <c r="D821"/>
      <c r="E821"/>
      <c r="F821" s="855"/>
    </row>
    <row r="822" spans="1:6" x14ac:dyDescent="0.2">
      <c r="A822" s="368"/>
      <c r="B822"/>
      <c r="C822"/>
      <c r="D822"/>
      <c r="E822"/>
      <c r="F822" s="855"/>
    </row>
    <row r="823" spans="1:6" x14ac:dyDescent="0.2">
      <c r="A823" s="368"/>
      <c r="B823"/>
      <c r="C823"/>
      <c r="D823"/>
      <c r="E823"/>
      <c r="F823" s="855"/>
    </row>
    <row r="824" spans="1:6" x14ac:dyDescent="0.2">
      <c r="A824" s="368"/>
      <c r="B824"/>
      <c r="C824"/>
      <c r="D824"/>
      <c r="E824"/>
      <c r="F824" s="855"/>
    </row>
    <row r="825" spans="1:6" x14ac:dyDescent="0.2">
      <c r="A825" s="368"/>
      <c r="B825"/>
      <c r="C825"/>
      <c r="D825"/>
      <c r="E825"/>
      <c r="F825" s="855"/>
    </row>
    <row r="826" spans="1:6" x14ac:dyDescent="0.2">
      <c r="A826" s="368"/>
      <c r="B826"/>
      <c r="C826"/>
      <c r="D826"/>
      <c r="E826"/>
      <c r="F826" s="855"/>
    </row>
    <row r="827" spans="1:6" x14ac:dyDescent="0.2">
      <c r="A827" s="368"/>
      <c r="B827"/>
      <c r="C827"/>
      <c r="D827"/>
      <c r="E827"/>
      <c r="F827" s="855"/>
    </row>
    <row r="828" spans="1:6" x14ac:dyDescent="0.2">
      <c r="A828" s="368"/>
      <c r="B828"/>
      <c r="C828"/>
      <c r="D828"/>
      <c r="E828"/>
      <c r="F828" s="855"/>
    </row>
    <row r="829" spans="1:6" x14ac:dyDescent="0.2">
      <c r="A829" s="368"/>
      <c r="B829"/>
      <c r="C829"/>
      <c r="D829"/>
      <c r="E829"/>
      <c r="F829" s="855"/>
    </row>
    <row r="830" spans="1:6" x14ac:dyDescent="0.2">
      <c r="A830" s="368"/>
      <c r="B830"/>
      <c r="C830"/>
      <c r="D830"/>
      <c r="E830"/>
      <c r="F830" s="855"/>
    </row>
    <row r="831" spans="1:6" x14ac:dyDescent="0.2">
      <c r="A831" s="368"/>
      <c r="B831"/>
      <c r="C831"/>
      <c r="D831"/>
      <c r="E831"/>
      <c r="F831" s="855"/>
    </row>
    <row r="832" spans="1:6" x14ac:dyDescent="0.2">
      <c r="A832" s="368"/>
      <c r="B832"/>
      <c r="C832"/>
      <c r="D832"/>
      <c r="E832"/>
      <c r="F832" s="855"/>
    </row>
    <row r="833" spans="1:6" x14ac:dyDescent="0.2">
      <c r="A833" s="368"/>
      <c r="B833"/>
      <c r="C833"/>
      <c r="D833"/>
      <c r="E833"/>
      <c r="F833" s="855"/>
    </row>
    <row r="834" spans="1:6" x14ac:dyDescent="0.2">
      <c r="A834" s="368"/>
      <c r="B834"/>
      <c r="C834"/>
      <c r="D834"/>
      <c r="E834"/>
      <c r="F834" s="855"/>
    </row>
    <row r="835" spans="1:6" x14ac:dyDescent="0.2">
      <c r="A835" s="368"/>
      <c r="B835"/>
      <c r="C835"/>
      <c r="D835"/>
      <c r="E835"/>
      <c r="F835" s="855"/>
    </row>
    <row r="836" spans="1:6" x14ac:dyDescent="0.2">
      <c r="A836" s="368"/>
      <c r="B836"/>
      <c r="C836"/>
      <c r="D836"/>
      <c r="E836"/>
      <c r="F836" s="855"/>
    </row>
    <row r="837" spans="1:6" x14ac:dyDescent="0.2">
      <c r="A837" s="368"/>
      <c r="B837"/>
      <c r="C837"/>
      <c r="D837"/>
      <c r="E837"/>
      <c r="F837" s="855"/>
    </row>
    <row r="838" spans="1:6" x14ac:dyDescent="0.2">
      <c r="A838" s="368"/>
      <c r="B838"/>
      <c r="C838"/>
      <c r="D838"/>
      <c r="E838"/>
      <c r="F838" s="855"/>
    </row>
    <row r="839" spans="1:6" x14ac:dyDescent="0.2">
      <c r="A839" s="368"/>
      <c r="B839"/>
      <c r="C839"/>
      <c r="D839"/>
      <c r="E839"/>
      <c r="F839" s="855"/>
    </row>
    <row r="840" spans="1:6" x14ac:dyDescent="0.2">
      <c r="A840" s="368"/>
      <c r="B840"/>
      <c r="C840"/>
      <c r="D840"/>
      <c r="E840"/>
      <c r="F840" s="855"/>
    </row>
    <row r="841" spans="1:6" x14ac:dyDescent="0.2">
      <c r="A841" s="368"/>
      <c r="B841"/>
      <c r="C841"/>
      <c r="D841"/>
      <c r="E841"/>
      <c r="F841" s="855"/>
    </row>
    <row r="842" spans="1:6" x14ac:dyDescent="0.2">
      <c r="A842" s="368"/>
      <c r="B842"/>
      <c r="C842"/>
      <c r="D842"/>
      <c r="E842"/>
      <c r="F842" s="855"/>
    </row>
    <row r="843" spans="1:6" x14ac:dyDescent="0.2">
      <c r="A843" s="368"/>
      <c r="B843"/>
      <c r="C843"/>
      <c r="D843"/>
      <c r="E843"/>
      <c r="F843" s="855"/>
    </row>
    <row r="844" spans="1:6" x14ac:dyDescent="0.2">
      <c r="A844" s="368"/>
      <c r="B844"/>
      <c r="C844"/>
      <c r="D844"/>
      <c r="E844"/>
      <c r="F844" s="855"/>
    </row>
    <row r="845" spans="1:6" x14ac:dyDescent="0.2">
      <c r="A845" s="368"/>
      <c r="B845"/>
      <c r="C845"/>
      <c r="D845"/>
      <c r="E845"/>
      <c r="F845" s="855"/>
    </row>
    <row r="846" spans="1:6" x14ac:dyDescent="0.2">
      <c r="A846" s="368"/>
      <c r="B846"/>
      <c r="C846"/>
      <c r="D846"/>
      <c r="E846"/>
      <c r="F846" s="855"/>
    </row>
    <row r="847" spans="1:6" x14ac:dyDescent="0.2">
      <c r="A847" s="368"/>
      <c r="B847"/>
      <c r="C847"/>
      <c r="D847"/>
      <c r="E847"/>
      <c r="F847" s="855"/>
    </row>
    <row r="848" spans="1:6" x14ac:dyDescent="0.2">
      <c r="A848" s="368"/>
      <c r="B848"/>
      <c r="C848"/>
      <c r="D848"/>
      <c r="E848"/>
      <c r="F848" s="855"/>
    </row>
    <row r="849" spans="1:6" x14ac:dyDescent="0.2">
      <c r="A849" s="368"/>
      <c r="B849"/>
      <c r="C849"/>
      <c r="D849"/>
      <c r="E849"/>
      <c r="F849" s="855"/>
    </row>
    <row r="850" spans="1:6" x14ac:dyDescent="0.2">
      <c r="A850" s="368"/>
      <c r="B850"/>
      <c r="C850"/>
      <c r="D850"/>
      <c r="E850"/>
      <c r="F850" s="855"/>
    </row>
    <row r="851" spans="1:6" x14ac:dyDescent="0.2">
      <c r="A851" s="368"/>
      <c r="B851"/>
      <c r="C851"/>
      <c r="D851"/>
      <c r="E851"/>
      <c r="F851" s="855"/>
    </row>
    <row r="852" spans="1:6" x14ac:dyDescent="0.2">
      <c r="A852" s="368"/>
      <c r="B852"/>
      <c r="C852"/>
      <c r="D852"/>
      <c r="E852"/>
      <c r="F852" s="855"/>
    </row>
    <row r="853" spans="1:6" x14ac:dyDescent="0.2">
      <c r="A853" s="368"/>
      <c r="B853"/>
      <c r="C853"/>
      <c r="D853"/>
      <c r="E853"/>
      <c r="F853" s="855"/>
    </row>
    <row r="854" spans="1:6" x14ac:dyDescent="0.2">
      <c r="A854" s="368"/>
      <c r="B854"/>
      <c r="C854"/>
      <c r="D854"/>
      <c r="E854"/>
      <c r="F854" s="855"/>
    </row>
    <row r="855" spans="1:6" x14ac:dyDescent="0.2">
      <c r="A855" s="368"/>
      <c r="B855"/>
      <c r="C855"/>
      <c r="D855"/>
      <c r="E855"/>
      <c r="F855" s="855"/>
    </row>
    <row r="856" spans="1:6" x14ac:dyDescent="0.2">
      <c r="A856" s="368"/>
      <c r="B856"/>
      <c r="C856"/>
      <c r="D856"/>
      <c r="E856"/>
      <c r="F856" s="855"/>
    </row>
    <row r="857" spans="1:6" x14ac:dyDescent="0.2">
      <c r="A857" s="368"/>
      <c r="B857"/>
      <c r="C857"/>
      <c r="D857"/>
      <c r="E857"/>
      <c r="F857" s="855"/>
    </row>
    <row r="858" spans="1:6" x14ac:dyDescent="0.2">
      <c r="A858" s="368"/>
      <c r="B858"/>
      <c r="C858"/>
      <c r="D858"/>
      <c r="E858"/>
      <c r="F858" s="855"/>
    </row>
    <row r="859" spans="1:6" x14ac:dyDescent="0.2">
      <c r="A859" s="368"/>
      <c r="B859"/>
      <c r="C859"/>
      <c r="D859"/>
      <c r="E859"/>
      <c r="F859" s="855"/>
    </row>
    <row r="860" spans="1:6" x14ac:dyDescent="0.2">
      <c r="A860" s="368"/>
      <c r="B860"/>
      <c r="C860"/>
      <c r="D860"/>
      <c r="E860"/>
      <c r="F860" s="855"/>
    </row>
    <row r="861" spans="1:6" x14ac:dyDescent="0.2">
      <c r="A861" s="368"/>
      <c r="B861"/>
      <c r="C861"/>
      <c r="D861"/>
      <c r="E861"/>
      <c r="F861" s="855"/>
    </row>
    <row r="862" spans="1:6" x14ac:dyDescent="0.2">
      <c r="A862" s="368"/>
      <c r="B862"/>
      <c r="C862"/>
      <c r="D862"/>
      <c r="E862"/>
      <c r="F862" s="855"/>
    </row>
    <row r="863" spans="1:6" x14ac:dyDescent="0.2">
      <c r="A863" s="368"/>
      <c r="B863"/>
      <c r="C863"/>
      <c r="D863"/>
      <c r="E863"/>
      <c r="F863" s="855"/>
    </row>
    <row r="864" spans="1:6" x14ac:dyDescent="0.2">
      <c r="A864" s="368"/>
      <c r="B864"/>
      <c r="C864"/>
      <c r="D864"/>
      <c r="E864"/>
      <c r="F864" s="855"/>
    </row>
    <row r="865" spans="1:6" x14ac:dyDescent="0.2">
      <c r="A865" s="368"/>
      <c r="B865"/>
      <c r="C865"/>
      <c r="D865"/>
      <c r="E865"/>
      <c r="F865" s="855"/>
    </row>
    <row r="866" spans="1:6" x14ac:dyDescent="0.2">
      <c r="A866" s="368"/>
      <c r="B866"/>
      <c r="C866"/>
      <c r="D866"/>
      <c r="E866"/>
      <c r="F866" s="855"/>
    </row>
    <row r="867" spans="1:6" x14ac:dyDescent="0.2">
      <c r="A867" s="368"/>
      <c r="B867"/>
      <c r="C867"/>
      <c r="D867"/>
      <c r="E867"/>
      <c r="F867" s="855"/>
    </row>
    <row r="868" spans="1:6" x14ac:dyDescent="0.2">
      <c r="A868" s="368"/>
      <c r="B868"/>
      <c r="C868"/>
      <c r="D868"/>
      <c r="E868"/>
      <c r="F868" s="855"/>
    </row>
    <row r="869" spans="1:6" x14ac:dyDescent="0.2">
      <c r="A869" s="368"/>
      <c r="B869"/>
      <c r="C869"/>
      <c r="D869"/>
      <c r="E869"/>
      <c r="F869" s="855"/>
    </row>
    <row r="870" spans="1:6" x14ac:dyDescent="0.2">
      <c r="A870" s="368"/>
      <c r="B870"/>
      <c r="C870"/>
      <c r="D870"/>
      <c r="E870"/>
      <c r="F870" s="855"/>
    </row>
    <row r="871" spans="1:6" x14ac:dyDescent="0.2">
      <c r="A871" s="368"/>
      <c r="B871"/>
      <c r="C871"/>
      <c r="D871"/>
      <c r="E871"/>
      <c r="F871" s="855"/>
    </row>
    <row r="872" spans="1:6" x14ac:dyDescent="0.2">
      <c r="A872" s="368"/>
      <c r="B872"/>
      <c r="C872"/>
      <c r="D872"/>
      <c r="E872"/>
      <c r="F872" s="855"/>
    </row>
    <row r="873" spans="1:6" x14ac:dyDescent="0.2">
      <c r="A873" s="368"/>
      <c r="B873"/>
      <c r="C873"/>
      <c r="D873"/>
      <c r="E873"/>
      <c r="F873" s="855"/>
    </row>
    <row r="874" spans="1:6" x14ac:dyDescent="0.2">
      <c r="A874" s="368"/>
      <c r="B874"/>
      <c r="C874"/>
      <c r="D874"/>
      <c r="E874"/>
      <c r="F874" s="855"/>
    </row>
    <row r="875" spans="1:6" x14ac:dyDescent="0.2">
      <c r="A875" s="368"/>
      <c r="B875"/>
      <c r="C875"/>
      <c r="D875"/>
      <c r="E875"/>
      <c r="F875" s="855"/>
    </row>
    <row r="876" spans="1:6" x14ac:dyDescent="0.2">
      <c r="A876" s="368"/>
      <c r="B876"/>
      <c r="C876"/>
      <c r="D876"/>
      <c r="E876"/>
      <c r="F876" s="855"/>
    </row>
    <row r="877" spans="1:6" x14ac:dyDescent="0.2">
      <c r="A877" s="368"/>
      <c r="B877"/>
      <c r="C877"/>
      <c r="D877"/>
      <c r="E877"/>
      <c r="F877" s="855"/>
    </row>
    <row r="878" spans="1:6" x14ac:dyDescent="0.2">
      <c r="A878" s="368"/>
      <c r="B878"/>
      <c r="C878"/>
      <c r="D878"/>
      <c r="E878"/>
      <c r="F878" s="855"/>
    </row>
    <row r="879" spans="1:6" x14ac:dyDescent="0.2">
      <c r="A879" s="368"/>
      <c r="B879"/>
      <c r="C879"/>
      <c r="D879"/>
      <c r="E879"/>
      <c r="F879" s="855"/>
    </row>
    <row r="880" spans="1:6" x14ac:dyDescent="0.2">
      <c r="A880" s="368"/>
      <c r="B880"/>
      <c r="C880"/>
      <c r="D880"/>
      <c r="E880"/>
      <c r="F880" s="855"/>
    </row>
    <row r="881" spans="1:6" x14ac:dyDescent="0.2">
      <c r="A881" s="368"/>
      <c r="B881"/>
      <c r="C881"/>
      <c r="D881"/>
      <c r="E881"/>
      <c r="F881" s="855"/>
    </row>
    <row r="882" spans="1:6" x14ac:dyDescent="0.2">
      <c r="A882" s="368"/>
      <c r="B882"/>
      <c r="C882"/>
      <c r="D882"/>
      <c r="E882"/>
      <c r="F882" s="855"/>
    </row>
    <row r="883" spans="1:6" x14ac:dyDescent="0.2">
      <c r="A883" s="368"/>
      <c r="B883"/>
      <c r="C883"/>
      <c r="D883"/>
      <c r="E883"/>
      <c r="F883" s="855"/>
    </row>
    <row r="884" spans="1:6" x14ac:dyDescent="0.2">
      <c r="A884" s="368"/>
      <c r="B884"/>
      <c r="C884"/>
      <c r="D884"/>
      <c r="E884"/>
      <c r="F884" s="855"/>
    </row>
    <row r="885" spans="1:6" x14ac:dyDescent="0.2">
      <c r="A885" s="368"/>
      <c r="B885"/>
      <c r="C885"/>
      <c r="D885"/>
      <c r="E885"/>
      <c r="F885" s="855"/>
    </row>
    <row r="886" spans="1:6" x14ac:dyDescent="0.2">
      <c r="A886" s="368"/>
      <c r="B886"/>
      <c r="C886"/>
      <c r="D886"/>
      <c r="E886"/>
      <c r="F886" s="855"/>
    </row>
    <row r="887" spans="1:6" x14ac:dyDescent="0.2">
      <c r="A887" s="368"/>
      <c r="B887"/>
      <c r="C887"/>
      <c r="D887"/>
      <c r="E887"/>
      <c r="F887" s="855"/>
    </row>
    <row r="888" spans="1:6" x14ac:dyDescent="0.2">
      <c r="A888" s="368"/>
      <c r="B888"/>
      <c r="C888"/>
      <c r="D888"/>
      <c r="E888"/>
      <c r="F888" s="855"/>
    </row>
    <row r="889" spans="1:6" x14ac:dyDescent="0.2">
      <c r="A889" s="368"/>
      <c r="B889"/>
      <c r="C889"/>
      <c r="D889"/>
      <c r="E889"/>
      <c r="F889" s="855"/>
    </row>
    <row r="890" spans="1:6" x14ac:dyDescent="0.2">
      <c r="A890" s="368"/>
      <c r="B890"/>
      <c r="C890"/>
      <c r="D890"/>
      <c r="E890"/>
      <c r="F890" s="855"/>
    </row>
    <row r="891" spans="1:6" x14ac:dyDescent="0.2">
      <c r="A891" s="368"/>
      <c r="B891"/>
      <c r="C891"/>
      <c r="D891"/>
      <c r="E891"/>
      <c r="F891" s="855"/>
    </row>
    <row r="892" spans="1:6" x14ac:dyDescent="0.2">
      <c r="A892" s="368"/>
      <c r="B892"/>
      <c r="C892"/>
      <c r="D892"/>
      <c r="E892"/>
      <c r="F892" s="855"/>
    </row>
    <row r="893" spans="1:6" x14ac:dyDescent="0.2">
      <c r="A893" s="368"/>
      <c r="B893"/>
      <c r="C893"/>
      <c r="D893"/>
      <c r="E893"/>
      <c r="F893" s="855"/>
    </row>
    <row r="894" spans="1:6" x14ac:dyDescent="0.2">
      <c r="A894" s="368"/>
      <c r="B894"/>
      <c r="C894"/>
      <c r="D894"/>
      <c r="E894"/>
      <c r="F894" s="855"/>
    </row>
    <row r="895" spans="1:6" x14ac:dyDescent="0.2">
      <c r="A895" s="368"/>
      <c r="B895"/>
      <c r="C895"/>
      <c r="D895"/>
      <c r="E895"/>
      <c r="F895" s="855"/>
    </row>
    <row r="896" spans="1:6" x14ac:dyDescent="0.2">
      <c r="A896" s="368"/>
      <c r="B896"/>
      <c r="C896"/>
      <c r="D896"/>
      <c r="E896"/>
      <c r="F896" s="855"/>
    </row>
    <row r="897" spans="1:6" x14ac:dyDescent="0.2">
      <c r="A897" s="368"/>
      <c r="B897"/>
      <c r="C897"/>
      <c r="D897"/>
      <c r="E897"/>
      <c r="F897" s="855"/>
    </row>
    <row r="898" spans="1:6" x14ac:dyDescent="0.2">
      <c r="A898" s="368"/>
      <c r="B898"/>
      <c r="C898"/>
      <c r="D898"/>
      <c r="E898"/>
      <c r="F898" s="855"/>
    </row>
    <row r="899" spans="1:6" x14ac:dyDescent="0.2">
      <c r="A899" s="368"/>
      <c r="B899"/>
      <c r="C899"/>
      <c r="D899"/>
      <c r="E899"/>
      <c r="F899" s="855"/>
    </row>
    <row r="900" spans="1:6" x14ac:dyDescent="0.2">
      <c r="A900" s="368"/>
      <c r="B900"/>
      <c r="C900"/>
      <c r="D900"/>
      <c r="E900"/>
      <c r="F900" s="855"/>
    </row>
    <row r="901" spans="1:6" x14ac:dyDescent="0.2">
      <c r="A901" s="368"/>
      <c r="B901"/>
      <c r="C901"/>
      <c r="D901"/>
      <c r="E901"/>
      <c r="F901" s="855"/>
    </row>
    <row r="902" spans="1:6" x14ac:dyDescent="0.2">
      <c r="A902" s="368"/>
      <c r="B902"/>
      <c r="C902"/>
      <c r="D902"/>
      <c r="E902"/>
      <c r="F902" s="855"/>
    </row>
    <row r="903" spans="1:6" x14ac:dyDescent="0.2">
      <c r="A903" s="368"/>
      <c r="B903"/>
      <c r="C903"/>
      <c r="D903"/>
      <c r="E903"/>
      <c r="F903" s="855"/>
    </row>
    <row r="904" spans="1:6" x14ac:dyDescent="0.2">
      <c r="A904" s="368"/>
      <c r="B904"/>
      <c r="C904"/>
      <c r="D904"/>
      <c r="E904"/>
      <c r="F904" s="855"/>
    </row>
    <row r="905" spans="1:6" x14ac:dyDescent="0.2">
      <c r="A905" s="368"/>
      <c r="B905"/>
      <c r="C905"/>
      <c r="D905"/>
      <c r="E905"/>
      <c r="F905" s="855"/>
    </row>
    <row r="906" spans="1:6" x14ac:dyDescent="0.2">
      <c r="A906" s="368"/>
      <c r="B906"/>
      <c r="C906"/>
      <c r="D906"/>
      <c r="E906"/>
      <c r="F906" s="855"/>
    </row>
    <row r="907" spans="1:6" x14ac:dyDescent="0.2">
      <c r="A907" s="368"/>
      <c r="B907"/>
      <c r="C907"/>
      <c r="D907"/>
      <c r="E907"/>
      <c r="F907" s="855"/>
    </row>
    <row r="908" spans="1:6" x14ac:dyDescent="0.2">
      <c r="A908" s="368"/>
      <c r="B908"/>
      <c r="C908"/>
      <c r="D908"/>
      <c r="E908"/>
      <c r="F908" s="855"/>
    </row>
    <row r="909" spans="1:6" x14ac:dyDescent="0.2">
      <c r="A909" s="368"/>
      <c r="B909"/>
      <c r="C909"/>
      <c r="D909"/>
      <c r="E909"/>
      <c r="F909" s="855"/>
    </row>
    <row r="910" spans="1:6" x14ac:dyDescent="0.2">
      <c r="A910" s="368"/>
      <c r="B910"/>
      <c r="C910"/>
      <c r="D910"/>
      <c r="E910"/>
      <c r="F910" s="855"/>
    </row>
    <row r="911" spans="1:6" x14ac:dyDescent="0.2">
      <c r="A911" s="368"/>
      <c r="B911"/>
      <c r="C911"/>
      <c r="D911"/>
      <c r="E911"/>
      <c r="F911" s="855"/>
    </row>
    <row r="912" spans="1:6" x14ac:dyDescent="0.2">
      <c r="A912" s="368"/>
      <c r="B912"/>
      <c r="C912"/>
      <c r="D912"/>
      <c r="E912"/>
      <c r="F912" s="855"/>
    </row>
    <row r="913" spans="1:6" x14ac:dyDescent="0.2">
      <c r="A913" s="368"/>
      <c r="B913"/>
      <c r="C913"/>
      <c r="D913"/>
      <c r="E913"/>
      <c r="F913" s="855"/>
    </row>
    <row r="914" spans="1:6" x14ac:dyDescent="0.2">
      <c r="A914" s="368"/>
      <c r="B914"/>
      <c r="C914"/>
      <c r="D914"/>
      <c r="E914"/>
      <c r="F914" s="855"/>
    </row>
    <row r="915" spans="1:6" x14ac:dyDescent="0.2">
      <c r="A915" s="368"/>
      <c r="B915"/>
      <c r="C915"/>
      <c r="D915"/>
      <c r="E915"/>
      <c r="F915" s="855"/>
    </row>
    <row r="916" spans="1:6" x14ac:dyDescent="0.2">
      <c r="A916" s="368"/>
      <c r="B916"/>
      <c r="C916"/>
      <c r="D916"/>
      <c r="E916"/>
      <c r="F916" s="855"/>
    </row>
    <row r="917" spans="1:6" x14ac:dyDescent="0.2">
      <c r="A917" s="368"/>
      <c r="B917"/>
      <c r="C917"/>
      <c r="D917"/>
      <c r="E917"/>
      <c r="F917" s="855"/>
    </row>
    <row r="918" spans="1:6" x14ac:dyDescent="0.2">
      <c r="A918" s="368"/>
      <c r="B918"/>
      <c r="C918"/>
      <c r="D918"/>
      <c r="E918"/>
      <c r="F918" s="855"/>
    </row>
    <row r="919" spans="1:6" x14ac:dyDescent="0.2">
      <c r="A919" s="368"/>
      <c r="B919"/>
      <c r="C919"/>
      <c r="D919"/>
      <c r="E919"/>
      <c r="F919" s="855"/>
    </row>
    <row r="920" spans="1:6" x14ac:dyDescent="0.2">
      <c r="A920" s="368"/>
      <c r="B920"/>
      <c r="C920"/>
      <c r="D920"/>
      <c r="E920"/>
      <c r="F920" s="855"/>
    </row>
    <row r="921" spans="1:6" x14ac:dyDescent="0.2">
      <c r="A921" s="368"/>
      <c r="B921"/>
      <c r="C921"/>
      <c r="D921"/>
      <c r="E921"/>
      <c r="F921" s="855"/>
    </row>
    <row r="922" spans="1:6" x14ac:dyDescent="0.2">
      <c r="A922" s="368"/>
      <c r="B922"/>
      <c r="C922"/>
      <c r="D922"/>
      <c r="E922"/>
      <c r="F922" s="855"/>
    </row>
    <row r="923" spans="1:6" x14ac:dyDescent="0.2">
      <c r="A923" s="368"/>
      <c r="B923"/>
      <c r="C923"/>
      <c r="D923"/>
      <c r="E923"/>
      <c r="F923" s="855"/>
    </row>
    <row r="924" spans="1:6" x14ac:dyDescent="0.2">
      <c r="A924" s="368"/>
      <c r="B924"/>
      <c r="C924"/>
      <c r="D924"/>
      <c r="E924"/>
      <c r="F924" s="855"/>
    </row>
    <row r="925" spans="1:6" x14ac:dyDescent="0.2">
      <c r="A925" s="368"/>
      <c r="B925"/>
      <c r="C925"/>
      <c r="D925"/>
      <c r="E925"/>
      <c r="F925" s="855"/>
    </row>
    <row r="926" spans="1:6" x14ac:dyDescent="0.2">
      <c r="A926" s="368"/>
      <c r="B926"/>
      <c r="C926"/>
      <c r="D926"/>
      <c r="E926"/>
      <c r="F926" s="855"/>
    </row>
    <row r="927" spans="1:6" x14ac:dyDescent="0.2">
      <c r="A927" s="368"/>
      <c r="B927"/>
      <c r="C927"/>
      <c r="D927"/>
      <c r="E927"/>
      <c r="F927" s="855"/>
    </row>
    <row r="928" spans="1:6" x14ac:dyDescent="0.2">
      <c r="A928" s="368"/>
      <c r="B928"/>
      <c r="C928"/>
      <c r="D928"/>
      <c r="E928"/>
      <c r="F928" s="855"/>
    </row>
    <row r="929" spans="1:6" x14ac:dyDescent="0.2">
      <c r="A929" s="368"/>
      <c r="B929"/>
      <c r="C929"/>
      <c r="D929"/>
      <c r="E929"/>
      <c r="F929" s="855"/>
    </row>
    <row r="930" spans="1:6" x14ac:dyDescent="0.2">
      <c r="A930" s="368"/>
      <c r="B930"/>
      <c r="C930"/>
      <c r="D930"/>
      <c r="E930"/>
      <c r="F930" s="855"/>
    </row>
    <row r="931" spans="1:6" x14ac:dyDescent="0.2">
      <c r="A931" s="368"/>
      <c r="B931"/>
      <c r="C931"/>
      <c r="D931"/>
      <c r="E931"/>
      <c r="F931" s="855"/>
    </row>
    <row r="932" spans="1:6" x14ac:dyDescent="0.2">
      <c r="A932" s="368"/>
      <c r="B932"/>
      <c r="C932"/>
      <c r="D932"/>
      <c r="E932"/>
      <c r="F932" s="855"/>
    </row>
    <row r="933" spans="1:6" x14ac:dyDescent="0.2">
      <c r="A933" s="368"/>
      <c r="B933"/>
      <c r="C933"/>
      <c r="D933"/>
      <c r="E933"/>
      <c r="F933" s="855"/>
    </row>
    <row r="934" spans="1:6" x14ac:dyDescent="0.2">
      <c r="A934" s="368"/>
      <c r="B934"/>
      <c r="C934"/>
      <c r="D934"/>
      <c r="E934"/>
      <c r="F934" s="855"/>
    </row>
    <row r="935" spans="1:6" x14ac:dyDescent="0.2">
      <c r="A935" s="368"/>
      <c r="B935"/>
      <c r="C935"/>
      <c r="D935"/>
      <c r="E935"/>
      <c r="F935" s="855"/>
    </row>
    <row r="936" spans="1:6" x14ac:dyDescent="0.2">
      <c r="A936" s="368"/>
      <c r="B936"/>
      <c r="C936"/>
      <c r="D936"/>
      <c r="E936"/>
      <c r="F936" s="855"/>
    </row>
    <row r="937" spans="1:6" x14ac:dyDescent="0.2">
      <c r="A937" s="368"/>
      <c r="B937"/>
      <c r="C937"/>
      <c r="D937"/>
      <c r="E937"/>
      <c r="F937" s="855"/>
    </row>
    <row r="938" spans="1:6" x14ac:dyDescent="0.2">
      <c r="A938" s="368"/>
      <c r="B938"/>
      <c r="C938"/>
      <c r="D938"/>
      <c r="E938"/>
      <c r="F938" s="855"/>
    </row>
    <row r="939" spans="1:6" x14ac:dyDescent="0.2">
      <c r="A939" s="368"/>
      <c r="B939"/>
      <c r="C939"/>
      <c r="D939"/>
      <c r="E939"/>
      <c r="F939" s="855"/>
    </row>
    <row r="940" spans="1:6" x14ac:dyDescent="0.2">
      <c r="A940" s="368"/>
      <c r="B940"/>
      <c r="C940"/>
      <c r="D940"/>
      <c r="E940"/>
      <c r="F940" s="855"/>
    </row>
    <row r="941" spans="1:6" x14ac:dyDescent="0.2">
      <c r="A941" s="368"/>
      <c r="B941"/>
      <c r="C941"/>
      <c r="D941"/>
      <c r="E941"/>
      <c r="F941" s="855"/>
    </row>
    <row r="942" spans="1:6" x14ac:dyDescent="0.2">
      <c r="A942" s="368"/>
      <c r="B942"/>
      <c r="C942"/>
      <c r="D942"/>
      <c r="E942"/>
      <c r="F942" s="855"/>
    </row>
    <row r="943" spans="1:6" x14ac:dyDescent="0.2">
      <c r="A943" s="368"/>
      <c r="B943"/>
      <c r="C943"/>
      <c r="D943"/>
      <c r="E943"/>
      <c r="F943" s="855"/>
    </row>
    <row r="944" spans="1:6" x14ac:dyDescent="0.2">
      <c r="A944" s="368"/>
      <c r="B944"/>
      <c r="C944"/>
      <c r="D944"/>
      <c r="E944"/>
      <c r="F944" s="855"/>
    </row>
    <row r="945" spans="1:6" x14ac:dyDescent="0.2">
      <c r="A945" s="368"/>
      <c r="B945"/>
      <c r="C945"/>
      <c r="D945"/>
      <c r="E945"/>
      <c r="F945" s="855"/>
    </row>
    <row r="946" spans="1:6" x14ac:dyDescent="0.2">
      <c r="A946" s="368"/>
      <c r="B946"/>
      <c r="C946"/>
      <c r="D946"/>
      <c r="E946"/>
      <c r="F946" s="855"/>
    </row>
    <row r="947" spans="1:6" x14ac:dyDescent="0.2">
      <c r="A947" s="368"/>
      <c r="B947"/>
      <c r="C947"/>
      <c r="D947"/>
      <c r="E947"/>
      <c r="F947" s="855"/>
    </row>
    <row r="948" spans="1:6" x14ac:dyDescent="0.2">
      <c r="A948" s="368"/>
      <c r="B948"/>
      <c r="C948"/>
      <c r="D948"/>
      <c r="E948"/>
      <c r="F948" s="855"/>
    </row>
    <row r="949" spans="1:6" x14ac:dyDescent="0.2">
      <c r="A949" s="368"/>
      <c r="B949"/>
      <c r="C949"/>
      <c r="D949"/>
      <c r="E949"/>
      <c r="F949" s="855"/>
    </row>
    <row r="950" spans="1:6" x14ac:dyDescent="0.2">
      <c r="A950" s="368"/>
      <c r="B950"/>
      <c r="C950"/>
      <c r="D950"/>
      <c r="E950"/>
      <c r="F950" s="855"/>
    </row>
    <row r="951" spans="1:6" x14ac:dyDescent="0.2">
      <c r="A951" s="368"/>
      <c r="B951"/>
      <c r="C951"/>
      <c r="D951"/>
      <c r="E951"/>
      <c r="F951" s="855"/>
    </row>
    <row r="952" spans="1:6" x14ac:dyDescent="0.2">
      <c r="A952" s="368"/>
      <c r="B952"/>
      <c r="C952"/>
      <c r="D952"/>
      <c r="E952"/>
      <c r="F952" s="855"/>
    </row>
    <row r="953" spans="1:6" x14ac:dyDescent="0.2">
      <c r="A953" s="368"/>
      <c r="B953"/>
      <c r="C953"/>
      <c r="D953"/>
      <c r="E953"/>
      <c r="F953" s="855"/>
    </row>
    <row r="954" spans="1:6" x14ac:dyDescent="0.2">
      <c r="A954" s="368"/>
      <c r="B954"/>
      <c r="C954"/>
      <c r="D954"/>
      <c r="E954"/>
      <c r="F954" s="855"/>
    </row>
    <row r="955" spans="1:6" x14ac:dyDescent="0.2">
      <c r="A955" s="368"/>
      <c r="B955"/>
      <c r="C955"/>
      <c r="D955"/>
      <c r="E955"/>
      <c r="F955" s="855"/>
    </row>
    <row r="956" spans="1:6" x14ac:dyDescent="0.2">
      <c r="A956" s="368"/>
      <c r="B956"/>
      <c r="C956"/>
      <c r="D956"/>
      <c r="E956"/>
      <c r="F956" s="855"/>
    </row>
    <row r="957" spans="1:6" x14ac:dyDescent="0.2">
      <c r="A957" s="368"/>
      <c r="B957"/>
      <c r="C957"/>
      <c r="D957"/>
      <c r="E957"/>
      <c r="F957" s="855"/>
    </row>
    <row r="958" spans="1:6" x14ac:dyDescent="0.2">
      <c r="A958" s="368"/>
      <c r="B958"/>
      <c r="C958"/>
      <c r="D958"/>
      <c r="E958"/>
      <c r="F958" s="855"/>
    </row>
    <row r="959" spans="1:6" x14ac:dyDescent="0.2">
      <c r="A959" s="368"/>
      <c r="B959"/>
      <c r="C959"/>
      <c r="D959"/>
      <c r="E959"/>
      <c r="F959" s="855"/>
    </row>
    <row r="960" spans="1:6" x14ac:dyDescent="0.2">
      <c r="A960" s="368"/>
      <c r="B960"/>
      <c r="C960"/>
      <c r="D960"/>
      <c r="E960"/>
      <c r="F960" s="855"/>
    </row>
    <row r="961" spans="1:6" x14ac:dyDescent="0.2">
      <c r="A961" s="368"/>
      <c r="B961"/>
      <c r="C961"/>
      <c r="D961"/>
      <c r="E961"/>
      <c r="F961" s="855"/>
    </row>
    <row r="962" spans="1:6" x14ac:dyDescent="0.2">
      <c r="A962" s="368"/>
      <c r="B962"/>
      <c r="C962"/>
      <c r="D962"/>
      <c r="E962"/>
      <c r="F962" s="855"/>
    </row>
    <row r="963" spans="1:6" x14ac:dyDescent="0.2">
      <c r="A963" s="368"/>
      <c r="B963"/>
      <c r="C963"/>
      <c r="D963"/>
      <c r="E963"/>
      <c r="F963" s="855"/>
    </row>
    <row r="964" spans="1:6" x14ac:dyDescent="0.2">
      <c r="A964" s="368"/>
      <c r="B964"/>
      <c r="C964"/>
      <c r="D964"/>
      <c r="E964"/>
      <c r="F964" s="855"/>
    </row>
    <row r="965" spans="1:6" x14ac:dyDescent="0.2">
      <c r="A965" s="368"/>
      <c r="B965"/>
      <c r="C965"/>
      <c r="D965"/>
      <c r="E965"/>
      <c r="F965" s="855"/>
    </row>
    <row r="966" spans="1:6" x14ac:dyDescent="0.2">
      <c r="A966" s="368"/>
      <c r="B966"/>
      <c r="C966"/>
      <c r="D966"/>
      <c r="E966"/>
      <c r="F966" s="855"/>
    </row>
    <row r="967" spans="1:6" x14ac:dyDescent="0.2">
      <c r="A967" s="368"/>
      <c r="B967"/>
      <c r="C967"/>
      <c r="D967"/>
      <c r="E967"/>
      <c r="F967" s="855"/>
    </row>
    <row r="968" spans="1:6" x14ac:dyDescent="0.2">
      <c r="A968" s="368"/>
      <c r="B968"/>
      <c r="C968"/>
      <c r="D968"/>
      <c r="E968"/>
      <c r="F968" s="855"/>
    </row>
    <row r="969" spans="1:6" x14ac:dyDescent="0.2">
      <c r="A969" s="368"/>
      <c r="B969"/>
      <c r="C969"/>
      <c r="D969"/>
      <c r="E969"/>
      <c r="F969" s="855"/>
    </row>
    <row r="970" spans="1:6" x14ac:dyDescent="0.2">
      <c r="A970" s="368"/>
      <c r="B970"/>
      <c r="C970"/>
      <c r="D970"/>
      <c r="E970"/>
      <c r="F970" s="855"/>
    </row>
    <row r="971" spans="1:6" x14ac:dyDescent="0.2">
      <c r="A971" s="368"/>
      <c r="B971"/>
      <c r="C971"/>
      <c r="D971"/>
      <c r="E971"/>
      <c r="F971" s="855"/>
    </row>
    <row r="972" spans="1:6" x14ac:dyDescent="0.2">
      <c r="A972" s="368"/>
      <c r="B972"/>
      <c r="C972"/>
      <c r="D972"/>
      <c r="E972"/>
      <c r="F972" s="855"/>
    </row>
    <row r="973" spans="1:6" x14ac:dyDescent="0.2">
      <c r="A973" s="368"/>
      <c r="B973"/>
      <c r="C973"/>
      <c r="D973"/>
      <c r="E973"/>
      <c r="F973" s="855"/>
    </row>
    <row r="974" spans="1:6" x14ac:dyDescent="0.2">
      <c r="A974" s="368"/>
      <c r="B974"/>
      <c r="C974"/>
      <c r="D974"/>
      <c r="E974"/>
      <c r="F974" s="855"/>
    </row>
    <row r="975" spans="1:6" x14ac:dyDescent="0.2">
      <c r="A975" s="368"/>
      <c r="B975"/>
      <c r="C975"/>
      <c r="D975"/>
      <c r="E975"/>
      <c r="F975" s="855"/>
    </row>
    <row r="976" spans="1:6" x14ac:dyDescent="0.2">
      <c r="A976" s="368"/>
      <c r="B976"/>
      <c r="C976"/>
      <c r="D976"/>
      <c r="E976"/>
      <c r="F976" s="855"/>
    </row>
    <row r="977" spans="1:6" x14ac:dyDescent="0.2">
      <c r="A977" s="368"/>
      <c r="B977"/>
      <c r="C977"/>
      <c r="D977"/>
      <c r="E977"/>
      <c r="F977" s="855"/>
    </row>
    <row r="978" spans="1:6" x14ac:dyDescent="0.2">
      <c r="A978" s="368"/>
      <c r="B978"/>
      <c r="C978"/>
      <c r="D978"/>
      <c r="E978"/>
      <c r="F978" s="855"/>
    </row>
    <row r="979" spans="1:6" x14ac:dyDescent="0.2">
      <c r="A979" s="368"/>
      <c r="B979"/>
      <c r="C979"/>
      <c r="D979"/>
      <c r="E979"/>
      <c r="F979" s="855"/>
    </row>
    <row r="980" spans="1:6" x14ac:dyDescent="0.2">
      <c r="A980" s="368"/>
      <c r="B980"/>
      <c r="C980"/>
      <c r="D980"/>
      <c r="E980"/>
      <c r="F980" s="855"/>
    </row>
    <row r="981" spans="1:6" x14ac:dyDescent="0.2">
      <c r="A981" s="368"/>
      <c r="B981"/>
      <c r="C981"/>
      <c r="D981"/>
      <c r="E981"/>
      <c r="F981" s="855"/>
    </row>
    <row r="982" spans="1:6" x14ac:dyDescent="0.2">
      <c r="A982" s="368"/>
      <c r="B982"/>
      <c r="C982"/>
      <c r="D982"/>
      <c r="E982"/>
      <c r="F982" s="855"/>
    </row>
    <row r="983" spans="1:6" x14ac:dyDescent="0.2">
      <c r="A983" s="368"/>
      <c r="B983"/>
      <c r="C983"/>
      <c r="D983"/>
      <c r="E983"/>
      <c r="F983" s="855"/>
    </row>
    <row r="984" spans="1:6" x14ac:dyDescent="0.2">
      <c r="A984" s="368"/>
      <c r="B984"/>
      <c r="C984"/>
      <c r="D984"/>
      <c r="E984"/>
      <c r="F984" s="855"/>
    </row>
    <row r="985" spans="1:6" x14ac:dyDescent="0.2">
      <c r="A985" s="368"/>
      <c r="B985"/>
      <c r="C985"/>
      <c r="D985"/>
      <c r="E985"/>
      <c r="F985" s="855"/>
    </row>
    <row r="986" spans="1:6" x14ac:dyDescent="0.2">
      <c r="A986" s="368"/>
      <c r="B986"/>
      <c r="C986"/>
      <c r="D986"/>
      <c r="E986"/>
      <c r="F986" s="855"/>
    </row>
    <row r="987" spans="1:6" x14ac:dyDescent="0.2">
      <c r="A987" s="368"/>
      <c r="B987"/>
      <c r="C987"/>
      <c r="D987"/>
      <c r="E987"/>
      <c r="F987" s="855"/>
    </row>
    <row r="988" spans="1:6" x14ac:dyDescent="0.2">
      <c r="A988" s="368"/>
      <c r="B988"/>
      <c r="C988"/>
      <c r="D988"/>
      <c r="E988"/>
      <c r="F988" s="855"/>
    </row>
    <row r="989" spans="1:6" x14ac:dyDescent="0.2">
      <c r="A989" s="368"/>
      <c r="B989"/>
      <c r="C989"/>
      <c r="D989"/>
      <c r="E989"/>
      <c r="F989" s="855"/>
    </row>
    <row r="990" spans="1:6" x14ac:dyDescent="0.2">
      <c r="A990" s="368"/>
      <c r="B990"/>
      <c r="C990"/>
      <c r="D990"/>
      <c r="E990"/>
      <c r="F990" s="855"/>
    </row>
    <row r="991" spans="1:6" x14ac:dyDescent="0.2">
      <c r="A991" s="368"/>
      <c r="B991"/>
      <c r="C991"/>
      <c r="D991"/>
      <c r="E991"/>
      <c r="F991" s="855"/>
    </row>
    <row r="992" spans="1:6" x14ac:dyDescent="0.2">
      <c r="A992" s="368"/>
      <c r="B992"/>
      <c r="C992"/>
      <c r="D992"/>
      <c r="E992"/>
      <c r="F992" s="855"/>
    </row>
    <row r="993" spans="1:6" x14ac:dyDescent="0.2">
      <c r="A993" s="368"/>
      <c r="B993"/>
      <c r="C993"/>
      <c r="D993"/>
      <c r="E993"/>
      <c r="F993" s="855"/>
    </row>
    <row r="994" spans="1:6" x14ac:dyDescent="0.2">
      <c r="A994" s="368"/>
      <c r="B994"/>
      <c r="C994"/>
      <c r="D994"/>
      <c r="E994"/>
      <c r="F994" s="855"/>
    </row>
    <row r="995" spans="1:6" x14ac:dyDescent="0.2">
      <c r="A995" s="368"/>
      <c r="B995"/>
      <c r="C995"/>
      <c r="D995"/>
      <c r="E995"/>
      <c r="F995" s="855"/>
    </row>
    <row r="996" spans="1:6" x14ac:dyDescent="0.2">
      <c r="A996" s="368"/>
      <c r="B996"/>
      <c r="C996"/>
      <c r="D996"/>
      <c r="E996"/>
      <c r="F996" s="855"/>
    </row>
    <row r="997" spans="1:6" x14ac:dyDescent="0.2">
      <c r="A997" s="368"/>
      <c r="B997"/>
      <c r="C997"/>
      <c r="D997"/>
      <c r="E997"/>
      <c r="F997" s="855"/>
    </row>
    <row r="998" spans="1:6" x14ac:dyDescent="0.2">
      <c r="A998" s="368"/>
      <c r="B998"/>
      <c r="C998"/>
      <c r="D998"/>
      <c r="E998"/>
      <c r="F998" s="855"/>
    </row>
    <row r="999" spans="1:6" x14ac:dyDescent="0.2">
      <c r="A999" s="368"/>
      <c r="B999"/>
      <c r="C999"/>
      <c r="D999"/>
      <c r="E999"/>
      <c r="F999" s="855"/>
    </row>
    <row r="1000" spans="1:6" x14ac:dyDescent="0.2">
      <c r="A1000" s="368"/>
      <c r="B1000"/>
      <c r="C1000"/>
      <c r="D1000"/>
      <c r="E1000"/>
      <c r="F1000" s="855"/>
    </row>
    <row r="1001" spans="1:6" x14ac:dyDescent="0.2">
      <c r="A1001" s="368"/>
      <c r="B1001"/>
      <c r="C1001"/>
      <c r="D1001"/>
      <c r="E1001"/>
      <c r="F1001" s="855"/>
    </row>
    <row r="1002" spans="1:6" x14ac:dyDescent="0.2">
      <c r="A1002" s="368"/>
      <c r="B1002"/>
      <c r="C1002"/>
      <c r="D1002"/>
      <c r="E1002"/>
      <c r="F1002" s="855"/>
    </row>
    <row r="1003" spans="1:6" x14ac:dyDescent="0.2">
      <c r="A1003" s="368"/>
      <c r="B1003"/>
      <c r="C1003"/>
      <c r="D1003"/>
      <c r="E1003"/>
      <c r="F1003" s="855"/>
    </row>
    <row r="1004" spans="1:6" x14ac:dyDescent="0.2">
      <c r="A1004" s="368"/>
      <c r="B1004"/>
      <c r="C1004"/>
      <c r="D1004"/>
      <c r="E1004"/>
      <c r="F1004" s="855"/>
    </row>
    <row r="1005" spans="1:6" x14ac:dyDescent="0.2">
      <c r="A1005" s="368"/>
      <c r="B1005"/>
      <c r="C1005"/>
      <c r="D1005"/>
      <c r="E1005"/>
      <c r="F1005" s="855"/>
    </row>
    <row r="1006" spans="1:6" x14ac:dyDescent="0.2">
      <c r="A1006" s="368"/>
      <c r="B1006"/>
      <c r="C1006"/>
      <c r="D1006"/>
      <c r="E1006"/>
      <c r="F1006" s="855"/>
    </row>
    <row r="1007" spans="1:6" x14ac:dyDescent="0.2">
      <c r="A1007" s="368"/>
      <c r="B1007"/>
      <c r="C1007"/>
      <c r="D1007"/>
      <c r="E1007"/>
      <c r="F1007" s="855"/>
    </row>
    <row r="1008" spans="1:6" x14ac:dyDescent="0.2">
      <c r="A1008" s="368"/>
      <c r="B1008"/>
      <c r="C1008"/>
      <c r="D1008"/>
      <c r="E1008"/>
      <c r="F1008" s="855"/>
    </row>
    <row r="1009" spans="1:6" x14ac:dyDescent="0.2">
      <c r="A1009" s="368"/>
      <c r="B1009"/>
      <c r="C1009"/>
      <c r="D1009"/>
      <c r="E1009"/>
      <c r="F1009" s="855"/>
    </row>
    <row r="1010" spans="1:6" x14ac:dyDescent="0.2">
      <c r="A1010" s="368"/>
      <c r="B1010"/>
      <c r="C1010"/>
      <c r="D1010"/>
      <c r="E1010"/>
      <c r="F1010" s="855"/>
    </row>
    <row r="1011" spans="1:6" x14ac:dyDescent="0.2">
      <c r="A1011" s="368"/>
      <c r="B1011"/>
      <c r="C1011"/>
      <c r="D1011"/>
      <c r="E1011"/>
      <c r="F1011" s="855"/>
    </row>
    <row r="1012" spans="1:6" x14ac:dyDescent="0.2">
      <c r="A1012" s="368"/>
      <c r="B1012"/>
      <c r="C1012"/>
      <c r="D1012"/>
      <c r="E1012"/>
      <c r="F1012" s="855"/>
    </row>
    <row r="1013" spans="1:6" x14ac:dyDescent="0.2">
      <c r="A1013" s="368"/>
      <c r="B1013"/>
      <c r="C1013"/>
      <c r="D1013"/>
      <c r="E1013"/>
      <c r="F1013" s="855"/>
    </row>
    <row r="1014" spans="1:6" x14ac:dyDescent="0.2">
      <c r="A1014" s="368"/>
      <c r="B1014"/>
      <c r="C1014"/>
      <c r="D1014"/>
      <c r="E1014"/>
      <c r="F1014" s="855"/>
    </row>
    <row r="1015" spans="1:6" x14ac:dyDescent="0.2">
      <c r="A1015" s="368"/>
      <c r="B1015"/>
      <c r="C1015"/>
      <c r="D1015"/>
      <c r="E1015"/>
      <c r="F1015" s="855"/>
    </row>
    <row r="1016" spans="1:6" x14ac:dyDescent="0.2">
      <c r="A1016" s="368"/>
      <c r="B1016"/>
      <c r="C1016"/>
      <c r="D1016"/>
      <c r="E1016"/>
      <c r="F1016" s="855"/>
    </row>
    <row r="1017" spans="1:6" x14ac:dyDescent="0.2">
      <c r="A1017" s="368"/>
      <c r="B1017"/>
      <c r="C1017"/>
      <c r="D1017"/>
      <c r="E1017"/>
      <c r="F1017" s="855"/>
    </row>
    <row r="1018" spans="1:6" x14ac:dyDescent="0.2">
      <c r="A1018" s="368"/>
      <c r="B1018"/>
      <c r="C1018"/>
      <c r="D1018"/>
      <c r="E1018"/>
      <c r="F1018" s="855"/>
    </row>
    <row r="1019" spans="1:6" x14ac:dyDescent="0.2">
      <c r="A1019" s="368"/>
      <c r="B1019"/>
      <c r="C1019"/>
      <c r="D1019"/>
      <c r="E1019"/>
      <c r="F1019" s="855"/>
    </row>
    <row r="1020" spans="1:6" x14ac:dyDescent="0.2">
      <c r="A1020" s="368"/>
      <c r="B1020"/>
      <c r="C1020"/>
      <c r="D1020"/>
      <c r="E1020"/>
      <c r="F1020" s="855"/>
    </row>
    <row r="1021" spans="1:6" x14ac:dyDescent="0.2">
      <c r="A1021" s="368"/>
      <c r="B1021"/>
      <c r="C1021"/>
      <c r="D1021"/>
      <c r="E1021"/>
      <c r="F1021" s="855"/>
    </row>
    <row r="1022" spans="1:6" x14ac:dyDescent="0.2">
      <c r="A1022" s="368"/>
      <c r="B1022"/>
      <c r="C1022"/>
      <c r="D1022"/>
      <c r="E1022"/>
      <c r="F1022" s="855"/>
    </row>
    <row r="1023" spans="1:6" x14ac:dyDescent="0.2">
      <c r="A1023" s="368"/>
      <c r="B1023"/>
      <c r="C1023"/>
      <c r="D1023"/>
      <c r="E1023"/>
      <c r="F1023" s="855"/>
    </row>
    <row r="1024" spans="1:6" x14ac:dyDescent="0.2">
      <c r="A1024" s="368"/>
      <c r="B1024"/>
      <c r="C1024"/>
      <c r="D1024"/>
      <c r="E1024"/>
      <c r="F1024" s="855"/>
    </row>
    <row r="1025" spans="1:6" x14ac:dyDescent="0.2">
      <c r="A1025" s="368"/>
      <c r="B1025"/>
      <c r="C1025"/>
      <c r="D1025"/>
      <c r="E1025"/>
      <c r="F1025" s="855"/>
    </row>
    <row r="1026" spans="1:6" x14ac:dyDescent="0.2">
      <c r="A1026" s="368"/>
      <c r="B1026"/>
      <c r="C1026"/>
      <c r="D1026"/>
      <c r="E1026"/>
      <c r="F1026" s="855"/>
    </row>
    <row r="1027" spans="1:6" x14ac:dyDescent="0.2">
      <c r="A1027" s="368"/>
      <c r="B1027"/>
      <c r="C1027"/>
      <c r="D1027"/>
      <c r="E1027"/>
      <c r="F1027" s="855"/>
    </row>
    <row r="1028" spans="1:6" x14ac:dyDescent="0.2">
      <c r="A1028" s="368"/>
      <c r="B1028"/>
      <c r="C1028"/>
      <c r="D1028"/>
      <c r="E1028"/>
      <c r="F1028" s="855"/>
    </row>
    <row r="1029" spans="1:6" x14ac:dyDescent="0.2">
      <c r="A1029" s="368"/>
      <c r="B1029"/>
      <c r="C1029"/>
      <c r="D1029"/>
      <c r="E1029"/>
      <c r="F1029" s="855"/>
    </row>
    <row r="1030" spans="1:6" x14ac:dyDescent="0.2">
      <c r="A1030" s="368"/>
      <c r="B1030"/>
      <c r="C1030"/>
      <c r="D1030"/>
      <c r="E1030"/>
      <c r="F1030" s="855"/>
    </row>
    <row r="1031" spans="1:6" x14ac:dyDescent="0.2">
      <c r="A1031" s="368"/>
      <c r="B1031"/>
      <c r="C1031"/>
      <c r="D1031"/>
      <c r="E1031"/>
      <c r="F1031" s="855"/>
    </row>
    <row r="1032" spans="1:6" x14ac:dyDescent="0.2">
      <c r="A1032" s="368"/>
      <c r="B1032"/>
      <c r="C1032"/>
      <c r="D1032"/>
      <c r="E1032"/>
      <c r="F1032" s="855"/>
    </row>
    <row r="1033" spans="1:6" x14ac:dyDescent="0.2">
      <c r="A1033" s="368"/>
      <c r="B1033"/>
      <c r="C1033"/>
      <c r="D1033"/>
      <c r="E1033"/>
      <c r="F1033" s="855"/>
    </row>
    <row r="1034" spans="1:6" x14ac:dyDescent="0.2">
      <c r="A1034" s="368"/>
      <c r="B1034"/>
      <c r="C1034"/>
      <c r="D1034"/>
      <c r="E1034"/>
      <c r="F1034" s="855"/>
    </row>
    <row r="1035" spans="1:6" x14ac:dyDescent="0.2">
      <c r="A1035" s="368"/>
      <c r="B1035"/>
      <c r="C1035"/>
      <c r="D1035"/>
      <c r="E1035"/>
      <c r="F1035" s="855"/>
    </row>
    <row r="1036" spans="1:6" x14ac:dyDescent="0.2">
      <c r="A1036" s="368"/>
      <c r="B1036"/>
      <c r="C1036"/>
      <c r="D1036"/>
      <c r="E1036"/>
      <c r="F1036" s="855"/>
    </row>
    <row r="1037" spans="1:6" x14ac:dyDescent="0.2">
      <c r="A1037" s="368"/>
      <c r="B1037"/>
      <c r="C1037"/>
      <c r="D1037"/>
      <c r="E1037"/>
      <c r="F1037" s="855"/>
    </row>
    <row r="1038" spans="1:6" x14ac:dyDescent="0.2">
      <c r="A1038" s="368"/>
      <c r="B1038"/>
      <c r="C1038"/>
      <c r="D1038"/>
      <c r="E1038"/>
      <c r="F1038" s="855"/>
    </row>
    <row r="1039" spans="1:6" x14ac:dyDescent="0.2">
      <c r="A1039" s="368"/>
      <c r="B1039"/>
      <c r="C1039"/>
      <c r="D1039"/>
      <c r="E1039"/>
      <c r="F1039" s="855"/>
    </row>
    <row r="1040" spans="1:6" x14ac:dyDescent="0.2">
      <c r="A1040" s="368"/>
      <c r="B1040"/>
      <c r="C1040"/>
      <c r="D1040"/>
      <c r="E1040"/>
      <c r="F1040" s="855"/>
    </row>
    <row r="1041" spans="1:6" x14ac:dyDescent="0.2">
      <c r="A1041" s="368"/>
      <c r="B1041"/>
      <c r="C1041"/>
      <c r="D1041"/>
      <c r="E1041"/>
      <c r="F1041" s="855"/>
    </row>
    <row r="1042" spans="1:6" x14ac:dyDescent="0.2">
      <c r="A1042" s="368"/>
      <c r="B1042"/>
      <c r="C1042"/>
      <c r="D1042"/>
      <c r="E1042"/>
      <c r="F1042" s="855"/>
    </row>
    <row r="1043" spans="1:6" x14ac:dyDescent="0.2">
      <c r="A1043" s="368"/>
      <c r="B1043"/>
      <c r="C1043"/>
      <c r="D1043"/>
      <c r="E1043"/>
      <c r="F1043" s="855"/>
    </row>
    <row r="1044" spans="1:6" x14ac:dyDescent="0.2">
      <c r="A1044" s="368"/>
      <c r="B1044"/>
      <c r="C1044"/>
      <c r="D1044"/>
      <c r="E1044"/>
      <c r="F1044" s="855"/>
    </row>
    <row r="1045" spans="1:6" x14ac:dyDescent="0.2">
      <c r="A1045" s="368"/>
      <c r="B1045"/>
      <c r="C1045"/>
      <c r="D1045"/>
      <c r="E1045"/>
      <c r="F1045" s="855"/>
    </row>
    <row r="1046" spans="1:6" x14ac:dyDescent="0.2">
      <c r="A1046" s="368"/>
      <c r="B1046"/>
      <c r="C1046"/>
      <c r="D1046"/>
      <c r="E1046"/>
      <c r="F1046" s="855"/>
    </row>
    <row r="1047" spans="1:6" x14ac:dyDescent="0.2">
      <c r="A1047" s="368"/>
      <c r="B1047"/>
      <c r="C1047"/>
      <c r="D1047"/>
      <c r="E1047"/>
      <c r="F1047" s="855"/>
    </row>
    <row r="1048" spans="1:6" x14ac:dyDescent="0.2">
      <c r="A1048" s="368"/>
      <c r="B1048"/>
      <c r="C1048"/>
      <c r="D1048"/>
      <c r="E1048"/>
      <c r="F1048" s="855"/>
    </row>
    <row r="1049" spans="1:6" x14ac:dyDescent="0.2">
      <c r="A1049" s="368"/>
      <c r="B1049"/>
      <c r="C1049"/>
      <c r="D1049"/>
      <c r="E1049"/>
      <c r="F1049" s="855"/>
    </row>
    <row r="1050" spans="1:6" x14ac:dyDescent="0.2">
      <c r="A1050" s="368"/>
      <c r="B1050"/>
      <c r="C1050"/>
      <c r="D1050"/>
      <c r="E1050"/>
      <c r="F1050" s="855"/>
    </row>
    <row r="1051" spans="1:6" x14ac:dyDescent="0.2">
      <c r="A1051" s="368"/>
      <c r="B1051"/>
      <c r="C1051"/>
      <c r="D1051"/>
      <c r="E1051"/>
      <c r="F1051" s="855"/>
    </row>
    <row r="1052" spans="1:6" x14ac:dyDescent="0.2">
      <c r="A1052" s="368"/>
      <c r="B1052"/>
      <c r="C1052"/>
      <c r="D1052"/>
      <c r="E1052"/>
      <c r="F1052" s="855"/>
    </row>
    <row r="1053" spans="1:6" x14ac:dyDescent="0.2">
      <c r="A1053" s="368"/>
      <c r="B1053"/>
      <c r="C1053"/>
      <c r="D1053"/>
      <c r="E1053"/>
      <c r="F1053" s="855"/>
    </row>
    <row r="1054" spans="1:6" x14ac:dyDescent="0.2">
      <c r="A1054" s="368"/>
      <c r="B1054"/>
      <c r="C1054"/>
      <c r="D1054"/>
      <c r="E1054"/>
      <c r="F1054" s="855"/>
    </row>
    <row r="1055" spans="1:6" x14ac:dyDescent="0.2">
      <c r="A1055" s="368"/>
      <c r="B1055"/>
      <c r="C1055"/>
      <c r="D1055"/>
      <c r="E1055"/>
      <c r="F1055" s="855"/>
    </row>
    <row r="1056" spans="1:6" x14ac:dyDescent="0.2">
      <c r="A1056" s="368"/>
      <c r="B1056"/>
      <c r="C1056"/>
      <c r="D1056"/>
      <c r="E1056"/>
      <c r="F1056" s="855"/>
    </row>
    <row r="1057" spans="1:6" x14ac:dyDescent="0.2">
      <c r="A1057" s="368"/>
      <c r="B1057"/>
      <c r="C1057"/>
      <c r="D1057"/>
      <c r="E1057"/>
      <c r="F1057" s="855"/>
    </row>
    <row r="1058" spans="1:6" x14ac:dyDescent="0.2">
      <c r="A1058" s="368"/>
      <c r="B1058"/>
      <c r="C1058"/>
      <c r="D1058"/>
      <c r="E1058"/>
      <c r="F1058" s="855"/>
    </row>
    <row r="1059" spans="1:6" x14ac:dyDescent="0.2">
      <c r="A1059" s="368"/>
      <c r="B1059"/>
      <c r="C1059"/>
      <c r="D1059"/>
      <c r="E1059"/>
      <c r="F1059" s="855"/>
    </row>
    <row r="1060" spans="1:6" x14ac:dyDescent="0.2">
      <c r="A1060" s="368"/>
      <c r="B1060"/>
      <c r="C1060"/>
      <c r="D1060"/>
      <c r="E1060"/>
      <c r="F1060" s="855"/>
    </row>
    <row r="1061" spans="1:6" x14ac:dyDescent="0.2">
      <c r="A1061" s="368"/>
      <c r="B1061"/>
      <c r="C1061"/>
      <c r="D1061"/>
      <c r="E1061"/>
      <c r="F1061" s="855"/>
    </row>
    <row r="1062" spans="1:6" x14ac:dyDescent="0.2">
      <c r="A1062" s="368"/>
      <c r="B1062"/>
      <c r="C1062"/>
      <c r="D1062"/>
      <c r="E1062"/>
      <c r="F1062" s="855"/>
    </row>
    <row r="1063" spans="1:6" x14ac:dyDescent="0.2">
      <c r="A1063" s="368"/>
      <c r="B1063"/>
      <c r="C1063"/>
      <c r="D1063"/>
      <c r="E1063"/>
      <c r="F1063" s="855"/>
    </row>
    <row r="1064" spans="1:6" x14ac:dyDescent="0.2">
      <c r="A1064" s="368"/>
      <c r="B1064"/>
      <c r="C1064"/>
      <c r="D1064"/>
      <c r="E1064"/>
      <c r="F1064" s="855"/>
    </row>
    <row r="1065" spans="1:6" x14ac:dyDescent="0.2">
      <c r="A1065" s="368"/>
      <c r="B1065"/>
      <c r="C1065"/>
      <c r="D1065"/>
      <c r="E1065"/>
      <c r="F1065" s="855"/>
    </row>
    <row r="1066" spans="1:6" x14ac:dyDescent="0.2">
      <c r="A1066" s="368"/>
      <c r="B1066"/>
      <c r="C1066"/>
      <c r="D1066"/>
      <c r="E1066"/>
      <c r="F1066" s="855"/>
    </row>
    <row r="1067" spans="1:6" x14ac:dyDescent="0.2">
      <c r="A1067" s="368"/>
      <c r="B1067"/>
      <c r="C1067"/>
      <c r="D1067"/>
      <c r="E1067"/>
      <c r="F1067" s="855"/>
    </row>
    <row r="1068" spans="1:6" x14ac:dyDescent="0.2">
      <c r="A1068" s="368"/>
      <c r="B1068"/>
      <c r="C1068"/>
      <c r="D1068"/>
      <c r="E1068"/>
      <c r="F1068" s="855"/>
    </row>
    <row r="1069" spans="1:6" x14ac:dyDescent="0.2">
      <c r="A1069" s="368"/>
      <c r="B1069"/>
      <c r="C1069"/>
      <c r="D1069"/>
      <c r="E1069"/>
      <c r="F1069" s="855"/>
    </row>
    <row r="1070" spans="1:6" x14ac:dyDescent="0.2">
      <c r="A1070" s="368"/>
      <c r="B1070"/>
      <c r="C1070"/>
      <c r="D1070"/>
      <c r="E1070"/>
      <c r="F1070" s="855"/>
    </row>
    <row r="1071" spans="1:6" x14ac:dyDescent="0.2">
      <c r="A1071" s="368"/>
      <c r="B1071"/>
      <c r="C1071"/>
      <c r="D1071"/>
      <c r="E1071"/>
      <c r="F1071" s="855"/>
    </row>
    <row r="1072" spans="1:6" x14ac:dyDescent="0.2">
      <c r="A1072" s="368"/>
      <c r="B1072"/>
      <c r="C1072"/>
      <c r="D1072"/>
      <c r="E1072"/>
      <c r="F1072" s="855"/>
    </row>
    <row r="1073" spans="1:6" x14ac:dyDescent="0.2">
      <c r="A1073" s="368"/>
      <c r="B1073"/>
      <c r="C1073"/>
      <c r="D1073"/>
      <c r="E1073"/>
      <c r="F1073" s="855"/>
    </row>
    <row r="1074" spans="1:6" x14ac:dyDescent="0.2">
      <c r="A1074" s="368"/>
      <c r="B1074"/>
      <c r="C1074"/>
      <c r="D1074"/>
      <c r="E1074"/>
      <c r="F1074" s="855"/>
    </row>
    <row r="1075" spans="1:6" x14ac:dyDescent="0.2">
      <c r="A1075" s="368"/>
      <c r="B1075"/>
      <c r="C1075"/>
      <c r="D1075"/>
      <c r="E1075"/>
      <c r="F1075" s="855"/>
    </row>
    <row r="1076" spans="1:6" x14ac:dyDescent="0.2">
      <c r="A1076" s="368"/>
      <c r="B1076"/>
      <c r="C1076"/>
      <c r="D1076"/>
      <c r="E1076"/>
      <c r="F1076" s="855"/>
    </row>
    <row r="1077" spans="1:6" x14ac:dyDescent="0.2">
      <c r="A1077" s="368"/>
      <c r="B1077"/>
      <c r="C1077"/>
      <c r="D1077"/>
      <c r="E1077"/>
      <c r="F1077" s="855"/>
    </row>
    <row r="1078" spans="1:6" x14ac:dyDescent="0.2">
      <c r="A1078" s="368"/>
      <c r="B1078"/>
      <c r="C1078"/>
      <c r="D1078"/>
      <c r="E1078"/>
      <c r="F1078" s="855"/>
    </row>
    <row r="1079" spans="1:6" x14ac:dyDescent="0.2">
      <c r="A1079" s="368"/>
      <c r="B1079"/>
      <c r="C1079"/>
      <c r="D1079"/>
      <c r="E1079"/>
      <c r="F1079" s="855"/>
    </row>
    <row r="1080" spans="1:6" x14ac:dyDescent="0.2">
      <c r="A1080" s="368"/>
      <c r="B1080"/>
      <c r="C1080"/>
      <c r="D1080"/>
      <c r="E1080"/>
      <c r="F1080" s="855"/>
    </row>
    <row r="1081" spans="1:6" x14ac:dyDescent="0.2">
      <c r="A1081" s="368"/>
      <c r="B1081"/>
      <c r="C1081"/>
      <c r="D1081"/>
      <c r="E1081"/>
      <c r="F1081" s="855"/>
    </row>
    <row r="1082" spans="1:6" x14ac:dyDescent="0.2">
      <c r="A1082" s="368"/>
      <c r="B1082"/>
      <c r="C1082"/>
      <c r="D1082"/>
      <c r="E1082"/>
      <c r="F1082" s="855"/>
    </row>
    <row r="1083" spans="1:6" x14ac:dyDescent="0.2">
      <c r="A1083" s="368"/>
      <c r="B1083"/>
      <c r="C1083"/>
      <c r="D1083"/>
      <c r="E1083"/>
      <c r="F1083" s="855"/>
    </row>
    <row r="1084" spans="1:6" x14ac:dyDescent="0.2">
      <c r="A1084" s="368"/>
      <c r="B1084"/>
      <c r="C1084"/>
      <c r="D1084"/>
      <c r="E1084"/>
      <c r="F1084" s="855"/>
    </row>
    <row r="1085" spans="1:6" x14ac:dyDescent="0.2">
      <c r="A1085" s="368"/>
      <c r="B1085"/>
      <c r="C1085"/>
      <c r="D1085"/>
      <c r="E1085"/>
      <c r="F1085" s="855"/>
    </row>
    <row r="1086" spans="1:6" x14ac:dyDescent="0.2">
      <c r="A1086" s="368"/>
      <c r="B1086"/>
      <c r="C1086"/>
      <c r="D1086"/>
      <c r="E1086"/>
      <c r="F1086" s="855"/>
    </row>
    <row r="1087" spans="1:6" x14ac:dyDescent="0.2">
      <c r="A1087" s="368"/>
      <c r="B1087"/>
      <c r="C1087"/>
      <c r="D1087"/>
      <c r="E1087"/>
      <c r="F1087" s="855"/>
    </row>
    <row r="1088" spans="1:6" x14ac:dyDescent="0.2">
      <c r="A1088" s="368"/>
      <c r="B1088"/>
      <c r="C1088"/>
      <c r="D1088"/>
      <c r="E1088"/>
      <c r="F1088" s="855"/>
    </row>
    <row r="1089" spans="1:6" x14ac:dyDescent="0.2">
      <c r="A1089" s="368"/>
      <c r="B1089"/>
      <c r="C1089"/>
      <c r="D1089"/>
      <c r="E1089"/>
      <c r="F1089" s="855"/>
    </row>
    <row r="1090" spans="1:6" x14ac:dyDescent="0.2">
      <c r="A1090" s="368"/>
      <c r="B1090"/>
      <c r="C1090"/>
      <c r="D1090"/>
      <c r="E1090"/>
      <c r="F1090" s="855"/>
    </row>
    <row r="1091" spans="1:6" x14ac:dyDescent="0.2">
      <c r="A1091" s="368"/>
      <c r="B1091"/>
      <c r="C1091"/>
      <c r="D1091"/>
      <c r="E1091"/>
      <c r="F1091" s="855"/>
    </row>
    <row r="1092" spans="1:6" x14ac:dyDescent="0.2">
      <c r="A1092" s="368"/>
      <c r="B1092"/>
      <c r="C1092"/>
      <c r="D1092"/>
      <c r="E1092"/>
      <c r="F1092" s="855"/>
    </row>
    <row r="1093" spans="1:6" x14ac:dyDescent="0.2">
      <c r="A1093" s="368"/>
      <c r="B1093"/>
      <c r="C1093"/>
      <c r="D1093"/>
      <c r="E1093"/>
      <c r="F1093" s="855"/>
    </row>
    <row r="1094" spans="1:6" x14ac:dyDescent="0.2">
      <c r="A1094" s="368"/>
      <c r="B1094"/>
      <c r="C1094"/>
      <c r="D1094"/>
      <c r="E1094"/>
      <c r="F1094" s="855"/>
    </row>
    <row r="1095" spans="1:6" x14ac:dyDescent="0.2">
      <c r="A1095" s="368"/>
      <c r="B1095"/>
      <c r="C1095"/>
      <c r="D1095"/>
      <c r="E1095"/>
      <c r="F1095" s="855"/>
    </row>
    <row r="1096" spans="1:6" x14ac:dyDescent="0.2">
      <c r="A1096" s="368"/>
      <c r="B1096"/>
      <c r="C1096"/>
      <c r="D1096"/>
      <c r="E1096"/>
      <c r="F1096" s="855"/>
    </row>
    <row r="1097" spans="1:6" x14ac:dyDescent="0.2">
      <c r="A1097" s="368"/>
      <c r="B1097"/>
      <c r="C1097"/>
      <c r="D1097"/>
      <c r="E1097"/>
      <c r="F1097" s="855"/>
    </row>
    <row r="1098" spans="1:6" x14ac:dyDescent="0.2">
      <c r="A1098" s="368"/>
      <c r="B1098"/>
      <c r="C1098"/>
      <c r="D1098"/>
      <c r="E1098"/>
      <c r="F1098" s="855"/>
    </row>
    <row r="1099" spans="1:6" x14ac:dyDescent="0.2">
      <c r="A1099" s="368"/>
      <c r="B1099"/>
      <c r="C1099"/>
      <c r="D1099"/>
      <c r="E1099"/>
      <c r="F1099" s="855"/>
    </row>
    <row r="1100" spans="1:6" x14ac:dyDescent="0.2">
      <c r="A1100" s="368"/>
      <c r="B1100"/>
      <c r="C1100"/>
      <c r="D1100"/>
      <c r="E1100"/>
      <c r="F1100" s="855"/>
    </row>
    <row r="1101" spans="1:6" x14ac:dyDescent="0.2">
      <c r="A1101" s="368"/>
      <c r="B1101"/>
      <c r="C1101"/>
      <c r="D1101"/>
      <c r="E1101"/>
      <c r="F1101" s="855"/>
    </row>
    <row r="1102" spans="1:6" x14ac:dyDescent="0.2">
      <c r="A1102" s="368"/>
      <c r="B1102"/>
      <c r="C1102"/>
      <c r="D1102"/>
      <c r="E1102"/>
      <c r="F1102" s="855"/>
    </row>
    <row r="1103" spans="1:6" x14ac:dyDescent="0.2">
      <c r="A1103" s="368"/>
      <c r="B1103"/>
      <c r="C1103"/>
      <c r="D1103"/>
      <c r="E1103"/>
      <c r="F1103" s="855"/>
    </row>
    <row r="1104" spans="1:6" x14ac:dyDescent="0.2">
      <c r="A1104" s="368"/>
      <c r="B1104"/>
      <c r="C1104"/>
      <c r="D1104"/>
      <c r="E1104"/>
      <c r="F1104" s="855"/>
    </row>
    <row r="1105" spans="1:6" x14ac:dyDescent="0.2">
      <c r="A1105" s="368"/>
      <c r="B1105"/>
      <c r="C1105"/>
      <c r="D1105"/>
      <c r="E1105"/>
      <c r="F1105" s="855"/>
    </row>
    <row r="1106" spans="1:6" x14ac:dyDescent="0.2">
      <c r="A1106" s="368"/>
      <c r="B1106"/>
      <c r="C1106"/>
      <c r="D1106"/>
      <c r="E1106"/>
      <c r="F1106" s="855"/>
    </row>
    <row r="1107" spans="1:6" x14ac:dyDescent="0.2">
      <c r="A1107" s="368"/>
      <c r="B1107"/>
      <c r="C1107"/>
      <c r="D1107"/>
      <c r="E1107"/>
      <c r="F1107" s="855"/>
    </row>
    <row r="1108" spans="1:6" x14ac:dyDescent="0.2">
      <c r="A1108" s="368"/>
      <c r="B1108"/>
      <c r="C1108"/>
      <c r="D1108"/>
      <c r="E1108"/>
      <c r="F1108" s="855"/>
    </row>
    <row r="1109" spans="1:6" x14ac:dyDescent="0.2">
      <c r="A1109" s="368"/>
      <c r="B1109"/>
      <c r="C1109"/>
      <c r="D1109"/>
      <c r="E1109"/>
      <c r="F1109" s="855"/>
    </row>
    <row r="1110" spans="1:6" x14ac:dyDescent="0.2">
      <c r="A1110" s="368"/>
      <c r="B1110"/>
      <c r="C1110"/>
      <c r="D1110"/>
      <c r="E1110"/>
      <c r="F1110" s="855"/>
    </row>
    <row r="1111" spans="1:6" x14ac:dyDescent="0.2">
      <c r="A1111" s="368"/>
      <c r="B1111"/>
      <c r="C1111"/>
      <c r="D1111"/>
      <c r="E1111"/>
      <c r="F1111" s="855"/>
    </row>
    <row r="1112" spans="1:6" x14ac:dyDescent="0.2">
      <c r="A1112" s="368"/>
      <c r="B1112"/>
      <c r="C1112"/>
      <c r="D1112"/>
      <c r="E1112"/>
      <c r="F1112" s="855"/>
    </row>
    <row r="1113" spans="1:6" x14ac:dyDescent="0.2">
      <c r="A1113" s="368"/>
      <c r="B1113"/>
      <c r="C1113"/>
      <c r="D1113"/>
      <c r="E1113"/>
      <c r="F1113" s="855"/>
    </row>
    <row r="1114" spans="1:6" x14ac:dyDescent="0.2">
      <c r="A1114" s="368"/>
      <c r="B1114"/>
      <c r="C1114"/>
      <c r="D1114"/>
      <c r="E1114"/>
      <c r="F1114" s="855"/>
    </row>
    <row r="1115" spans="1:6" x14ac:dyDescent="0.2">
      <c r="A1115" s="368"/>
      <c r="B1115"/>
      <c r="C1115"/>
      <c r="D1115"/>
      <c r="E1115"/>
      <c r="F1115" s="855"/>
    </row>
    <row r="1116" spans="1:6" x14ac:dyDescent="0.2">
      <c r="A1116" s="368"/>
      <c r="B1116"/>
      <c r="C1116"/>
      <c r="D1116"/>
      <c r="E1116"/>
      <c r="F1116" s="855"/>
    </row>
    <row r="1117" spans="1:6" x14ac:dyDescent="0.2">
      <c r="A1117" s="368"/>
      <c r="B1117"/>
      <c r="C1117"/>
      <c r="D1117"/>
      <c r="E1117"/>
      <c r="F1117" s="855"/>
    </row>
    <row r="1118" spans="1:6" x14ac:dyDescent="0.2">
      <c r="A1118" s="368"/>
      <c r="B1118"/>
      <c r="C1118"/>
      <c r="D1118"/>
      <c r="E1118"/>
      <c r="F1118" s="855"/>
    </row>
    <row r="1119" spans="1:6" x14ac:dyDescent="0.2">
      <c r="A1119" s="368"/>
      <c r="B1119"/>
      <c r="C1119"/>
      <c r="D1119"/>
      <c r="E1119"/>
      <c r="F1119" s="855"/>
    </row>
    <row r="1120" spans="1:6" x14ac:dyDescent="0.2">
      <c r="A1120" s="368"/>
      <c r="B1120"/>
      <c r="C1120"/>
      <c r="D1120"/>
      <c r="E1120"/>
      <c r="F1120" s="855"/>
    </row>
    <row r="1121" spans="1:6" x14ac:dyDescent="0.2">
      <c r="A1121" s="368"/>
      <c r="B1121"/>
      <c r="C1121"/>
      <c r="D1121"/>
      <c r="E1121"/>
      <c r="F1121" s="855"/>
    </row>
    <row r="1122" spans="1:6" x14ac:dyDescent="0.2">
      <c r="A1122" s="368"/>
      <c r="B1122"/>
      <c r="C1122"/>
      <c r="D1122"/>
      <c r="E1122"/>
      <c r="F1122" s="855"/>
    </row>
    <row r="1123" spans="1:6" x14ac:dyDescent="0.2">
      <c r="A1123" s="368"/>
      <c r="B1123"/>
      <c r="C1123"/>
      <c r="D1123"/>
      <c r="E1123"/>
      <c r="F1123" s="855"/>
    </row>
    <row r="1124" spans="1:6" x14ac:dyDescent="0.2">
      <c r="A1124" s="368"/>
      <c r="B1124"/>
      <c r="C1124"/>
      <c r="D1124"/>
      <c r="E1124"/>
      <c r="F1124" s="855"/>
    </row>
    <row r="1125" spans="1:6" x14ac:dyDescent="0.2">
      <c r="A1125" s="368"/>
      <c r="B1125"/>
      <c r="C1125"/>
      <c r="D1125"/>
      <c r="E1125"/>
      <c r="F1125" s="855"/>
    </row>
    <row r="1126" spans="1:6" x14ac:dyDescent="0.2">
      <c r="A1126" s="368"/>
      <c r="B1126"/>
      <c r="C1126"/>
      <c r="D1126"/>
      <c r="E1126"/>
      <c r="F1126" s="855"/>
    </row>
    <row r="1127" spans="1:6" x14ac:dyDescent="0.2">
      <c r="A1127" s="368"/>
      <c r="B1127"/>
      <c r="C1127"/>
      <c r="D1127"/>
      <c r="E1127"/>
      <c r="F1127" s="855"/>
    </row>
    <row r="1128" spans="1:6" x14ac:dyDescent="0.2">
      <c r="A1128" s="368"/>
      <c r="B1128"/>
      <c r="C1128"/>
      <c r="D1128"/>
      <c r="E1128"/>
      <c r="F1128" s="855"/>
    </row>
    <row r="1129" spans="1:6" x14ac:dyDescent="0.2">
      <c r="A1129" s="368"/>
      <c r="B1129"/>
      <c r="C1129"/>
      <c r="D1129"/>
      <c r="E1129"/>
      <c r="F1129" s="855"/>
    </row>
    <row r="1130" spans="1:6" x14ac:dyDescent="0.2">
      <c r="A1130" s="368"/>
      <c r="B1130"/>
      <c r="C1130"/>
      <c r="D1130"/>
      <c r="E1130"/>
      <c r="F1130" s="855"/>
    </row>
    <row r="1131" spans="1:6" x14ac:dyDescent="0.2">
      <c r="A1131" s="368"/>
      <c r="B1131"/>
      <c r="C1131"/>
      <c r="D1131"/>
      <c r="E1131"/>
      <c r="F1131" s="855"/>
    </row>
    <row r="1132" spans="1:6" x14ac:dyDescent="0.2">
      <c r="A1132" s="368"/>
      <c r="B1132"/>
      <c r="C1132"/>
      <c r="D1132"/>
      <c r="E1132"/>
      <c r="F1132" s="855"/>
    </row>
    <row r="1133" spans="1:6" x14ac:dyDescent="0.2">
      <c r="A1133" s="368"/>
      <c r="B1133"/>
      <c r="C1133"/>
      <c r="D1133"/>
      <c r="E1133"/>
      <c r="F1133" s="855"/>
    </row>
    <row r="1134" spans="1:6" x14ac:dyDescent="0.2">
      <c r="A1134" s="368"/>
      <c r="B1134"/>
      <c r="C1134"/>
      <c r="D1134"/>
      <c r="E1134"/>
      <c r="F1134" s="855"/>
    </row>
    <row r="1135" spans="1:6" x14ac:dyDescent="0.2">
      <c r="A1135" s="368"/>
      <c r="B1135"/>
      <c r="C1135"/>
      <c r="D1135"/>
      <c r="E1135"/>
      <c r="F1135" s="855"/>
    </row>
    <row r="1136" spans="1:6" x14ac:dyDescent="0.2">
      <c r="A1136" s="368"/>
      <c r="B1136"/>
      <c r="C1136"/>
      <c r="D1136"/>
      <c r="E1136"/>
      <c r="F1136" s="855"/>
    </row>
    <row r="1137" spans="1:6" x14ac:dyDescent="0.2">
      <c r="A1137" s="368"/>
      <c r="B1137"/>
      <c r="C1137"/>
      <c r="D1137"/>
      <c r="E1137"/>
      <c r="F1137" s="855"/>
    </row>
    <row r="1138" spans="1:6" x14ac:dyDescent="0.2">
      <c r="A1138" s="368"/>
      <c r="B1138"/>
      <c r="C1138"/>
      <c r="D1138"/>
      <c r="E1138"/>
      <c r="F1138" s="855"/>
    </row>
    <row r="1139" spans="1:6" x14ac:dyDescent="0.2">
      <c r="A1139" s="368"/>
      <c r="B1139"/>
      <c r="C1139"/>
      <c r="D1139"/>
      <c r="E1139"/>
      <c r="F1139" s="855"/>
    </row>
    <row r="1140" spans="1:6" x14ac:dyDescent="0.2">
      <c r="A1140" s="368"/>
      <c r="B1140"/>
      <c r="C1140"/>
      <c r="D1140"/>
      <c r="E1140"/>
      <c r="F1140" s="855"/>
    </row>
    <row r="1141" spans="1:6" x14ac:dyDescent="0.2">
      <c r="A1141" s="368"/>
      <c r="B1141"/>
      <c r="C1141"/>
      <c r="D1141"/>
      <c r="E1141"/>
      <c r="F1141" s="855"/>
    </row>
    <row r="1142" spans="1:6" x14ac:dyDescent="0.2">
      <c r="A1142" s="368"/>
      <c r="B1142"/>
      <c r="C1142"/>
      <c r="D1142"/>
      <c r="E1142"/>
      <c r="F1142" s="855"/>
    </row>
    <row r="1143" spans="1:6" x14ac:dyDescent="0.2">
      <c r="A1143" s="368"/>
      <c r="B1143"/>
      <c r="C1143"/>
      <c r="D1143"/>
      <c r="E1143"/>
      <c r="F1143" s="855"/>
    </row>
    <row r="1144" spans="1:6" x14ac:dyDescent="0.2">
      <c r="A1144" s="368"/>
      <c r="B1144"/>
      <c r="C1144"/>
      <c r="D1144"/>
      <c r="E1144"/>
      <c r="F1144" s="855"/>
    </row>
    <row r="1145" spans="1:6" x14ac:dyDescent="0.2">
      <c r="A1145" s="368"/>
      <c r="B1145"/>
      <c r="C1145"/>
      <c r="D1145"/>
      <c r="E1145"/>
      <c r="F1145" s="855"/>
    </row>
    <row r="1146" spans="1:6" x14ac:dyDescent="0.2">
      <c r="A1146" s="368"/>
      <c r="B1146"/>
      <c r="C1146"/>
      <c r="D1146"/>
      <c r="E1146"/>
      <c r="F1146" s="855"/>
    </row>
    <row r="1147" spans="1:6" x14ac:dyDescent="0.2">
      <c r="A1147" s="368"/>
      <c r="B1147"/>
      <c r="C1147"/>
      <c r="D1147"/>
      <c r="E1147"/>
      <c r="F1147" s="855"/>
    </row>
    <row r="1148" spans="1:6" x14ac:dyDescent="0.2">
      <c r="A1148" s="368"/>
      <c r="B1148"/>
      <c r="C1148"/>
      <c r="D1148"/>
      <c r="E1148"/>
      <c r="F1148" s="855"/>
    </row>
    <row r="1149" spans="1:6" x14ac:dyDescent="0.2">
      <c r="A1149" s="368"/>
      <c r="B1149"/>
      <c r="C1149"/>
      <c r="D1149"/>
      <c r="E1149"/>
      <c r="F1149" s="855"/>
    </row>
    <row r="1150" spans="1:6" x14ac:dyDescent="0.2">
      <c r="A1150" s="368"/>
      <c r="B1150"/>
      <c r="C1150"/>
      <c r="D1150"/>
      <c r="E1150"/>
      <c r="F1150" s="855"/>
    </row>
    <row r="1151" spans="1:6" x14ac:dyDescent="0.2">
      <c r="A1151" s="368"/>
      <c r="B1151"/>
      <c r="C1151"/>
      <c r="D1151"/>
      <c r="E1151"/>
      <c r="F1151" s="855"/>
    </row>
    <row r="1152" spans="1:6" x14ac:dyDescent="0.2">
      <c r="A1152" s="368"/>
      <c r="B1152"/>
      <c r="C1152"/>
      <c r="D1152"/>
      <c r="E1152"/>
      <c r="F1152" s="855"/>
    </row>
    <row r="1153" spans="1:6" x14ac:dyDescent="0.2">
      <c r="A1153" s="368"/>
      <c r="B1153"/>
      <c r="C1153"/>
      <c r="D1153"/>
      <c r="E1153"/>
      <c r="F1153" s="855"/>
    </row>
    <row r="1154" spans="1:6" x14ac:dyDescent="0.2">
      <c r="A1154" s="368"/>
      <c r="B1154"/>
      <c r="C1154"/>
      <c r="D1154"/>
      <c r="E1154"/>
      <c r="F1154" s="855"/>
    </row>
    <row r="1155" spans="1:6" x14ac:dyDescent="0.2">
      <c r="A1155" s="368"/>
      <c r="B1155"/>
      <c r="C1155"/>
      <c r="D1155"/>
      <c r="E1155"/>
      <c r="F1155" s="855"/>
    </row>
    <row r="1156" spans="1:6" x14ac:dyDescent="0.2">
      <c r="A1156" s="368"/>
      <c r="B1156"/>
      <c r="C1156"/>
      <c r="D1156"/>
      <c r="E1156"/>
      <c r="F1156" s="855"/>
    </row>
    <row r="1157" spans="1:6" x14ac:dyDescent="0.2">
      <c r="A1157" s="368"/>
      <c r="B1157"/>
      <c r="C1157"/>
      <c r="D1157"/>
      <c r="E1157"/>
      <c r="F1157" s="855"/>
    </row>
    <row r="1158" spans="1:6" x14ac:dyDescent="0.2">
      <c r="A1158" s="368"/>
      <c r="B1158"/>
      <c r="C1158"/>
      <c r="D1158"/>
      <c r="E1158"/>
      <c r="F1158" s="855"/>
    </row>
    <row r="1159" spans="1:6" x14ac:dyDescent="0.2">
      <c r="A1159" s="368"/>
      <c r="B1159"/>
      <c r="C1159"/>
      <c r="D1159"/>
      <c r="E1159"/>
      <c r="F1159" s="855"/>
    </row>
    <row r="1160" spans="1:6" x14ac:dyDescent="0.2">
      <c r="A1160" s="368"/>
      <c r="B1160"/>
      <c r="C1160"/>
      <c r="D1160"/>
      <c r="E1160"/>
      <c r="F1160" s="855"/>
    </row>
    <row r="1161" spans="1:6" x14ac:dyDescent="0.2">
      <c r="A1161" s="368"/>
      <c r="B1161"/>
      <c r="C1161"/>
      <c r="D1161"/>
      <c r="E1161"/>
      <c r="F1161" s="855"/>
    </row>
    <row r="1162" spans="1:6" x14ac:dyDescent="0.2">
      <c r="A1162" s="368"/>
      <c r="B1162"/>
      <c r="C1162"/>
      <c r="D1162"/>
      <c r="E1162"/>
      <c r="F1162" s="855"/>
    </row>
    <row r="1163" spans="1:6" x14ac:dyDescent="0.2">
      <c r="A1163" s="368"/>
      <c r="B1163"/>
      <c r="C1163"/>
      <c r="D1163"/>
      <c r="E1163"/>
      <c r="F1163" s="855"/>
    </row>
    <row r="1164" spans="1:6" x14ac:dyDescent="0.2">
      <c r="A1164" s="368"/>
      <c r="B1164"/>
      <c r="C1164"/>
      <c r="D1164"/>
      <c r="E1164"/>
      <c r="F1164" s="855"/>
    </row>
    <row r="1165" spans="1:6" x14ac:dyDescent="0.2">
      <c r="A1165" s="368"/>
      <c r="B1165"/>
      <c r="C1165"/>
      <c r="D1165"/>
      <c r="E1165"/>
      <c r="F1165" s="855"/>
    </row>
    <row r="1166" spans="1:6" x14ac:dyDescent="0.2">
      <c r="A1166" s="368"/>
      <c r="B1166"/>
      <c r="C1166"/>
      <c r="D1166"/>
      <c r="E1166"/>
      <c r="F1166" s="855"/>
    </row>
    <row r="1167" spans="1:6" x14ac:dyDescent="0.2">
      <c r="A1167" s="368"/>
      <c r="B1167"/>
      <c r="C1167"/>
      <c r="D1167"/>
      <c r="E1167"/>
      <c r="F1167" s="855"/>
    </row>
    <row r="1168" spans="1:6" x14ac:dyDescent="0.2">
      <c r="A1168" s="368"/>
      <c r="B1168"/>
      <c r="C1168"/>
      <c r="D1168"/>
      <c r="E1168"/>
      <c r="F1168" s="855"/>
    </row>
    <row r="1169" spans="1:6" x14ac:dyDescent="0.2">
      <c r="A1169" s="368"/>
      <c r="B1169"/>
      <c r="C1169"/>
      <c r="D1169"/>
      <c r="E1169"/>
      <c r="F1169" s="855"/>
    </row>
    <row r="1170" spans="1:6" x14ac:dyDescent="0.2">
      <c r="A1170" s="368"/>
      <c r="B1170"/>
      <c r="C1170"/>
      <c r="D1170"/>
      <c r="E1170"/>
      <c r="F1170" s="855"/>
    </row>
    <row r="1171" spans="1:6" x14ac:dyDescent="0.2">
      <c r="A1171" s="368"/>
      <c r="B1171"/>
      <c r="C1171"/>
      <c r="D1171"/>
      <c r="E1171"/>
      <c r="F1171" s="855"/>
    </row>
    <row r="1172" spans="1:6" x14ac:dyDescent="0.2">
      <c r="A1172" s="368"/>
      <c r="B1172"/>
      <c r="C1172"/>
      <c r="D1172"/>
      <c r="E1172"/>
      <c r="F1172" s="855"/>
    </row>
    <row r="1173" spans="1:6" x14ac:dyDescent="0.2">
      <c r="A1173" s="368"/>
      <c r="B1173"/>
      <c r="C1173"/>
      <c r="D1173"/>
      <c r="E1173"/>
      <c r="F1173" s="855"/>
    </row>
    <row r="1174" spans="1:6" x14ac:dyDescent="0.2">
      <c r="A1174" s="368"/>
      <c r="B1174"/>
      <c r="C1174"/>
      <c r="D1174"/>
      <c r="E1174"/>
      <c r="F1174" s="855"/>
    </row>
    <row r="1175" spans="1:6" x14ac:dyDescent="0.2">
      <c r="A1175" s="368"/>
      <c r="B1175"/>
      <c r="C1175"/>
      <c r="D1175"/>
      <c r="E1175"/>
      <c r="F1175" s="855"/>
    </row>
    <row r="1176" spans="1:6" x14ac:dyDescent="0.2">
      <c r="A1176" s="368"/>
      <c r="B1176"/>
      <c r="C1176"/>
      <c r="D1176"/>
      <c r="E1176"/>
      <c r="F1176" s="855"/>
    </row>
    <row r="1177" spans="1:6" x14ac:dyDescent="0.2">
      <c r="A1177" s="368"/>
      <c r="B1177"/>
      <c r="C1177"/>
      <c r="D1177"/>
      <c r="E1177"/>
      <c r="F1177" s="855"/>
    </row>
    <row r="1178" spans="1:6" x14ac:dyDescent="0.2">
      <c r="A1178" s="368"/>
      <c r="B1178"/>
      <c r="C1178"/>
      <c r="D1178"/>
      <c r="E1178"/>
      <c r="F1178" s="855"/>
    </row>
    <row r="1179" spans="1:6" x14ac:dyDescent="0.2">
      <c r="A1179" s="368"/>
      <c r="B1179"/>
      <c r="C1179"/>
      <c r="D1179"/>
      <c r="E1179"/>
      <c r="F1179" s="855"/>
    </row>
    <row r="1180" spans="1:6" x14ac:dyDescent="0.2">
      <c r="A1180" s="368"/>
      <c r="B1180"/>
      <c r="C1180"/>
      <c r="D1180"/>
      <c r="E1180"/>
      <c r="F1180" s="855"/>
    </row>
    <row r="1181" spans="1:6" x14ac:dyDescent="0.2">
      <c r="A1181" s="368"/>
      <c r="B1181"/>
      <c r="C1181"/>
      <c r="D1181"/>
      <c r="E1181"/>
      <c r="F1181" s="855"/>
    </row>
    <row r="1182" spans="1:6" x14ac:dyDescent="0.2">
      <c r="A1182" s="368"/>
      <c r="B1182"/>
      <c r="C1182"/>
      <c r="D1182"/>
      <c r="E1182"/>
      <c r="F1182" s="855"/>
    </row>
    <row r="1183" spans="1:6" x14ac:dyDescent="0.2">
      <c r="A1183" s="368"/>
      <c r="B1183"/>
      <c r="C1183"/>
      <c r="D1183"/>
      <c r="E1183"/>
      <c r="F1183" s="855"/>
    </row>
    <row r="1184" spans="1:6" x14ac:dyDescent="0.2">
      <c r="A1184" s="368"/>
      <c r="B1184"/>
      <c r="C1184"/>
      <c r="D1184"/>
      <c r="E1184"/>
      <c r="F1184" s="855"/>
    </row>
    <row r="1185" spans="1:6" x14ac:dyDescent="0.2">
      <c r="A1185" s="368"/>
      <c r="B1185"/>
      <c r="C1185"/>
      <c r="D1185"/>
      <c r="E1185"/>
      <c r="F1185" s="855"/>
    </row>
    <row r="1186" spans="1:6" x14ac:dyDescent="0.2">
      <c r="A1186" s="368"/>
      <c r="B1186"/>
      <c r="C1186"/>
      <c r="D1186"/>
      <c r="E1186"/>
      <c r="F1186" s="855"/>
    </row>
    <row r="1187" spans="1:6" x14ac:dyDescent="0.2">
      <c r="A1187" s="368"/>
      <c r="B1187"/>
      <c r="C1187"/>
      <c r="D1187"/>
      <c r="E1187"/>
      <c r="F1187" s="855"/>
    </row>
    <row r="1188" spans="1:6" x14ac:dyDescent="0.2">
      <c r="A1188" s="368"/>
      <c r="B1188"/>
      <c r="C1188"/>
      <c r="D1188"/>
      <c r="E1188"/>
      <c r="F1188" s="855"/>
    </row>
    <row r="1189" spans="1:6" x14ac:dyDescent="0.2">
      <c r="A1189" s="368"/>
      <c r="B1189"/>
      <c r="C1189"/>
      <c r="D1189"/>
      <c r="E1189"/>
      <c r="F1189" s="855"/>
    </row>
    <row r="1190" spans="1:6" x14ac:dyDescent="0.2">
      <c r="A1190" s="368"/>
      <c r="B1190"/>
      <c r="C1190"/>
      <c r="D1190"/>
      <c r="E1190"/>
      <c r="F1190" s="855"/>
    </row>
    <row r="1191" spans="1:6" x14ac:dyDescent="0.2">
      <c r="A1191" s="368"/>
      <c r="B1191"/>
      <c r="C1191"/>
      <c r="D1191"/>
      <c r="E1191"/>
      <c r="F1191" s="855"/>
    </row>
    <row r="1192" spans="1:6" x14ac:dyDescent="0.2">
      <c r="A1192" s="368"/>
      <c r="B1192"/>
      <c r="C1192"/>
      <c r="D1192"/>
      <c r="E1192"/>
      <c r="F1192" s="855"/>
    </row>
    <row r="1193" spans="1:6" x14ac:dyDescent="0.2">
      <c r="A1193" s="368"/>
      <c r="B1193"/>
      <c r="C1193"/>
      <c r="D1193"/>
      <c r="E1193"/>
      <c r="F1193" s="855"/>
    </row>
    <row r="1194" spans="1:6" x14ac:dyDescent="0.2">
      <c r="A1194" s="368"/>
      <c r="B1194"/>
      <c r="C1194"/>
      <c r="D1194"/>
      <c r="E1194"/>
      <c r="F1194" s="855"/>
    </row>
    <row r="1195" spans="1:6" x14ac:dyDescent="0.2">
      <c r="A1195" s="368"/>
      <c r="B1195"/>
      <c r="C1195"/>
      <c r="D1195"/>
      <c r="E1195"/>
      <c r="F1195" s="855"/>
    </row>
    <row r="1196" spans="1:6" x14ac:dyDescent="0.2">
      <c r="A1196" s="368"/>
      <c r="B1196"/>
      <c r="C1196"/>
      <c r="D1196"/>
      <c r="E1196"/>
      <c r="F1196" s="855"/>
    </row>
    <row r="1197" spans="1:6" x14ac:dyDescent="0.2">
      <c r="A1197" s="368"/>
      <c r="B1197"/>
      <c r="C1197"/>
      <c r="D1197"/>
      <c r="E1197"/>
      <c r="F1197" s="855"/>
    </row>
    <row r="1198" spans="1:6" x14ac:dyDescent="0.2">
      <c r="A1198" s="368"/>
      <c r="B1198"/>
      <c r="C1198"/>
      <c r="D1198"/>
      <c r="E1198"/>
      <c r="F1198" s="855"/>
    </row>
    <row r="1199" spans="1:6" x14ac:dyDescent="0.2">
      <c r="A1199" s="368"/>
      <c r="B1199"/>
      <c r="C1199"/>
      <c r="D1199"/>
      <c r="E1199"/>
      <c r="F1199" s="855"/>
    </row>
    <row r="1200" spans="1:6" x14ac:dyDescent="0.2">
      <c r="A1200" s="368"/>
      <c r="B1200"/>
      <c r="C1200"/>
      <c r="D1200"/>
      <c r="E1200"/>
      <c r="F1200" s="855"/>
    </row>
    <row r="1201" spans="1:6" x14ac:dyDescent="0.2">
      <c r="A1201" s="368"/>
      <c r="B1201"/>
      <c r="C1201"/>
      <c r="D1201"/>
      <c r="E1201"/>
      <c r="F1201" s="855"/>
    </row>
    <row r="1202" spans="1:6" x14ac:dyDescent="0.2">
      <c r="A1202" s="368"/>
      <c r="B1202"/>
      <c r="C1202"/>
      <c r="D1202"/>
      <c r="E1202"/>
      <c r="F1202" s="855"/>
    </row>
    <row r="1203" spans="1:6" x14ac:dyDescent="0.2">
      <c r="A1203" s="368"/>
      <c r="B1203"/>
      <c r="C1203"/>
      <c r="D1203"/>
      <c r="E1203"/>
      <c r="F1203" s="855"/>
    </row>
    <row r="1204" spans="1:6" x14ac:dyDescent="0.2">
      <c r="A1204" s="368"/>
      <c r="B1204"/>
      <c r="C1204"/>
      <c r="D1204"/>
      <c r="E1204"/>
      <c r="F1204" s="855"/>
    </row>
    <row r="1205" spans="1:6" x14ac:dyDescent="0.2">
      <c r="A1205" s="368"/>
      <c r="B1205"/>
      <c r="C1205"/>
      <c r="D1205"/>
      <c r="E1205"/>
      <c r="F1205" s="855"/>
    </row>
    <row r="1206" spans="1:6" x14ac:dyDescent="0.2">
      <c r="A1206" s="368"/>
      <c r="B1206"/>
      <c r="C1206"/>
      <c r="D1206"/>
      <c r="E1206"/>
      <c r="F1206" s="855"/>
    </row>
    <row r="1207" spans="1:6" x14ac:dyDescent="0.2">
      <c r="A1207" s="368"/>
      <c r="B1207"/>
      <c r="C1207"/>
      <c r="D1207"/>
      <c r="E1207"/>
      <c r="F1207" s="855"/>
    </row>
    <row r="1208" spans="1:6" x14ac:dyDescent="0.2">
      <c r="A1208" s="368"/>
      <c r="B1208"/>
      <c r="C1208"/>
      <c r="D1208"/>
      <c r="E1208"/>
      <c r="F1208" s="855"/>
    </row>
    <row r="1209" spans="1:6" x14ac:dyDescent="0.2">
      <c r="A1209" s="368"/>
      <c r="B1209"/>
      <c r="C1209"/>
      <c r="D1209"/>
      <c r="E1209"/>
      <c r="F1209" s="855"/>
    </row>
    <row r="1210" spans="1:6" x14ac:dyDescent="0.2">
      <c r="A1210" s="368"/>
      <c r="B1210"/>
      <c r="C1210"/>
      <c r="D1210"/>
      <c r="E1210"/>
      <c r="F1210" s="855"/>
    </row>
    <row r="1211" spans="1:6" x14ac:dyDescent="0.2">
      <c r="A1211" s="368"/>
      <c r="B1211"/>
      <c r="C1211"/>
      <c r="D1211"/>
      <c r="E1211"/>
      <c r="F1211" s="855"/>
    </row>
    <row r="1212" spans="1:6" x14ac:dyDescent="0.2">
      <c r="A1212" s="368"/>
      <c r="B1212"/>
      <c r="C1212"/>
      <c r="D1212"/>
      <c r="E1212"/>
      <c r="F1212" s="855"/>
    </row>
    <row r="1213" spans="1:6" x14ac:dyDescent="0.2">
      <c r="A1213" s="368"/>
      <c r="B1213"/>
      <c r="C1213"/>
      <c r="D1213"/>
      <c r="E1213"/>
      <c r="F1213" s="855"/>
    </row>
    <row r="1214" spans="1:6" x14ac:dyDescent="0.2">
      <c r="A1214" s="368"/>
      <c r="B1214"/>
      <c r="C1214"/>
      <c r="D1214"/>
      <c r="E1214"/>
      <c r="F1214" s="855"/>
    </row>
    <row r="1215" spans="1:6" x14ac:dyDescent="0.2">
      <c r="A1215" s="368"/>
      <c r="B1215"/>
      <c r="C1215"/>
      <c r="D1215"/>
      <c r="E1215"/>
      <c r="F1215" s="855"/>
    </row>
    <row r="1216" spans="1:6" x14ac:dyDescent="0.2">
      <c r="A1216" s="368"/>
      <c r="B1216"/>
      <c r="C1216"/>
      <c r="D1216"/>
      <c r="E1216"/>
      <c r="F1216" s="855"/>
    </row>
    <row r="1217" spans="1:6" x14ac:dyDescent="0.2">
      <c r="A1217" s="368"/>
      <c r="B1217"/>
      <c r="C1217"/>
      <c r="D1217"/>
      <c r="E1217"/>
      <c r="F1217" s="855"/>
    </row>
    <row r="1218" spans="1:6" x14ac:dyDescent="0.2">
      <c r="A1218" s="368"/>
      <c r="B1218"/>
      <c r="C1218"/>
      <c r="D1218"/>
      <c r="E1218"/>
      <c r="F1218" s="855"/>
    </row>
    <row r="1219" spans="1:6" x14ac:dyDescent="0.2">
      <c r="A1219" s="368"/>
      <c r="B1219"/>
      <c r="C1219"/>
      <c r="D1219"/>
      <c r="E1219"/>
      <c r="F1219" s="855"/>
    </row>
    <row r="1220" spans="1:6" x14ac:dyDescent="0.2">
      <c r="A1220" s="368"/>
      <c r="B1220"/>
      <c r="C1220"/>
      <c r="D1220"/>
      <c r="E1220"/>
      <c r="F1220" s="855"/>
    </row>
    <row r="1221" spans="1:6" x14ac:dyDescent="0.2">
      <c r="A1221" s="368"/>
      <c r="B1221"/>
      <c r="C1221"/>
      <c r="D1221"/>
      <c r="E1221"/>
      <c r="F1221" s="855"/>
    </row>
    <row r="1222" spans="1:6" x14ac:dyDescent="0.2">
      <c r="A1222" s="368"/>
      <c r="B1222"/>
      <c r="C1222"/>
      <c r="D1222"/>
      <c r="E1222"/>
      <c r="F1222" s="855"/>
    </row>
    <row r="1223" spans="1:6" x14ac:dyDescent="0.2">
      <c r="A1223" s="368"/>
      <c r="B1223"/>
      <c r="C1223"/>
      <c r="D1223"/>
      <c r="E1223"/>
      <c r="F1223" s="855"/>
    </row>
    <row r="1224" spans="1:6" x14ac:dyDescent="0.2">
      <c r="A1224" s="368"/>
      <c r="B1224"/>
      <c r="C1224"/>
      <c r="D1224"/>
      <c r="E1224"/>
      <c r="F1224" s="855"/>
    </row>
    <row r="1225" spans="1:6" x14ac:dyDescent="0.2">
      <c r="A1225" s="368"/>
      <c r="B1225"/>
      <c r="C1225"/>
      <c r="D1225"/>
      <c r="E1225"/>
      <c r="F1225" s="855"/>
    </row>
    <row r="1226" spans="1:6" x14ac:dyDescent="0.2">
      <c r="A1226" s="368"/>
      <c r="B1226"/>
      <c r="C1226"/>
      <c r="D1226"/>
      <c r="E1226"/>
      <c r="F1226" s="855"/>
    </row>
    <row r="1227" spans="1:6" x14ac:dyDescent="0.2">
      <c r="A1227" s="368"/>
      <c r="B1227"/>
      <c r="C1227"/>
      <c r="D1227"/>
      <c r="E1227"/>
      <c r="F1227" s="855"/>
    </row>
    <row r="1228" spans="1:6" x14ac:dyDescent="0.2">
      <c r="A1228" s="368"/>
      <c r="B1228"/>
      <c r="C1228"/>
      <c r="D1228"/>
      <c r="E1228"/>
      <c r="F1228" s="855"/>
    </row>
    <row r="1229" spans="1:6" x14ac:dyDescent="0.2">
      <c r="A1229" s="368"/>
      <c r="B1229"/>
      <c r="C1229"/>
      <c r="D1229"/>
      <c r="E1229"/>
      <c r="F1229" s="855"/>
    </row>
    <row r="1230" spans="1:6" x14ac:dyDescent="0.2">
      <c r="A1230" s="368"/>
      <c r="B1230"/>
      <c r="C1230"/>
      <c r="D1230"/>
      <c r="E1230"/>
      <c r="F1230" s="855"/>
    </row>
    <row r="1231" spans="1:6" x14ac:dyDescent="0.2">
      <c r="A1231" s="368"/>
      <c r="B1231"/>
      <c r="C1231"/>
      <c r="D1231"/>
      <c r="E1231"/>
      <c r="F1231" s="855"/>
    </row>
    <row r="1232" spans="1:6" x14ac:dyDescent="0.2">
      <c r="A1232" s="368"/>
      <c r="B1232"/>
      <c r="C1232"/>
      <c r="D1232"/>
      <c r="E1232"/>
      <c r="F1232" s="855"/>
    </row>
    <row r="1233" spans="1:6" x14ac:dyDescent="0.2">
      <c r="A1233" s="368"/>
      <c r="B1233"/>
      <c r="C1233"/>
      <c r="D1233"/>
      <c r="E1233"/>
      <c r="F1233" s="855"/>
    </row>
    <row r="1234" spans="1:6" x14ac:dyDescent="0.2">
      <c r="A1234" s="368"/>
      <c r="B1234"/>
      <c r="C1234"/>
      <c r="D1234"/>
      <c r="E1234"/>
      <c r="F1234" s="855"/>
    </row>
    <row r="1235" spans="1:6" x14ac:dyDescent="0.2">
      <c r="A1235" s="368"/>
      <c r="B1235"/>
      <c r="C1235"/>
      <c r="D1235"/>
      <c r="E1235"/>
      <c r="F1235" s="855"/>
    </row>
    <row r="1236" spans="1:6" x14ac:dyDescent="0.2">
      <c r="A1236" s="368"/>
      <c r="B1236"/>
      <c r="C1236"/>
      <c r="D1236"/>
      <c r="E1236"/>
      <c r="F1236" s="855"/>
    </row>
    <row r="1237" spans="1:6" x14ac:dyDescent="0.2">
      <c r="A1237" s="368"/>
      <c r="B1237"/>
      <c r="C1237"/>
      <c r="D1237"/>
      <c r="E1237"/>
      <c r="F1237" s="855"/>
    </row>
    <row r="1238" spans="1:6" x14ac:dyDescent="0.2">
      <c r="A1238" s="368"/>
      <c r="B1238"/>
      <c r="C1238"/>
      <c r="D1238"/>
      <c r="E1238"/>
      <c r="F1238" s="855"/>
    </row>
    <row r="1239" spans="1:6" x14ac:dyDescent="0.2">
      <c r="A1239" s="368"/>
      <c r="B1239"/>
      <c r="C1239"/>
      <c r="D1239"/>
      <c r="E1239"/>
      <c r="F1239" s="855"/>
    </row>
    <row r="1240" spans="1:6" x14ac:dyDescent="0.2">
      <c r="A1240" s="368"/>
      <c r="B1240"/>
      <c r="C1240"/>
      <c r="D1240"/>
      <c r="E1240"/>
      <c r="F1240" s="855"/>
    </row>
    <row r="1241" spans="1:6" x14ac:dyDescent="0.2">
      <c r="A1241" s="368"/>
      <c r="B1241"/>
      <c r="C1241"/>
      <c r="D1241"/>
      <c r="E1241"/>
      <c r="F1241" s="855"/>
    </row>
    <row r="1242" spans="1:6" x14ac:dyDescent="0.2">
      <c r="A1242" s="368"/>
      <c r="B1242"/>
      <c r="C1242"/>
      <c r="D1242"/>
      <c r="E1242"/>
      <c r="F1242" s="855"/>
    </row>
    <row r="1243" spans="1:6" x14ac:dyDescent="0.2">
      <c r="A1243" s="368"/>
      <c r="B1243"/>
      <c r="C1243"/>
      <c r="D1243"/>
      <c r="E1243"/>
      <c r="F1243" s="855"/>
    </row>
    <row r="1244" spans="1:6" x14ac:dyDescent="0.2">
      <c r="A1244" s="368"/>
      <c r="B1244"/>
      <c r="C1244"/>
      <c r="D1244"/>
      <c r="E1244"/>
      <c r="F1244" s="855"/>
    </row>
    <row r="1245" spans="1:6" x14ac:dyDescent="0.2">
      <c r="A1245" s="368"/>
      <c r="B1245"/>
      <c r="C1245"/>
      <c r="D1245"/>
      <c r="E1245"/>
      <c r="F1245" s="855"/>
    </row>
    <row r="1246" spans="1:6" x14ac:dyDescent="0.2">
      <c r="A1246" s="368"/>
      <c r="B1246"/>
      <c r="C1246"/>
      <c r="D1246"/>
      <c r="E1246"/>
      <c r="F1246" s="855"/>
    </row>
    <row r="1247" spans="1:6" x14ac:dyDescent="0.2">
      <c r="A1247" s="368"/>
      <c r="B1247"/>
      <c r="C1247"/>
      <c r="D1247"/>
      <c r="E1247"/>
      <c r="F1247" s="855"/>
    </row>
    <row r="1248" spans="1:6" x14ac:dyDescent="0.2">
      <c r="A1248" s="368"/>
      <c r="B1248"/>
      <c r="C1248"/>
      <c r="D1248"/>
      <c r="E1248"/>
      <c r="F1248" s="855"/>
    </row>
    <row r="1249" spans="1:6" x14ac:dyDescent="0.2">
      <c r="A1249" s="368"/>
      <c r="B1249"/>
      <c r="C1249"/>
      <c r="D1249"/>
      <c r="E1249"/>
      <c r="F1249" s="855"/>
    </row>
    <row r="1250" spans="1:6" x14ac:dyDescent="0.2">
      <c r="A1250" s="368"/>
      <c r="B1250"/>
      <c r="C1250"/>
      <c r="D1250"/>
      <c r="E1250"/>
      <c r="F1250" s="855"/>
    </row>
    <row r="1251" spans="1:6" x14ac:dyDescent="0.2">
      <c r="A1251" s="368"/>
      <c r="B1251"/>
      <c r="C1251"/>
      <c r="D1251"/>
      <c r="E1251"/>
      <c r="F1251" s="855"/>
    </row>
    <row r="1252" spans="1:6" x14ac:dyDescent="0.2">
      <c r="A1252" s="368"/>
      <c r="B1252"/>
      <c r="C1252"/>
      <c r="D1252"/>
      <c r="E1252"/>
      <c r="F1252" s="855"/>
    </row>
    <row r="1253" spans="1:6" x14ac:dyDescent="0.2">
      <c r="A1253" s="368"/>
      <c r="B1253"/>
      <c r="C1253"/>
      <c r="D1253"/>
      <c r="E1253"/>
      <c r="F1253" s="855"/>
    </row>
    <row r="1254" spans="1:6" x14ac:dyDescent="0.2">
      <c r="A1254" s="368"/>
      <c r="B1254"/>
      <c r="C1254"/>
      <c r="D1254"/>
      <c r="E1254"/>
      <c r="F1254" s="855"/>
    </row>
    <row r="1255" spans="1:6" x14ac:dyDescent="0.2">
      <c r="A1255" s="368"/>
      <c r="B1255"/>
      <c r="C1255"/>
      <c r="D1255"/>
      <c r="E1255"/>
      <c r="F1255" s="855"/>
    </row>
    <row r="1256" spans="1:6" x14ac:dyDescent="0.2">
      <c r="A1256" s="368"/>
      <c r="B1256"/>
      <c r="C1256"/>
      <c r="D1256"/>
      <c r="E1256"/>
      <c r="F1256" s="855"/>
    </row>
    <row r="1257" spans="1:6" x14ac:dyDescent="0.2">
      <c r="A1257" s="368"/>
      <c r="B1257"/>
      <c r="C1257"/>
      <c r="D1257"/>
      <c r="E1257"/>
      <c r="F1257" s="855"/>
    </row>
    <row r="1258" spans="1:6" x14ac:dyDescent="0.2">
      <c r="A1258" s="368"/>
      <c r="B1258"/>
      <c r="C1258"/>
      <c r="D1258"/>
      <c r="E1258"/>
      <c r="F1258" s="855"/>
    </row>
    <row r="1259" spans="1:6" x14ac:dyDescent="0.2">
      <c r="A1259" s="368"/>
      <c r="B1259"/>
      <c r="C1259"/>
      <c r="D1259"/>
      <c r="E1259"/>
      <c r="F1259" s="855"/>
    </row>
    <row r="1260" spans="1:6" x14ac:dyDescent="0.2">
      <c r="A1260" s="368"/>
      <c r="B1260"/>
      <c r="C1260"/>
      <c r="D1260"/>
      <c r="E1260"/>
      <c r="F1260" s="855"/>
    </row>
    <row r="1261" spans="1:6" x14ac:dyDescent="0.2">
      <c r="A1261" s="368"/>
      <c r="B1261"/>
      <c r="C1261"/>
      <c r="D1261"/>
      <c r="E1261"/>
      <c r="F1261" s="855"/>
    </row>
    <row r="1262" spans="1:6" x14ac:dyDescent="0.2">
      <c r="A1262" s="368"/>
      <c r="B1262"/>
      <c r="C1262"/>
      <c r="D1262"/>
      <c r="E1262"/>
      <c r="F1262" s="855"/>
    </row>
    <row r="1263" spans="1:6" x14ac:dyDescent="0.2">
      <c r="A1263" s="368"/>
      <c r="B1263"/>
      <c r="C1263"/>
      <c r="D1263"/>
      <c r="E1263"/>
      <c r="F1263" s="855"/>
    </row>
    <row r="1264" spans="1:6" x14ac:dyDescent="0.2">
      <c r="A1264" s="368"/>
      <c r="B1264"/>
      <c r="C1264"/>
      <c r="D1264"/>
      <c r="E1264"/>
      <c r="F1264" s="855"/>
    </row>
    <row r="1265" spans="1:6" x14ac:dyDescent="0.2">
      <c r="A1265" s="368"/>
      <c r="B1265"/>
      <c r="C1265"/>
      <c r="D1265"/>
      <c r="E1265"/>
      <c r="F1265" s="855"/>
    </row>
    <row r="1266" spans="1:6" x14ac:dyDescent="0.2">
      <c r="A1266" s="368"/>
      <c r="B1266"/>
      <c r="C1266"/>
      <c r="D1266"/>
      <c r="E1266"/>
      <c r="F1266" s="855"/>
    </row>
    <row r="1267" spans="1:6" x14ac:dyDescent="0.2">
      <c r="A1267" s="368"/>
      <c r="B1267"/>
      <c r="C1267"/>
      <c r="D1267"/>
      <c r="E1267"/>
      <c r="F1267" s="855"/>
    </row>
    <row r="1268" spans="1:6" x14ac:dyDescent="0.2">
      <c r="A1268" s="368"/>
      <c r="B1268"/>
      <c r="C1268"/>
      <c r="D1268"/>
      <c r="E1268"/>
      <c r="F1268" s="855"/>
    </row>
    <row r="1269" spans="1:6" x14ac:dyDescent="0.2">
      <c r="A1269" s="368"/>
      <c r="B1269"/>
      <c r="C1269"/>
      <c r="D1269"/>
      <c r="E1269"/>
      <c r="F1269" s="855"/>
    </row>
    <row r="1270" spans="1:6" x14ac:dyDescent="0.2">
      <c r="A1270" s="368"/>
      <c r="B1270"/>
      <c r="C1270"/>
      <c r="D1270"/>
      <c r="E1270"/>
      <c r="F1270" s="855"/>
    </row>
    <row r="1271" spans="1:6" x14ac:dyDescent="0.2">
      <c r="A1271" s="368"/>
      <c r="B1271"/>
      <c r="C1271"/>
      <c r="D1271"/>
      <c r="E1271"/>
      <c r="F1271" s="855"/>
    </row>
    <row r="1272" spans="1:6" x14ac:dyDescent="0.2">
      <c r="A1272" s="368"/>
      <c r="B1272"/>
      <c r="C1272"/>
      <c r="D1272"/>
      <c r="E1272"/>
      <c r="F1272" s="855"/>
    </row>
    <row r="1273" spans="1:6" x14ac:dyDescent="0.2">
      <c r="A1273" s="368"/>
      <c r="B1273"/>
      <c r="C1273"/>
      <c r="D1273"/>
      <c r="E1273"/>
      <c r="F1273" s="855"/>
    </row>
    <row r="1274" spans="1:6" x14ac:dyDescent="0.2">
      <c r="A1274" s="368"/>
      <c r="B1274"/>
      <c r="C1274"/>
      <c r="D1274"/>
      <c r="E1274"/>
      <c r="F1274" s="855"/>
    </row>
    <row r="1275" spans="1:6" x14ac:dyDescent="0.2">
      <c r="A1275" s="368"/>
      <c r="B1275"/>
      <c r="C1275"/>
      <c r="D1275"/>
      <c r="E1275"/>
      <c r="F1275" s="855"/>
    </row>
    <row r="1276" spans="1:6" x14ac:dyDescent="0.2">
      <c r="A1276" s="368"/>
      <c r="B1276"/>
      <c r="C1276"/>
      <c r="D1276"/>
      <c r="E1276"/>
      <c r="F1276" s="855"/>
    </row>
    <row r="1277" spans="1:6" x14ac:dyDescent="0.2">
      <c r="A1277" s="368"/>
      <c r="B1277"/>
      <c r="C1277"/>
      <c r="D1277"/>
      <c r="E1277"/>
      <c r="F1277" s="855"/>
    </row>
    <row r="1278" spans="1:6" x14ac:dyDescent="0.2">
      <c r="A1278" s="368"/>
      <c r="B1278"/>
      <c r="C1278"/>
      <c r="D1278"/>
      <c r="E1278"/>
      <c r="F1278" s="855"/>
    </row>
    <row r="1279" spans="1:6" x14ac:dyDescent="0.2">
      <c r="A1279" s="368"/>
      <c r="B1279"/>
      <c r="C1279"/>
      <c r="D1279"/>
      <c r="E1279"/>
      <c r="F1279" s="855"/>
    </row>
    <row r="1280" spans="1:6" x14ac:dyDescent="0.2">
      <c r="A1280" s="368"/>
      <c r="B1280"/>
      <c r="C1280"/>
      <c r="D1280"/>
      <c r="E1280"/>
      <c r="F1280" s="855"/>
    </row>
    <row r="1281" spans="1:6" x14ac:dyDescent="0.2">
      <c r="A1281" s="368"/>
      <c r="B1281"/>
      <c r="C1281"/>
      <c r="D1281"/>
      <c r="E1281"/>
      <c r="F1281" s="855"/>
    </row>
    <row r="1282" spans="1:6" x14ac:dyDescent="0.2">
      <c r="A1282" s="368"/>
      <c r="B1282"/>
      <c r="C1282"/>
      <c r="D1282"/>
      <c r="E1282"/>
      <c r="F1282" s="855"/>
    </row>
    <row r="1283" spans="1:6" x14ac:dyDescent="0.2">
      <c r="A1283" s="368"/>
      <c r="B1283"/>
      <c r="C1283"/>
      <c r="D1283"/>
      <c r="E1283"/>
      <c r="F1283" s="855"/>
    </row>
    <row r="1284" spans="1:6" x14ac:dyDescent="0.2">
      <c r="A1284" s="368"/>
      <c r="B1284"/>
      <c r="C1284"/>
      <c r="D1284"/>
      <c r="E1284"/>
      <c r="F1284" s="855"/>
    </row>
    <row r="1285" spans="1:6" x14ac:dyDescent="0.2">
      <c r="A1285" s="368"/>
      <c r="B1285"/>
      <c r="C1285"/>
      <c r="D1285"/>
      <c r="E1285"/>
      <c r="F1285" s="855"/>
    </row>
    <row r="1286" spans="1:6" x14ac:dyDescent="0.2">
      <c r="A1286" s="368"/>
      <c r="B1286"/>
      <c r="C1286"/>
      <c r="D1286"/>
      <c r="E1286"/>
      <c r="F1286" s="855"/>
    </row>
    <row r="1287" spans="1:6" x14ac:dyDescent="0.2">
      <c r="A1287" s="368"/>
      <c r="B1287"/>
      <c r="C1287"/>
      <c r="D1287"/>
      <c r="E1287"/>
      <c r="F1287" s="855"/>
    </row>
    <row r="1288" spans="1:6" x14ac:dyDescent="0.2">
      <c r="A1288" s="368"/>
      <c r="B1288"/>
      <c r="C1288"/>
      <c r="D1288"/>
      <c r="E1288"/>
      <c r="F1288" s="855"/>
    </row>
    <row r="1289" spans="1:6" x14ac:dyDescent="0.2">
      <c r="A1289" s="368"/>
      <c r="B1289"/>
      <c r="C1289"/>
      <c r="D1289"/>
      <c r="E1289"/>
      <c r="F1289" s="855"/>
    </row>
    <row r="1290" spans="1:6" x14ac:dyDescent="0.2">
      <c r="A1290" s="368"/>
      <c r="B1290"/>
      <c r="C1290"/>
      <c r="D1290"/>
      <c r="E1290"/>
      <c r="F1290" s="855"/>
    </row>
    <row r="1291" spans="1:6" x14ac:dyDescent="0.2">
      <c r="A1291" s="368"/>
      <c r="B1291"/>
      <c r="C1291"/>
      <c r="D1291"/>
      <c r="E1291"/>
      <c r="F1291" s="855"/>
    </row>
    <row r="1292" spans="1:6" x14ac:dyDescent="0.2">
      <c r="A1292" s="368"/>
      <c r="B1292"/>
      <c r="C1292"/>
      <c r="D1292"/>
      <c r="E1292"/>
      <c r="F1292" s="855"/>
    </row>
    <row r="1293" spans="1:6" x14ac:dyDescent="0.2">
      <c r="A1293" s="368"/>
      <c r="B1293"/>
      <c r="C1293"/>
      <c r="D1293"/>
      <c r="E1293"/>
      <c r="F1293" s="855"/>
    </row>
    <row r="1294" spans="1:6" x14ac:dyDescent="0.2">
      <c r="A1294" s="368"/>
      <c r="B1294"/>
      <c r="C1294"/>
      <c r="D1294"/>
      <c r="E1294"/>
      <c r="F1294" s="855"/>
    </row>
    <row r="1295" spans="1:6" x14ac:dyDescent="0.2">
      <c r="A1295" s="368"/>
      <c r="B1295"/>
      <c r="C1295"/>
      <c r="D1295"/>
      <c r="E1295"/>
      <c r="F1295" s="855"/>
    </row>
    <row r="1296" spans="1:6" x14ac:dyDescent="0.2">
      <c r="A1296" s="368"/>
      <c r="B1296"/>
      <c r="C1296"/>
      <c r="D1296"/>
      <c r="E1296"/>
      <c r="F1296" s="855"/>
    </row>
    <row r="1297" spans="1:6" x14ac:dyDescent="0.2">
      <c r="A1297" s="368"/>
      <c r="B1297"/>
      <c r="C1297"/>
      <c r="D1297"/>
      <c r="E1297"/>
      <c r="F1297" s="855"/>
    </row>
    <row r="1298" spans="1:6" x14ac:dyDescent="0.2">
      <c r="A1298" s="368"/>
      <c r="B1298"/>
      <c r="C1298"/>
      <c r="D1298"/>
      <c r="E1298"/>
      <c r="F1298" s="855"/>
    </row>
    <row r="1299" spans="1:6" x14ac:dyDescent="0.2">
      <c r="A1299" s="368"/>
      <c r="B1299"/>
      <c r="C1299"/>
      <c r="D1299"/>
      <c r="E1299"/>
      <c r="F1299" s="855"/>
    </row>
    <row r="1300" spans="1:6" x14ac:dyDescent="0.2">
      <c r="A1300" s="368"/>
      <c r="B1300"/>
      <c r="C1300"/>
      <c r="D1300"/>
      <c r="E1300"/>
      <c r="F1300" s="855"/>
    </row>
    <row r="1301" spans="1:6" x14ac:dyDescent="0.2">
      <c r="A1301" s="368"/>
      <c r="B1301"/>
      <c r="C1301"/>
      <c r="D1301"/>
      <c r="E1301"/>
      <c r="F1301" s="855"/>
    </row>
    <row r="1302" spans="1:6" x14ac:dyDescent="0.2">
      <c r="A1302" s="368"/>
      <c r="B1302"/>
      <c r="C1302"/>
      <c r="D1302"/>
      <c r="E1302"/>
      <c r="F1302" s="855"/>
    </row>
    <row r="1303" spans="1:6" x14ac:dyDescent="0.2">
      <c r="A1303" s="368"/>
      <c r="B1303"/>
      <c r="C1303"/>
      <c r="D1303"/>
      <c r="E1303"/>
      <c r="F1303" s="855"/>
    </row>
    <row r="1304" spans="1:6" x14ac:dyDescent="0.2">
      <c r="A1304" s="368"/>
      <c r="B1304"/>
      <c r="C1304"/>
      <c r="D1304"/>
      <c r="E1304"/>
      <c r="F1304" s="855"/>
    </row>
    <row r="1305" spans="1:6" x14ac:dyDescent="0.2">
      <c r="A1305" s="368"/>
      <c r="B1305"/>
      <c r="C1305"/>
      <c r="D1305"/>
      <c r="E1305"/>
      <c r="F1305" s="855"/>
    </row>
    <row r="1306" spans="1:6" x14ac:dyDescent="0.2">
      <c r="A1306" s="368"/>
      <c r="B1306"/>
      <c r="C1306"/>
      <c r="D1306"/>
      <c r="E1306"/>
      <c r="F1306" s="855"/>
    </row>
    <row r="1307" spans="1:6" x14ac:dyDescent="0.2">
      <c r="A1307" s="368"/>
      <c r="B1307"/>
      <c r="C1307"/>
      <c r="D1307"/>
      <c r="E1307"/>
      <c r="F1307" s="855"/>
    </row>
    <row r="1308" spans="1:6" x14ac:dyDescent="0.2">
      <c r="A1308" s="368"/>
      <c r="B1308"/>
      <c r="C1308"/>
      <c r="D1308"/>
      <c r="E1308"/>
      <c r="F1308" s="855"/>
    </row>
    <row r="1309" spans="1:6" x14ac:dyDescent="0.2">
      <c r="A1309" s="368"/>
      <c r="B1309"/>
      <c r="C1309"/>
      <c r="D1309"/>
      <c r="E1309"/>
      <c r="F1309" s="855"/>
    </row>
    <row r="1310" spans="1:6" x14ac:dyDescent="0.2">
      <c r="A1310" s="368"/>
      <c r="B1310"/>
      <c r="C1310"/>
      <c r="D1310"/>
      <c r="E1310"/>
      <c r="F1310" s="855"/>
    </row>
    <row r="1311" spans="1:6" x14ac:dyDescent="0.2">
      <c r="A1311" s="368"/>
      <c r="B1311"/>
      <c r="C1311"/>
      <c r="D1311"/>
      <c r="E1311"/>
      <c r="F1311" s="855"/>
    </row>
    <row r="1312" spans="1:6" x14ac:dyDescent="0.2">
      <c r="A1312" s="368"/>
      <c r="B1312"/>
      <c r="C1312"/>
      <c r="D1312"/>
      <c r="E1312"/>
      <c r="F1312" s="855"/>
    </row>
    <row r="1313" spans="1:6" x14ac:dyDescent="0.2">
      <c r="A1313" s="368"/>
      <c r="B1313"/>
      <c r="C1313"/>
      <c r="D1313"/>
      <c r="E1313"/>
      <c r="F1313" s="855"/>
    </row>
    <row r="1314" spans="1:6" x14ac:dyDescent="0.2">
      <c r="A1314" s="368"/>
      <c r="B1314"/>
      <c r="C1314"/>
      <c r="D1314"/>
      <c r="E1314"/>
      <c r="F1314" s="855"/>
    </row>
    <row r="1315" spans="1:6" x14ac:dyDescent="0.2">
      <c r="A1315" s="368"/>
      <c r="B1315"/>
      <c r="C1315"/>
      <c r="D1315"/>
      <c r="E1315"/>
      <c r="F1315" s="855"/>
    </row>
    <row r="1316" spans="1:6" x14ac:dyDescent="0.2">
      <c r="A1316" s="368"/>
      <c r="B1316"/>
      <c r="C1316"/>
      <c r="D1316"/>
      <c r="E1316"/>
      <c r="F1316" s="855"/>
    </row>
    <row r="1317" spans="1:6" x14ac:dyDescent="0.2">
      <c r="A1317" s="368"/>
      <c r="B1317"/>
      <c r="C1317"/>
      <c r="D1317"/>
      <c r="E1317"/>
      <c r="F1317" s="855"/>
    </row>
    <row r="1318" spans="1:6" x14ac:dyDescent="0.2">
      <c r="A1318" s="368"/>
      <c r="B1318"/>
      <c r="C1318"/>
      <c r="D1318"/>
      <c r="E1318"/>
      <c r="F1318" s="855"/>
    </row>
    <row r="1319" spans="1:6" x14ac:dyDescent="0.2">
      <c r="A1319" s="368"/>
      <c r="B1319"/>
      <c r="C1319"/>
      <c r="D1319"/>
      <c r="E1319"/>
      <c r="F1319" s="855"/>
    </row>
    <row r="1320" spans="1:6" x14ac:dyDescent="0.2">
      <c r="A1320" s="368"/>
      <c r="B1320"/>
      <c r="C1320"/>
      <c r="D1320"/>
      <c r="E1320"/>
      <c r="F1320" s="855"/>
    </row>
    <row r="1321" spans="1:6" x14ac:dyDescent="0.2">
      <c r="A1321" s="368"/>
      <c r="B1321"/>
      <c r="C1321"/>
      <c r="D1321"/>
      <c r="E1321"/>
      <c r="F1321" s="855"/>
    </row>
    <row r="1322" spans="1:6" x14ac:dyDescent="0.2">
      <c r="A1322" s="368"/>
      <c r="B1322"/>
      <c r="C1322"/>
      <c r="D1322"/>
      <c r="E1322"/>
      <c r="F1322" s="855"/>
    </row>
    <row r="1323" spans="1:6" x14ac:dyDescent="0.2">
      <c r="A1323" s="368"/>
      <c r="B1323"/>
      <c r="C1323"/>
      <c r="D1323"/>
      <c r="E1323"/>
      <c r="F1323" s="855"/>
    </row>
    <row r="1324" spans="1:6" x14ac:dyDescent="0.2">
      <c r="A1324" s="368"/>
      <c r="B1324"/>
      <c r="C1324"/>
      <c r="D1324"/>
      <c r="E1324"/>
      <c r="F1324" s="855"/>
    </row>
    <row r="1325" spans="1:6" x14ac:dyDescent="0.2">
      <c r="A1325" s="368"/>
      <c r="B1325"/>
      <c r="C1325"/>
      <c r="D1325"/>
      <c r="E1325"/>
      <c r="F1325" s="855"/>
    </row>
    <row r="1326" spans="1:6" x14ac:dyDescent="0.2">
      <c r="A1326" s="368"/>
      <c r="B1326"/>
      <c r="C1326"/>
      <c r="D1326"/>
      <c r="E1326"/>
      <c r="F1326" s="855"/>
    </row>
    <row r="1327" spans="1:6" x14ac:dyDescent="0.2">
      <c r="A1327" s="368"/>
      <c r="B1327"/>
      <c r="C1327"/>
      <c r="D1327"/>
      <c r="E1327"/>
      <c r="F1327" s="855"/>
    </row>
    <row r="1328" spans="1:6" x14ac:dyDescent="0.2">
      <c r="A1328" s="368"/>
      <c r="B1328"/>
      <c r="C1328"/>
      <c r="D1328"/>
      <c r="E1328"/>
      <c r="F1328" s="855"/>
    </row>
    <row r="1329" spans="1:6" x14ac:dyDescent="0.2">
      <c r="A1329" s="368"/>
      <c r="B1329"/>
      <c r="C1329"/>
      <c r="D1329"/>
      <c r="E1329"/>
      <c r="F1329" s="855"/>
    </row>
    <row r="1330" spans="1:6" x14ac:dyDescent="0.2">
      <c r="A1330" s="368"/>
      <c r="B1330"/>
      <c r="C1330"/>
      <c r="D1330"/>
      <c r="E1330"/>
      <c r="F1330" s="855"/>
    </row>
    <row r="1331" spans="1:6" x14ac:dyDescent="0.2">
      <c r="A1331" s="368"/>
      <c r="B1331"/>
      <c r="C1331"/>
      <c r="D1331"/>
      <c r="E1331"/>
      <c r="F1331" s="855"/>
    </row>
    <row r="1332" spans="1:6" x14ac:dyDescent="0.2">
      <c r="A1332" s="368"/>
      <c r="B1332"/>
      <c r="C1332"/>
      <c r="D1332"/>
      <c r="E1332"/>
      <c r="F1332" s="855"/>
    </row>
    <row r="1333" spans="1:6" x14ac:dyDescent="0.2">
      <c r="A1333" s="368"/>
      <c r="B1333"/>
      <c r="C1333"/>
      <c r="D1333"/>
      <c r="E1333"/>
      <c r="F1333" s="855"/>
    </row>
    <row r="1334" spans="1:6" x14ac:dyDescent="0.2">
      <c r="A1334" s="368"/>
      <c r="B1334"/>
      <c r="C1334"/>
      <c r="D1334"/>
      <c r="E1334"/>
      <c r="F1334" s="855"/>
    </row>
    <row r="1335" spans="1:6" x14ac:dyDescent="0.2">
      <c r="A1335" s="368"/>
      <c r="B1335"/>
      <c r="C1335"/>
      <c r="D1335"/>
      <c r="E1335"/>
      <c r="F1335" s="855"/>
    </row>
    <row r="1336" spans="1:6" x14ac:dyDescent="0.2">
      <c r="A1336" s="368"/>
      <c r="B1336"/>
      <c r="C1336"/>
      <c r="D1336"/>
      <c r="E1336"/>
      <c r="F1336" s="855"/>
    </row>
    <row r="1337" spans="1:6" x14ac:dyDescent="0.2">
      <c r="A1337" s="368"/>
      <c r="B1337"/>
      <c r="C1337"/>
      <c r="D1337"/>
      <c r="E1337"/>
      <c r="F1337" s="855"/>
    </row>
    <row r="1338" spans="1:6" x14ac:dyDescent="0.2">
      <c r="A1338" s="368"/>
      <c r="B1338"/>
      <c r="C1338"/>
      <c r="D1338"/>
      <c r="E1338"/>
      <c r="F1338" s="855"/>
    </row>
    <row r="1339" spans="1:6" x14ac:dyDescent="0.2">
      <c r="A1339" s="368"/>
      <c r="B1339"/>
      <c r="C1339"/>
      <c r="D1339"/>
      <c r="E1339"/>
      <c r="F1339" s="855"/>
    </row>
    <row r="1340" spans="1:6" x14ac:dyDescent="0.2">
      <c r="A1340" s="368"/>
      <c r="B1340"/>
      <c r="C1340"/>
      <c r="D1340"/>
      <c r="E1340"/>
      <c r="F1340" s="855"/>
    </row>
    <row r="1341" spans="1:6" x14ac:dyDescent="0.2">
      <c r="A1341" s="368"/>
      <c r="B1341"/>
      <c r="C1341"/>
      <c r="D1341"/>
      <c r="E1341"/>
      <c r="F1341" s="855"/>
    </row>
    <row r="1342" spans="1:6" x14ac:dyDescent="0.2">
      <c r="A1342" s="368"/>
      <c r="B1342"/>
      <c r="C1342"/>
      <c r="D1342"/>
      <c r="E1342"/>
      <c r="F1342" s="855"/>
    </row>
    <row r="1343" spans="1:6" x14ac:dyDescent="0.2">
      <c r="A1343" s="368"/>
      <c r="B1343"/>
      <c r="C1343"/>
      <c r="D1343"/>
      <c r="E1343"/>
      <c r="F1343" s="855"/>
    </row>
    <row r="1344" spans="1:6" x14ac:dyDescent="0.2">
      <c r="A1344" s="368"/>
      <c r="B1344"/>
      <c r="C1344"/>
      <c r="D1344"/>
      <c r="E1344"/>
      <c r="F1344" s="855"/>
    </row>
    <row r="1345" spans="1:6" x14ac:dyDescent="0.2">
      <c r="A1345" s="368"/>
      <c r="B1345"/>
      <c r="C1345"/>
      <c r="D1345"/>
      <c r="E1345"/>
      <c r="F1345" s="855"/>
    </row>
    <row r="1346" spans="1:6" x14ac:dyDescent="0.2">
      <c r="A1346" s="368"/>
      <c r="B1346"/>
      <c r="C1346"/>
      <c r="D1346"/>
      <c r="E1346"/>
      <c r="F1346" s="855"/>
    </row>
    <row r="1347" spans="1:6" x14ac:dyDescent="0.2">
      <c r="A1347" s="368"/>
      <c r="B1347"/>
      <c r="C1347"/>
      <c r="D1347"/>
      <c r="E1347"/>
      <c r="F1347" s="855"/>
    </row>
    <row r="1348" spans="1:6" x14ac:dyDescent="0.2">
      <c r="A1348" s="368"/>
      <c r="B1348"/>
      <c r="C1348"/>
      <c r="D1348"/>
      <c r="E1348"/>
      <c r="F1348" s="855"/>
    </row>
    <row r="1349" spans="1:6" x14ac:dyDescent="0.2">
      <c r="A1349" s="368"/>
      <c r="B1349"/>
      <c r="C1349"/>
      <c r="D1349"/>
      <c r="E1349"/>
      <c r="F1349" s="855"/>
    </row>
    <row r="1350" spans="1:6" x14ac:dyDescent="0.2">
      <c r="A1350" s="368"/>
      <c r="B1350"/>
      <c r="C1350"/>
      <c r="D1350"/>
      <c r="E1350"/>
      <c r="F1350" s="855"/>
    </row>
    <row r="1351" spans="1:6" x14ac:dyDescent="0.2">
      <c r="A1351" s="368"/>
      <c r="B1351"/>
      <c r="C1351"/>
      <c r="D1351"/>
      <c r="E1351"/>
      <c r="F1351" s="855"/>
    </row>
    <row r="1352" spans="1:6" x14ac:dyDescent="0.2">
      <c r="A1352" s="368"/>
      <c r="B1352"/>
      <c r="C1352"/>
      <c r="D1352"/>
      <c r="E1352"/>
      <c r="F1352" s="855"/>
    </row>
    <row r="1353" spans="1:6" x14ac:dyDescent="0.2">
      <c r="A1353" s="368"/>
      <c r="B1353"/>
      <c r="C1353"/>
      <c r="D1353"/>
      <c r="E1353"/>
      <c r="F1353" s="855"/>
    </row>
    <row r="1354" spans="1:6" x14ac:dyDescent="0.2">
      <c r="A1354" s="368"/>
      <c r="B1354"/>
      <c r="C1354"/>
      <c r="D1354"/>
      <c r="E1354"/>
      <c r="F1354" s="855"/>
    </row>
    <row r="1355" spans="1:6" x14ac:dyDescent="0.2">
      <c r="A1355" s="368"/>
      <c r="B1355"/>
      <c r="C1355"/>
      <c r="D1355"/>
      <c r="E1355"/>
      <c r="F1355" s="855"/>
    </row>
    <row r="1356" spans="1:6" x14ac:dyDescent="0.2">
      <c r="A1356" s="368"/>
      <c r="B1356"/>
      <c r="C1356"/>
      <c r="D1356"/>
      <c r="E1356"/>
      <c r="F1356" s="855"/>
    </row>
    <row r="1357" spans="1:6" x14ac:dyDescent="0.2">
      <c r="A1357" s="368"/>
      <c r="B1357"/>
      <c r="C1357"/>
      <c r="D1357"/>
      <c r="E1357"/>
      <c r="F1357" s="855"/>
    </row>
    <row r="1358" spans="1:6" x14ac:dyDescent="0.2">
      <c r="A1358" s="368"/>
      <c r="B1358"/>
      <c r="C1358"/>
      <c r="D1358"/>
      <c r="E1358"/>
      <c r="F1358" s="855"/>
    </row>
    <row r="1359" spans="1:6" x14ac:dyDescent="0.2">
      <c r="A1359" s="368"/>
      <c r="B1359"/>
      <c r="C1359"/>
      <c r="D1359"/>
      <c r="E1359"/>
      <c r="F1359" s="855"/>
    </row>
    <row r="1360" spans="1:6" x14ac:dyDescent="0.2">
      <c r="A1360" s="368"/>
      <c r="B1360"/>
      <c r="C1360"/>
      <c r="D1360"/>
      <c r="E1360"/>
      <c r="F1360" s="855"/>
    </row>
    <row r="1361" spans="1:6" x14ac:dyDescent="0.2">
      <c r="A1361" s="368"/>
      <c r="B1361"/>
      <c r="C1361"/>
      <c r="D1361"/>
      <c r="E1361"/>
      <c r="F1361" s="855"/>
    </row>
    <row r="1362" spans="1:6" x14ac:dyDescent="0.2">
      <c r="A1362" s="368"/>
      <c r="B1362"/>
      <c r="C1362"/>
      <c r="D1362"/>
      <c r="E1362"/>
      <c r="F1362" s="855"/>
    </row>
    <row r="1363" spans="1:6" x14ac:dyDescent="0.2">
      <c r="A1363" s="368"/>
      <c r="B1363"/>
      <c r="C1363"/>
      <c r="D1363"/>
      <c r="E1363"/>
      <c r="F1363" s="855"/>
    </row>
    <row r="1364" spans="1:6" x14ac:dyDescent="0.2">
      <c r="A1364" s="368"/>
      <c r="B1364"/>
      <c r="C1364"/>
      <c r="D1364"/>
      <c r="E1364"/>
      <c r="F1364" s="855"/>
    </row>
    <row r="1365" spans="1:6" x14ac:dyDescent="0.2">
      <c r="A1365" s="368"/>
      <c r="B1365"/>
      <c r="C1365"/>
      <c r="D1365"/>
      <c r="E1365"/>
      <c r="F1365" s="855"/>
    </row>
    <row r="1366" spans="1:6" x14ac:dyDescent="0.2">
      <c r="A1366" s="368"/>
      <c r="B1366"/>
      <c r="C1366"/>
      <c r="D1366"/>
      <c r="E1366"/>
      <c r="F1366" s="855"/>
    </row>
    <row r="1367" spans="1:6" x14ac:dyDescent="0.2">
      <c r="A1367" s="368"/>
      <c r="B1367"/>
      <c r="C1367"/>
      <c r="D1367"/>
      <c r="E1367"/>
      <c r="F1367" s="855"/>
    </row>
    <row r="1368" spans="1:6" x14ac:dyDescent="0.2">
      <c r="A1368" s="368"/>
      <c r="B1368"/>
      <c r="C1368"/>
      <c r="D1368"/>
      <c r="E1368"/>
      <c r="F1368" s="855"/>
    </row>
    <row r="1369" spans="1:6" x14ac:dyDescent="0.2">
      <c r="A1369" s="368"/>
      <c r="B1369"/>
      <c r="C1369"/>
      <c r="D1369"/>
      <c r="E1369"/>
      <c r="F1369" s="855"/>
    </row>
    <row r="1370" spans="1:6" x14ac:dyDescent="0.2">
      <c r="A1370" s="368"/>
      <c r="B1370"/>
      <c r="C1370"/>
      <c r="D1370"/>
      <c r="E1370"/>
      <c r="F1370" s="855"/>
    </row>
    <row r="1371" spans="1:6" x14ac:dyDescent="0.2">
      <c r="A1371" s="368"/>
      <c r="B1371"/>
      <c r="C1371"/>
      <c r="D1371"/>
      <c r="E1371"/>
      <c r="F1371" s="855"/>
    </row>
    <row r="1372" spans="1:6" x14ac:dyDescent="0.2">
      <c r="A1372" s="368"/>
      <c r="B1372"/>
      <c r="C1372"/>
      <c r="D1372"/>
      <c r="E1372"/>
      <c r="F1372" s="855"/>
    </row>
    <row r="1373" spans="1:6" x14ac:dyDescent="0.2">
      <c r="A1373" s="368"/>
      <c r="B1373"/>
      <c r="C1373"/>
      <c r="D1373"/>
      <c r="E1373"/>
      <c r="F1373" s="855"/>
    </row>
    <row r="1374" spans="1:6" x14ac:dyDescent="0.2">
      <c r="A1374" s="368"/>
      <c r="B1374"/>
      <c r="C1374"/>
      <c r="D1374"/>
      <c r="E1374"/>
      <c r="F1374" s="855"/>
    </row>
    <row r="1375" spans="1:6" x14ac:dyDescent="0.2">
      <c r="A1375" s="368"/>
      <c r="B1375"/>
      <c r="C1375"/>
      <c r="D1375"/>
      <c r="E1375"/>
      <c r="F1375" s="855"/>
    </row>
    <row r="1376" spans="1:6" x14ac:dyDescent="0.2">
      <c r="A1376" s="368"/>
      <c r="B1376"/>
      <c r="C1376"/>
      <c r="D1376"/>
      <c r="E1376"/>
      <c r="F1376" s="855"/>
    </row>
    <row r="1377" spans="1:6" x14ac:dyDescent="0.2">
      <c r="A1377" s="368"/>
      <c r="B1377"/>
      <c r="C1377"/>
      <c r="D1377"/>
      <c r="E1377"/>
      <c r="F1377" s="855"/>
    </row>
    <row r="1378" spans="1:6" x14ac:dyDescent="0.2">
      <c r="A1378" s="368"/>
      <c r="B1378"/>
      <c r="C1378"/>
      <c r="D1378"/>
      <c r="E1378"/>
      <c r="F1378" s="855"/>
    </row>
    <row r="1379" spans="1:6" x14ac:dyDescent="0.2">
      <c r="A1379" s="368"/>
      <c r="B1379"/>
      <c r="C1379"/>
      <c r="D1379"/>
      <c r="E1379"/>
      <c r="F1379" s="855"/>
    </row>
    <row r="1380" spans="1:6" x14ac:dyDescent="0.2">
      <c r="A1380" s="368"/>
      <c r="B1380"/>
      <c r="C1380"/>
      <c r="D1380"/>
      <c r="E1380"/>
      <c r="F1380" s="855"/>
    </row>
    <row r="1381" spans="1:6" x14ac:dyDescent="0.2">
      <c r="A1381" s="368"/>
      <c r="B1381"/>
      <c r="C1381"/>
      <c r="D1381"/>
      <c r="E1381"/>
      <c r="F1381" s="855"/>
    </row>
    <row r="1382" spans="1:6" x14ac:dyDescent="0.2">
      <c r="A1382" s="368"/>
      <c r="B1382"/>
      <c r="C1382"/>
      <c r="D1382"/>
      <c r="E1382"/>
      <c r="F1382" s="855"/>
    </row>
    <row r="1383" spans="1:6" x14ac:dyDescent="0.2">
      <c r="A1383" s="368"/>
      <c r="B1383"/>
      <c r="C1383"/>
      <c r="D1383"/>
      <c r="E1383"/>
      <c r="F1383" s="855"/>
    </row>
    <row r="1384" spans="1:6" x14ac:dyDescent="0.2">
      <c r="A1384" s="368"/>
      <c r="B1384"/>
      <c r="C1384"/>
      <c r="D1384"/>
      <c r="E1384"/>
      <c r="F1384" s="855"/>
    </row>
    <row r="1385" spans="1:6" x14ac:dyDescent="0.2">
      <c r="A1385" s="368"/>
      <c r="B1385"/>
      <c r="C1385"/>
      <c r="D1385"/>
      <c r="E1385"/>
      <c r="F1385" s="855"/>
    </row>
    <row r="1386" spans="1:6" x14ac:dyDescent="0.2">
      <c r="A1386" s="368"/>
      <c r="B1386"/>
      <c r="C1386"/>
      <c r="D1386"/>
      <c r="E1386"/>
      <c r="F1386" s="855"/>
    </row>
    <row r="1387" spans="1:6" x14ac:dyDescent="0.2">
      <c r="A1387" s="368"/>
      <c r="B1387"/>
      <c r="C1387"/>
      <c r="D1387"/>
      <c r="E1387"/>
      <c r="F1387" s="855"/>
    </row>
    <row r="1388" spans="1:6" x14ac:dyDescent="0.2">
      <c r="A1388" s="368"/>
      <c r="B1388"/>
      <c r="C1388"/>
      <c r="D1388"/>
      <c r="E1388"/>
      <c r="F1388" s="855"/>
    </row>
    <row r="1389" spans="1:6" x14ac:dyDescent="0.2">
      <c r="A1389" s="368"/>
      <c r="B1389"/>
      <c r="C1389"/>
      <c r="D1389"/>
      <c r="E1389"/>
      <c r="F1389" s="855"/>
    </row>
    <row r="1390" spans="1:6" x14ac:dyDescent="0.2">
      <c r="A1390" s="368"/>
      <c r="B1390"/>
      <c r="C1390"/>
      <c r="D1390"/>
      <c r="E1390"/>
      <c r="F1390" s="855"/>
    </row>
    <row r="1391" spans="1:6" x14ac:dyDescent="0.2">
      <c r="A1391" s="368"/>
      <c r="B1391"/>
      <c r="C1391"/>
      <c r="D1391"/>
      <c r="E1391"/>
      <c r="F1391" s="855"/>
    </row>
    <row r="1392" spans="1:6" x14ac:dyDescent="0.2">
      <c r="A1392" s="368"/>
      <c r="B1392"/>
      <c r="C1392"/>
      <c r="D1392"/>
      <c r="E1392"/>
      <c r="F1392" s="855"/>
    </row>
    <row r="1393" spans="1:6" x14ac:dyDescent="0.2">
      <c r="A1393" s="368"/>
      <c r="B1393"/>
      <c r="C1393"/>
      <c r="D1393"/>
      <c r="E1393"/>
      <c r="F1393" s="855"/>
    </row>
    <row r="1394" spans="1:6" x14ac:dyDescent="0.2">
      <c r="A1394" s="368"/>
      <c r="B1394"/>
      <c r="C1394"/>
      <c r="D1394"/>
      <c r="E1394"/>
      <c r="F1394" s="855"/>
    </row>
    <row r="1395" spans="1:6" x14ac:dyDescent="0.2">
      <c r="A1395" s="368"/>
      <c r="B1395"/>
      <c r="C1395"/>
      <c r="D1395"/>
      <c r="E1395"/>
      <c r="F1395" s="855"/>
    </row>
    <row r="1396" spans="1:6" x14ac:dyDescent="0.2">
      <c r="A1396" s="368"/>
      <c r="B1396"/>
      <c r="C1396"/>
      <c r="D1396"/>
      <c r="E1396"/>
      <c r="F1396" s="855"/>
    </row>
    <row r="1397" spans="1:6" x14ac:dyDescent="0.2">
      <c r="A1397" s="368"/>
      <c r="B1397"/>
      <c r="C1397"/>
      <c r="D1397"/>
      <c r="E1397"/>
      <c r="F1397" s="855"/>
    </row>
    <row r="1398" spans="1:6" x14ac:dyDescent="0.2">
      <c r="A1398" s="368"/>
      <c r="B1398"/>
      <c r="C1398"/>
      <c r="D1398"/>
      <c r="E1398"/>
      <c r="F1398" s="855"/>
    </row>
    <row r="1399" spans="1:6" x14ac:dyDescent="0.2">
      <c r="A1399" s="368"/>
      <c r="B1399"/>
      <c r="C1399"/>
      <c r="D1399"/>
      <c r="E1399"/>
      <c r="F1399" s="855"/>
    </row>
    <row r="1400" spans="1:6" x14ac:dyDescent="0.2">
      <c r="A1400" s="368"/>
      <c r="B1400"/>
      <c r="C1400"/>
      <c r="D1400"/>
      <c r="E1400"/>
      <c r="F1400" s="855"/>
    </row>
    <row r="1401" spans="1:6" x14ac:dyDescent="0.2">
      <c r="A1401" s="368"/>
      <c r="B1401"/>
      <c r="C1401"/>
      <c r="D1401"/>
      <c r="E1401"/>
      <c r="F1401" s="855"/>
    </row>
    <row r="1402" spans="1:6" x14ac:dyDescent="0.2">
      <c r="A1402" s="368"/>
      <c r="B1402"/>
      <c r="C1402"/>
      <c r="D1402"/>
      <c r="E1402"/>
      <c r="F1402" s="855"/>
    </row>
    <row r="1403" spans="1:6" x14ac:dyDescent="0.2">
      <c r="A1403" s="368"/>
      <c r="B1403"/>
      <c r="C1403"/>
      <c r="D1403"/>
      <c r="E1403"/>
      <c r="F1403" s="855"/>
    </row>
    <row r="1404" spans="1:6" x14ac:dyDescent="0.2">
      <c r="A1404" s="368"/>
      <c r="B1404"/>
      <c r="C1404"/>
      <c r="D1404"/>
      <c r="E1404"/>
      <c r="F1404" s="855"/>
    </row>
    <row r="1405" spans="1:6" x14ac:dyDescent="0.2">
      <c r="A1405" s="368"/>
      <c r="B1405"/>
      <c r="C1405"/>
      <c r="D1405"/>
      <c r="E1405"/>
      <c r="F1405" s="855"/>
    </row>
    <row r="1406" spans="1:6" x14ac:dyDescent="0.2">
      <c r="A1406" s="368"/>
      <c r="B1406"/>
      <c r="C1406"/>
      <c r="D1406"/>
      <c r="E1406"/>
      <c r="F1406" s="855"/>
    </row>
    <row r="1407" spans="1:6" x14ac:dyDescent="0.2">
      <c r="A1407" s="368"/>
      <c r="B1407"/>
      <c r="C1407"/>
      <c r="D1407"/>
      <c r="E1407"/>
      <c r="F1407" s="855"/>
    </row>
    <row r="1408" spans="1:6" x14ac:dyDescent="0.2">
      <c r="A1408" s="368"/>
      <c r="B1408"/>
      <c r="C1408"/>
      <c r="D1408"/>
      <c r="E1408"/>
      <c r="F1408" s="855"/>
    </row>
    <row r="1409" spans="1:6" x14ac:dyDescent="0.2">
      <c r="A1409" s="368"/>
      <c r="B1409"/>
      <c r="C1409"/>
      <c r="D1409"/>
      <c r="E1409"/>
      <c r="F1409" s="855"/>
    </row>
    <row r="1410" spans="1:6" x14ac:dyDescent="0.2">
      <c r="A1410" s="368"/>
      <c r="B1410"/>
      <c r="C1410"/>
      <c r="D1410"/>
      <c r="E1410"/>
      <c r="F1410" s="855"/>
    </row>
    <row r="1411" spans="1:6" x14ac:dyDescent="0.2">
      <c r="A1411" s="368"/>
      <c r="B1411"/>
      <c r="C1411"/>
      <c r="D1411"/>
      <c r="E1411"/>
      <c r="F1411" s="855"/>
    </row>
    <row r="1412" spans="1:6" x14ac:dyDescent="0.2">
      <c r="A1412" s="368"/>
      <c r="B1412"/>
      <c r="C1412"/>
      <c r="D1412"/>
      <c r="E1412"/>
      <c r="F1412" s="855"/>
    </row>
    <row r="1413" spans="1:6" x14ac:dyDescent="0.2">
      <c r="A1413" s="368"/>
      <c r="B1413"/>
      <c r="C1413"/>
      <c r="D1413"/>
      <c r="E1413"/>
      <c r="F1413" s="855"/>
    </row>
    <row r="1414" spans="1:6" x14ac:dyDescent="0.2">
      <c r="A1414" s="368"/>
      <c r="B1414"/>
      <c r="C1414"/>
      <c r="D1414"/>
      <c r="E1414"/>
      <c r="F1414" s="855"/>
    </row>
    <row r="1415" spans="1:6" x14ac:dyDescent="0.2">
      <c r="A1415" s="368"/>
      <c r="B1415"/>
      <c r="C1415"/>
      <c r="D1415"/>
      <c r="E1415"/>
      <c r="F1415" s="855"/>
    </row>
    <row r="1416" spans="1:6" x14ac:dyDescent="0.2">
      <c r="A1416" s="368"/>
      <c r="B1416"/>
      <c r="C1416"/>
      <c r="D1416"/>
      <c r="E1416"/>
      <c r="F1416" s="855"/>
    </row>
    <row r="1417" spans="1:6" x14ac:dyDescent="0.2">
      <c r="A1417" s="368"/>
      <c r="B1417"/>
      <c r="C1417"/>
      <c r="D1417"/>
      <c r="E1417"/>
      <c r="F1417" s="855"/>
    </row>
    <row r="1418" spans="1:6" x14ac:dyDescent="0.2">
      <c r="A1418" s="368"/>
      <c r="B1418"/>
      <c r="C1418"/>
      <c r="D1418"/>
      <c r="E1418"/>
      <c r="F1418" s="855"/>
    </row>
    <row r="1419" spans="1:6" x14ac:dyDescent="0.2">
      <c r="A1419" s="368"/>
      <c r="B1419"/>
      <c r="C1419"/>
      <c r="D1419"/>
      <c r="E1419"/>
      <c r="F1419" s="855"/>
    </row>
    <row r="1420" spans="1:6" x14ac:dyDescent="0.2">
      <c r="A1420" s="368"/>
      <c r="B1420"/>
      <c r="C1420"/>
      <c r="D1420"/>
      <c r="E1420"/>
      <c r="F1420" s="855"/>
    </row>
    <row r="1421" spans="1:6" x14ac:dyDescent="0.2">
      <c r="A1421" s="368"/>
      <c r="B1421"/>
      <c r="C1421"/>
      <c r="D1421"/>
      <c r="E1421"/>
      <c r="F1421" s="855"/>
    </row>
    <row r="1422" spans="1:6" x14ac:dyDescent="0.2">
      <c r="A1422" s="368"/>
      <c r="B1422"/>
      <c r="C1422"/>
      <c r="D1422"/>
      <c r="E1422"/>
      <c r="F1422" s="855"/>
    </row>
    <row r="1423" spans="1:6" x14ac:dyDescent="0.2">
      <c r="A1423" s="368"/>
      <c r="B1423"/>
      <c r="C1423"/>
      <c r="D1423"/>
      <c r="E1423"/>
      <c r="F1423" s="855"/>
    </row>
    <row r="1424" spans="1:6" x14ac:dyDescent="0.2">
      <c r="A1424" s="368"/>
      <c r="B1424"/>
      <c r="C1424"/>
      <c r="D1424"/>
      <c r="E1424"/>
      <c r="F1424" s="855"/>
    </row>
    <row r="1425" spans="1:6" x14ac:dyDescent="0.2">
      <c r="A1425" s="368"/>
      <c r="B1425"/>
      <c r="C1425"/>
      <c r="D1425"/>
      <c r="E1425"/>
      <c r="F1425" s="855"/>
    </row>
    <row r="1426" spans="1:6" x14ac:dyDescent="0.2">
      <c r="A1426" s="368"/>
      <c r="B1426"/>
      <c r="C1426"/>
      <c r="D1426"/>
      <c r="E1426"/>
      <c r="F1426" s="855"/>
    </row>
    <row r="1427" spans="1:6" x14ac:dyDescent="0.2">
      <c r="A1427" s="368"/>
      <c r="B1427"/>
      <c r="C1427"/>
      <c r="D1427"/>
      <c r="E1427"/>
      <c r="F1427" s="855"/>
    </row>
    <row r="1428" spans="1:6" x14ac:dyDescent="0.2">
      <c r="A1428" s="368"/>
      <c r="B1428"/>
      <c r="C1428"/>
      <c r="D1428"/>
      <c r="E1428"/>
      <c r="F1428" s="855"/>
    </row>
    <row r="1429" spans="1:6" x14ac:dyDescent="0.2">
      <c r="A1429" s="368"/>
      <c r="B1429"/>
      <c r="C1429"/>
      <c r="D1429"/>
      <c r="E1429"/>
      <c r="F1429" s="855"/>
    </row>
    <row r="1430" spans="1:6" x14ac:dyDescent="0.2">
      <c r="A1430" s="368"/>
      <c r="B1430"/>
      <c r="C1430"/>
      <c r="D1430"/>
      <c r="E1430"/>
      <c r="F1430" s="855"/>
    </row>
    <row r="1431" spans="1:6" x14ac:dyDescent="0.2">
      <c r="A1431" s="368"/>
      <c r="B1431"/>
      <c r="C1431"/>
      <c r="D1431"/>
      <c r="E1431"/>
      <c r="F1431" s="855"/>
    </row>
    <row r="1432" spans="1:6" x14ac:dyDescent="0.2">
      <c r="A1432" s="368"/>
      <c r="B1432"/>
      <c r="C1432"/>
      <c r="D1432"/>
      <c r="E1432"/>
      <c r="F1432" s="855"/>
    </row>
    <row r="1433" spans="1:6" x14ac:dyDescent="0.2">
      <c r="A1433" s="368"/>
      <c r="B1433"/>
      <c r="C1433"/>
      <c r="D1433"/>
      <c r="E1433"/>
      <c r="F1433" s="855"/>
    </row>
    <row r="1434" spans="1:6" x14ac:dyDescent="0.2">
      <c r="A1434" s="368"/>
      <c r="B1434"/>
      <c r="C1434"/>
      <c r="D1434"/>
      <c r="E1434"/>
      <c r="F1434" s="855"/>
    </row>
    <row r="1435" spans="1:6" x14ac:dyDescent="0.2">
      <c r="A1435" s="368"/>
      <c r="B1435"/>
      <c r="C1435"/>
      <c r="D1435"/>
      <c r="E1435"/>
      <c r="F1435" s="855"/>
    </row>
    <row r="1436" spans="1:6" x14ac:dyDescent="0.2">
      <c r="A1436" s="368"/>
      <c r="B1436"/>
      <c r="C1436"/>
      <c r="D1436"/>
      <c r="E1436"/>
      <c r="F1436" s="855"/>
    </row>
    <row r="1437" spans="1:6" x14ac:dyDescent="0.2">
      <c r="A1437" s="368"/>
      <c r="B1437"/>
      <c r="C1437"/>
      <c r="D1437"/>
      <c r="E1437"/>
      <c r="F1437" s="855"/>
    </row>
    <row r="1438" spans="1:6" x14ac:dyDescent="0.2">
      <c r="A1438" s="368"/>
      <c r="B1438"/>
      <c r="C1438"/>
      <c r="D1438"/>
      <c r="E1438"/>
      <c r="F1438" s="855"/>
    </row>
    <row r="1439" spans="1:6" x14ac:dyDescent="0.2">
      <c r="A1439" s="368"/>
      <c r="B1439"/>
      <c r="C1439"/>
      <c r="D1439"/>
      <c r="E1439"/>
      <c r="F1439" s="855"/>
    </row>
    <row r="1440" spans="1:6" x14ac:dyDescent="0.2">
      <c r="A1440" s="368"/>
      <c r="B1440"/>
      <c r="C1440"/>
      <c r="D1440"/>
      <c r="E1440"/>
      <c r="F1440" s="855"/>
    </row>
    <row r="1441" spans="1:6" x14ac:dyDescent="0.2">
      <c r="A1441" s="368"/>
      <c r="B1441"/>
      <c r="C1441"/>
      <c r="D1441"/>
      <c r="E1441"/>
      <c r="F1441" s="855"/>
    </row>
    <row r="1442" spans="1:6" x14ac:dyDescent="0.2">
      <c r="A1442" s="368"/>
      <c r="B1442"/>
      <c r="C1442"/>
      <c r="D1442"/>
      <c r="E1442"/>
      <c r="F1442" s="855"/>
    </row>
    <row r="1443" spans="1:6" x14ac:dyDescent="0.2">
      <c r="A1443" s="368"/>
      <c r="B1443"/>
      <c r="C1443"/>
      <c r="D1443"/>
      <c r="E1443"/>
      <c r="F1443" s="855"/>
    </row>
    <row r="1444" spans="1:6" x14ac:dyDescent="0.2">
      <c r="A1444" s="368"/>
      <c r="B1444"/>
      <c r="C1444"/>
      <c r="D1444"/>
      <c r="E1444"/>
      <c r="F1444" s="855"/>
    </row>
    <row r="1445" spans="1:6" x14ac:dyDescent="0.2">
      <c r="A1445" s="368"/>
      <c r="B1445"/>
      <c r="C1445"/>
      <c r="D1445"/>
      <c r="E1445"/>
      <c r="F1445" s="855"/>
    </row>
    <row r="1446" spans="1:6" x14ac:dyDescent="0.2">
      <c r="A1446" s="368"/>
      <c r="B1446"/>
      <c r="C1446"/>
      <c r="D1446"/>
      <c r="E1446"/>
      <c r="F1446" s="855"/>
    </row>
    <row r="1447" spans="1:6" x14ac:dyDescent="0.2">
      <c r="A1447" s="368"/>
      <c r="B1447"/>
      <c r="C1447"/>
      <c r="D1447"/>
      <c r="E1447"/>
      <c r="F1447" s="855"/>
    </row>
    <row r="1448" spans="1:6" x14ac:dyDescent="0.2">
      <c r="A1448" s="368"/>
      <c r="B1448"/>
      <c r="C1448"/>
      <c r="D1448"/>
      <c r="E1448"/>
      <c r="F1448" s="855"/>
    </row>
    <row r="1449" spans="1:6" x14ac:dyDescent="0.2">
      <c r="A1449" s="368"/>
      <c r="B1449"/>
      <c r="C1449"/>
      <c r="D1449"/>
      <c r="E1449"/>
      <c r="F1449" s="855"/>
    </row>
    <row r="1450" spans="1:6" x14ac:dyDescent="0.2">
      <c r="A1450" s="368"/>
      <c r="B1450"/>
      <c r="C1450"/>
      <c r="D1450"/>
      <c r="E1450"/>
      <c r="F1450" s="855"/>
    </row>
    <row r="1451" spans="1:6" x14ac:dyDescent="0.2">
      <c r="A1451" s="368"/>
      <c r="B1451"/>
      <c r="C1451"/>
      <c r="D1451"/>
      <c r="E1451"/>
      <c r="F1451" s="855"/>
    </row>
    <row r="1452" spans="1:6" x14ac:dyDescent="0.2">
      <c r="A1452" s="368"/>
      <c r="B1452"/>
      <c r="C1452"/>
      <c r="D1452"/>
      <c r="E1452"/>
      <c r="F1452" s="855"/>
    </row>
    <row r="1453" spans="1:6" x14ac:dyDescent="0.2">
      <c r="A1453" s="368"/>
      <c r="B1453"/>
      <c r="C1453"/>
      <c r="D1453"/>
      <c r="E1453"/>
      <c r="F1453" s="855"/>
    </row>
    <row r="1454" spans="1:6" x14ac:dyDescent="0.2">
      <c r="A1454" s="368"/>
      <c r="B1454"/>
      <c r="C1454"/>
      <c r="D1454"/>
      <c r="E1454"/>
      <c r="F1454" s="855"/>
    </row>
    <row r="1455" spans="1:6" x14ac:dyDescent="0.2">
      <c r="A1455" s="368"/>
      <c r="B1455"/>
      <c r="C1455"/>
      <c r="D1455"/>
      <c r="E1455"/>
      <c r="F1455" s="855"/>
    </row>
    <row r="1456" spans="1:6" x14ac:dyDescent="0.2">
      <c r="A1456" s="368"/>
      <c r="B1456"/>
      <c r="C1456"/>
      <c r="D1456"/>
      <c r="E1456"/>
      <c r="F1456" s="855"/>
    </row>
    <row r="1457" spans="1:6" x14ac:dyDescent="0.2">
      <c r="A1457" s="368"/>
      <c r="B1457"/>
      <c r="C1457"/>
      <c r="D1457"/>
      <c r="E1457"/>
      <c r="F1457" s="855"/>
    </row>
    <row r="1458" spans="1:6" x14ac:dyDescent="0.2">
      <c r="A1458" s="368"/>
      <c r="B1458"/>
      <c r="C1458"/>
      <c r="D1458"/>
      <c r="E1458"/>
      <c r="F1458" s="855"/>
    </row>
    <row r="1459" spans="1:6" x14ac:dyDescent="0.2">
      <c r="A1459" s="368"/>
      <c r="B1459"/>
      <c r="C1459"/>
      <c r="D1459"/>
      <c r="E1459"/>
      <c r="F1459" s="855"/>
    </row>
    <row r="1460" spans="1:6" x14ac:dyDescent="0.2">
      <c r="A1460" s="368"/>
      <c r="B1460"/>
      <c r="C1460"/>
      <c r="D1460"/>
      <c r="E1460"/>
      <c r="F1460" s="855"/>
    </row>
    <row r="1461" spans="1:6" x14ac:dyDescent="0.2">
      <c r="A1461" s="368"/>
      <c r="B1461"/>
      <c r="C1461"/>
      <c r="D1461"/>
      <c r="E1461"/>
      <c r="F1461" s="855"/>
    </row>
    <row r="1462" spans="1:6" x14ac:dyDescent="0.2">
      <c r="A1462" s="368"/>
      <c r="B1462"/>
      <c r="C1462"/>
      <c r="D1462"/>
      <c r="E1462"/>
      <c r="F1462" s="855"/>
    </row>
    <row r="1463" spans="1:6" x14ac:dyDescent="0.2">
      <c r="A1463" s="368"/>
      <c r="B1463"/>
      <c r="C1463"/>
      <c r="D1463"/>
      <c r="E1463"/>
      <c r="F1463" s="855"/>
    </row>
    <row r="1464" spans="1:6" x14ac:dyDescent="0.2">
      <c r="A1464" s="368"/>
      <c r="B1464"/>
      <c r="C1464"/>
      <c r="D1464"/>
      <c r="E1464"/>
      <c r="F1464" s="855"/>
    </row>
    <row r="1465" spans="1:6" x14ac:dyDescent="0.2">
      <c r="A1465" s="368"/>
      <c r="B1465"/>
      <c r="C1465"/>
      <c r="D1465"/>
      <c r="E1465"/>
      <c r="F1465" s="855"/>
    </row>
    <row r="1466" spans="1:6" x14ac:dyDescent="0.2">
      <c r="A1466" s="368"/>
      <c r="B1466"/>
      <c r="C1466"/>
      <c r="D1466"/>
      <c r="E1466"/>
      <c r="F1466" s="855"/>
    </row>
    <row r="1467" spans="1:6" x14ac:dyDescent="0.2">
      <c r="A1467" s="368"/>
      <c r="B1467"/>
      <c r="C1467"/>
      <c r="D1467"/>
      <c r="E1467"/>
      <c r="F1467" s="855"/>
    </row>
    <row r="1468" spans="1:6" x14ac:dyDescent="0.2">
      <c r="A1468" s="368"/>
      <c r="B1468"/>
      <c r="C1468"/>
      <c r="D1468"/>
      <c r="E1468"/>
      <c r="F1468" s="855"/>
    </row>
    <row r="1469" spans="1:6" x14ac:dyDescent="0.2">
      <c r="A1469" s="368"/>
      <c r="B1469"/>
      <c r="C1469"/>
      <c r="D1469"/>
      <c r="E1469"/>
      <c r="F1469" s="855"/>
    </row>
    <row r="1470" spans="1:6" x14ac:dyDescent="0.2">
      <c r="A1470" s="368"/>
      <c r="B1470"/>
      <c r="C1470"/>
      <c r="D1470"/>
      <c r="E1470"/>
      <c r="F1470" s="855"/>
    </row>
    <row r="1471" spans="1:6" x14ac:dyDescent="0.2">
      <c r="A1471" s="368"/>
      <c r="B1471"/>
      <c r="C1471"/>
      <c r="D1471"/>
      <c r="E1471"/>
      <c r="F1471" s="855"/>
    </row>
    <row r="1472" spans="1:6" x14ac:dyDescent="0.2">
      <c r="A1472" s="368"/>
      <c r="B1472"/>
      <c r="C1472"/>
      <c r="D1472"/>
      <c r="E1472"/>
      <c r="F1472" s="855"/>
    </row>
    <row r="1473" spans="1:6" x14ac:dyDescent="0.2">
      <c r="A1473" s="368"/>
      <c r="B1473"/>
      <c r="C1473"/>
      <c r="D1473"/>
      <c r="E1473"/>
      <c r="F1473" s="855"/>
    </row>
    <row r="1474" spans="1:6" x14ac:dyDescent="0.2">
      <c r="A1474" s="368"/>
      <c r="B1474"/>
      <c r="C1474"/>
      <c r="D1474"/>
      <c r="E1474"/>
      <c r="F1474" s="855"/>
    </row>
    <row r="1475" spans="1:6" x14ac:dyDescent="0.2">
      <c r="A1475" s="368"/>
      <c r="B1475"/>
      <c r="C1475"/>
      <c r="D1475"/>
      <c r="E1475"/>
      <c r="F1475" s="855"/>
    </row>
    <row r="1476" spans="1:6" x14ac:dyDescent="0.2">
      <c r="A1476" s="368"/>
      <c r="B1476"/>
      <c r="C1476"/>
      <c r="D1476"/>
      <c r="E1476"/>
      <c r="F1476" s="855"/>
    </row>
    <row r="1477" spans="1:6" x14ac:dyDescent="0.2">
      <c r="A1477" s="368"/>
      <c r="B1477"/>
      <c r="C1477"/>
      <c r="D1477"/>
      <c r="E1477"/>
      <c r="F1477" s="855"/>
    </row>
    <row r="1478" spans="1:6" x14ac:dyDescent="0.2">
      <c r="A1478" s="368"/>
      <c r="B1478"/>
      <c r="C1478"/>
      <c r="D1478"/>
      <c r="E1478"/>
      <c r="F1478" s="855"/>
    </row>
    <row r="1479" spans="1:6" x14ac:dyDescent="0.2">
      <c r="A1479" s="368"/>
      <c r="B1479"/>
      <c r="C1479"/>
      <c r="D1479"/>
      <c r="E1479"/>
      <c r="F1479" s="855"/>
    </row>
    <row r="1480" spans="1:6" x14ac:dyDescent="0.2">
      <c r="A1480" s="368"/>
      <c r="B1480"/>
      <c r="C1480"/>
      <c r="D1480"/>
      <c r="E1480"/>
      <c r="F1480" s="855"/>
    </row>
    <row r="1481" spans="1:6" x14ac:dyDescent="0.2">
      <c r="A1481" s="368"/>
      <c r="B1481"/>
      <c r="C1481"/>
      <c r="D1481"/>
      <c r="E1481"/>
      <c r="F1481" s="855"/>
    </row>
    <row r="1482" spans="1:6" x14ac:dyDescent="0.2">
      <c r="A1482" s="368"/>
      <c r="B1482"/>
      <c r="C1482"/>
      <c r="D1482"/>
      <c r="E1482"/>
      <c r="F1482" s="855"/>
    </row>
    <row r="1483" spans="1:6" x14ac:dyDescent="0.2">
      <c r="A1483" s="368"/>
      <c r="B1483"/>
      <c r="C1483"/>
      <c r="D1483"/>
      <c r="E1483"/>
      <c r="F1483" s="855"/>
    </row>
    <row r="1484" spans="1:6" x14ac:dyDescent="0.2">
      <c r="A1484" s="368"/>
      <c r="B1484"/>
      <c r="C1484"/>
      <c r="D1484"/>
      <c r="E1484"/>
      <c r="F1484" s="855"/>
    </row>
    <row r="1485" spans="1:6" x14ac:dyDescent="0.2">
      <c r="A1485" s="368"/>
      <c r="B1485"/>
      <c r="C1485"/>
      <c r="D1485"/>
      <c r="E1485"/>
      <c r="F1485" s="855"/>
    </row>
    <row r="1486" spans="1:6" x14ac:dyDescent="0.2">
      <c r="A1486" s="368"/>
      <c r="B1486"/>
      <c r="C1486"/>
      <c r="D1486"/>
      <c r="E1486"/>
      <c r="F1486" s="855"/>
    </row>
    <row r="1487" spans="1:6" x14ac:dyDescent="0.2">
      <c r="A1487" s="368"/>
      <c r="B1487"/>
      <c r="C1487"/>
      <c r="D1487"/>
      <c r="E1487"/>
      <c r="F1487" s="855"/>
    </row>
    <row r="1488" spans="1:6" x14ac:dyDescent="0.2">
      <c r="A1488" s="368"/>
      <c r="B1488"/>
      <c r="C1488"/>
      <c r="D1488"/>
      <c r="E1488"/>
      <c r="F1488" s="855"/>
    </row>
    <row r="1489" spans="1:6" x14ac:dyDescent="0.2">
      <c r="A1489" s="368"/>
      <c r="B1489"/>
      <c r="C1489"/>
      <c r="D1489"/>
      <c r="E1489"/>
      <c r="F1489" s="855"/>
    </row>
    <row r="1490" spans="1:6" x14ac:dyDescent="0.2">
      <c r="A1490" s="368"/>
      <c r="B1490"/>
      <c r="C1490"/>
      <c r="D1490"/>
      <c r="E1490"/>
      <c r="F1490" s="855"/>
    </row>
    <row r="1491" spans="1:6" x14ac:dyDescent="0.2">
      <c r="A1491" s="368"/>
      <c r="B1491"/>
      <c r="C1491"/>
      <c r="D1491"/>
      <c r="E1491"/>
      <c r="F1491" s="855"/>
    </row>
    <row r="1492" spans="1:6" x14ac:dyDescent="0.2">
      <c r="A1492" s="368"/>
      <c r="B1492"/>
      <c r="C1492"/>
      <c r="D1492"/>
      <c r="E1492"/>
      <c r="F1492" s="855"/>
    </row>
    <row r="1493" spans="1:6" x14ac:dyDescent="0.2">
      <c r="A1493" s="368"/>
      <c r="B1493"/>
      <c r="C1493"/>
      <c r="D1493"/>
      <c r="E1493"/>
      <c r="F1493" s="855"/>
    </row>
    <row r="1494" spans="1:6" x14ac:dyDescent="0.2">
      <c r="A1494" s="368"/>
      <c r="B1494"/>
      <c r="C1494"/>
      <c r="D1494"/>
      <c r="E1494"/>
      <c r="F1494" s="855"/>
    </row>
    <row r="1495" spans="1:6" x14ac:dyDescent="0.2">
      <c r="A1495" s="368"/>
      <c r="B1495"/>
      <c r="C1495"/>
      <c r="D1495"/>
      <c r="E1495"/>
      <c r="F1495" s="855"/>
    </row>
    <row r="1496" spans="1:6" x14ac:dyDescent="0.2">
      <c r="A1496" s="368"/>
      <c r="B1496"/>
      <c r="C1496"/>
      <c r="D1496"/>
      <c r="E1496"/>
      <c r="F1496" s="855"/>
    </row>
    <row r="1497" spans="1:6" x14ac:dyDescent="0.2">
      <c r="A1497" s="368"/>
      <c r="B1497"/>
      <c r="C1497"/>
      <c r="D1497"/>
      <c r="E1497"/>
      <c r="F1497" s="855"/>
    </row>
    <row r="1498" spans="1:6" x14ac:dyDescent="0.2">
      <c r="A1498" s="368"/>
      <c r="B1498"/>
      <c r="C1498"/>
      <c r="D1498"/>
      <c r="E1498"/>
      <c r="F1498" s="855"/>
    </row>
    <row r="1499" spans="1:6" x14ac:dyDescent="0.2">
      <c r="A1499" s="368"/>
      <c r="B1499"/>
      <c r="C1499"/>
      <c r="D1499"/>
      <c r="E1499"/>
      <c r="F1499" s="855"/>
    </row>
    <row r="1500" spans="1:6" x14ac:dyDescent="0.2">
      <c r="A1500" s="368"/>
      <c r="B1500"/>
      <c r="C1500"/>
      <c r="D1500"/>
      <c r="E1500"/>
      <c r="F1500" s="855"/>
    </row>
    <row r="1501" spans="1:6" x14ac:dyDescent="0.2">
      <c r="A1501" s="368"/>
      <c r="B1501"/>
      <c r="C1501"/>
      <c r="D1501"/>
      <c r="E1501"/>
      <c r="F1501" s="855"/>
    </row>
    <row r="1502" spans="1:6" x14ac:dyDescent="0.2">
      <c r="A1502" s="368"/>
      <c r="B1502"/>
      <c r="C1502"/>
      <c r="D1502"/>
      <c r="E1502"/>
      <c r="F1502" s="855"/>
    </row>
    <row r="1503" spans="1:6" x14ac:dyDescent="0.2">
      <c r="A1503" s="368"/>
      <c r="B1503"/>
      <c r="C1503"/>
      <c r="D1503"/>
      <c r="E1503"/>
      <c r="F1503" s="855"/>
    </row>
    <row r="1504" spans="1:6" x14ac:dyDescent="0.2">
      <c r="A1504" s="368"/>
      <c r="B1504"/>
      <c r="C1504"/>
      <c r="D1504"/>
      <c r="E1504"/>
      <c r="F1504" s="855"/>
    </row>
    <row r="1505" spans="1:6" x14ac:dyDescent="0.2">
      <c r="A1505" s="368"/>
      <c r="B1505"/>
      <c r="C1505"/>
      <c r="D1505"/>
      <c r="E1505"/>
      <c r="F1505" s="855"/>
    </row>
    <row r="1506" spans="1:6" x14ac:dyDescent="0.2">
      <c r="A1506" s="368"/>
      <c r="B1506"/>
      <c r="C1506"/>
      <c r="D1506"/>
      <c r="E1506"/>
      <c r="F1506" s="855"/>
    </row>
    <row r="1507" spans="1:6" x14ac:dyDescent="0.2">
      <c r="A1507" s="368"/>
      <c r="B1507"/>
      <c r="C1507"/>
      <c r="D1507"/>
      <c r="E1507"/>
      <c r="F1507" s="855"/>
    </row>
    <row r="1508" spans="1:6" x14ac:dyDescent="0.2">
      <c r="A1508" s="368"/>
      <c r="B1508"/>
      <c r="C1508"/>
      <c r="D1508"/>
      <c r="E1508"/>
      <c r="F1508" s="855"/>
    </row>
    <row r="1509" spans="1:6" x14ac:dyDescent="0.2">
      <c r="A1509" s="368"/>
      <c r="B1509"/>
      <c r="C1509"/>
      <c r="D1509"/>
      <c r="E1509"/>
      <c r="F1509" s="855"/>
    </row>
    <row r="1510" spans="1:6" x14ac:dyDescent="0.2">
      <c r="A1510" s="368"/>
      <c r="B1510"/>
      <c r="C1510"/>
      <c r="D1510"/>
      <c r="E1510"/>
      <c r="F1510" s="855"/>
    </row>
    <row r="1511" spans="1:6" x14ac:dyDescent="0.2">
      <c r="A1511" s="368"/>
      <c r="B1511"/>
      <c r="C1511"/>
      <c r="D1511"/>
      <c r="E1511"/>
      <c r="F1511" s="855"/>
    </row>
    <row r="1512" spans="1:6" x14ac:dyDescent="0.2">
      <c r="A1512" s="368"/>
      <c r="B1512"/>
      <c r="C1512"/>
      <c r="D1512"/>
      <c r="E1512"/>
      <c r="F1512" s="855"/>
    </row>
    <row r="1513" spans="1:6" x14ac:dyDescent="0.2">
      <c r="A1513" s="368"/>
      <c r="B1513"/>
      <c r="C1513"/>
      <c r="D1513"/>
      <c r="E1513"/>
      <c r="F1513" s="855"/>
    </row>
    <row r="1514" spans="1:6" x14ac:dyDescent="0.2">
      <c r="A1514" s="368"/>
      <c r="B1514"/>
      <c r="C1514"/>
      <c r="D1514"/>
      <c r="E1514"/>
      <c r="F1514" s="855"/>
    </row>
    <row r="1515" spans="1:6" x14ac:dyDescent="0.2">
      <c r="A1515" s="368"/>
      <c r="B1515"/>
      <c r="C1515"/>
      <c r="D1515"/>
      <c r="E1515"/>
      <c r="F1515" s="855"/>
    </row>
    <row r="1516" spans="1:6" x14ac:dyDescent="0.2">
      <c r="A1516" s="368"/>
      <c r="B1516"/>
      <c r="C1516"/>
      <c r="D1516"/>
      <c r="E1516"/>
      <c r="F1516" s="855"/>
    </row>
    <row r="1517" spans="1:6" x14ac:dyDescent="0.2">
      <c r="A1517" s="368"/>
      <c r="B1517"/>
      <c r="C1517"/>
      <c r="D1517"/>
      <c r="E1517"/>
      <c r="F1517" s="855"/>
    </row>
    <row r="1518" spans="1:6" x14ac:dyDescent="0.2">
      <c r="A1518" s="368"/>
      <c r="B1518"/>
      <c r="C1518"/>
      <c r="D1518"/>
      <c r="E1518"/>
      <c r="F1518" s="855"/>
    </row>
    <row r="1519" spans="1:6" x14ac:dyDescent="0.2">
      <c r="A1519" s="368"/>
      <c r="B1519"/>
      <c r="C1519"/>
      <c r="D1519"/>
      <c r="E1519"/>
      <c r="F1519" s="855"/>
    </row>
    <row r="1520" spans="1:6" x14ac:dyDescent="0.2">
      <c r="A1520" s="368"/>
      <c r="B1520"/>
      <c r="C1520"/>
      <c r="D1520"/>
      <c r="E1520"/>
      <c r="F1520" s="855"/>
    </row>
    <row r="1521" spans="1:6" x14ac:dyDescent="0.2">
      <c r="A1521" s="368"/>
      <c r="B1521"/>
      <c r="C1521"/>
      <c r="D1521"/>
      <c r="E1521"/>
      <c r="F1521" s="855"/>
    </row>
    <row r="1522" spans="1:6" x14ac:dyDescent="0.2">
      <c r="A1522" s="368"/>
      <c r="B1522"/>
      <c r="C1522"/>
      <c r="D1522"/>
      <c r="E1522"/>
      <c r="F1522" s="855"/>
    </row>
    <row r="1523" spans="1:6" x14ac:dyDescent="0.2">
      <c r="A1523" s="368"/>
      <c r="B1523"/>
      <c r="C1523"/>
      <c r="D1523"/>
      <c r="E1523"/>
      <c r="F1523" s="855"/>
    </row>
    <row r="1524" spans="1:6" x14ac:dyDescent="0.2">
      <c r="A1524" s="368"/>
      <c r="B1524"/>
      <c r="C1524"/>
      <c r="D1524"/>
      <c r="E1524"/>
      <c r="F1524" s="855"/>
    </row>
    <row r="1525" spans="1:6" x14ac:dyDescent="0.2">
      <c r="A1525" s="368"/>
      <c r="B1525"/>
      <c r="C1525"/>
      <c r="D1525"/>
      <c r="E1525"/>
      <c r="F1525" s="855"/>
    </row>
    <row r="1526" spans="1:6" x14ac:dyDescent="0.2">
      <c r="A1526" s="368"/>
      <c r="B1526"/>
      <c r="C1526"/>
      <c r="D1526"/>
      <c r="E1526"/>
      <c r="F1526" s="855"/>
    </row>
    <row r="1527" spans="1:6" x14ac:dyDescent="0.2">
      <c r="A1527" s="368"/>
      <c r="B1527"/>
      <c r="C1527"/>
      <c r="D1527"/>
      <c r="E1527"/>
      <c r="F1527" s="855"/>
    </row>
    <row r="1528" spans="1:6" x14ac:dyDescent="0.2">
      <c r="A1528" s="368"/>
      <c r="B1528"/>
      <c r="C1528"/>
      <c r="D1528"/>
      <c r="E1528"/>
      <c r="F1528" s="855"/>
    </row>
    <row r="1529" spans="1:6" x14ac:dyDescent="0.2">
      <c r="A1529" s="368"/>
      <c r="B1529"/>
      <c r="C1529"/>
      <c r="D1529"/>
      <c r="E1529"/>
      <c r="F1529" s="855"/>
    </row>
    <row r="1530" spans="1:6" x14ac:dyDescent="0.2">
      <c r="A1530" s="368"/>
      <c r="B1530"/>
      <c r="C1530"/>
      <c r="D1530"/>
      <c r="E1530"/>
      <c r="F1530" s="855"/>
    </row>
    <row r="1531" spans="1:6" x14ac:dyDescent="0.2">
      <c r="A1531" s="368"/>
      <c r="B1531"/>
      <c r="C1531"/>
      <c r="D1531"/>
      <c r="E1531"/>
      <c r="F1531" s="855"/>
    </row>
    <row r="1532" spans="1:6" x14ac:dyDescent="0.2">
      <c r="A1532" s="368"/>
      <c r="B1532"/>
      <c r="C1532"/>
      <c r="D1532"/>
      <c r="E1532"/>
      <c r="F1532" s="855"/>
    </row>
    <row r="1533" spans="1:6" x14ac:dyDescent="0.2">
      <c r="A1533" s="368"/>
      <c r="B1533"/>
      <c r="C1533"/>
      <c r="D1533"/>
      <c r="E1533"/>
      <c r="F1533" s="855"/>
    </row>
    <row r="1534" spans="1:6" x14ac:dyDescent="0.2">
      <c r="A1534" s="368"/>
      <c r="B1534"/>
      <c r="C1534"/>
      <c r="D1534"/>
      <c r="E1534"/>
      <c r="F1534" s="855"/>
    </row>
    <row r="1535" spans="1:6" x14ac:dyDescent="0.2">
      <c r="A1535" s="368"/>
      <c r="B1535"/>
      <c r="C1535"/>
      <c r="D1535"/>
      <c r="E1535"/>
      <c r="F1535" s="855"/>
    </row>
    <row r="1536" spans="1:6" x14ac:dyDescent="0.2">
      <c r="A1536" s="368"/>
      <c r="B1536"/>
      <c r="C1536"/>
      <c r="D1536"/>
      <c r="E1536"/>
      <c r="F1536" s="855"/>
    </row>
    <row r="1537" spans="1:6" x14ac:dyDescent="0.2">
      <c r="A1537" s="368"/>
      <c r="B1537"/>
      <c r="C1537"/>
      <c r="D1537"/>
      <c r="E1537"/>
      <c r="F1537" s="855"/>
    </row>
    <row r="1538" spans="1:6" x14ac:dyDescent="0.2">
      <c r="A1538" s="368"/>
      <c r="B1538"/>
      <c r="C1538"/>
      <c r="D1538"/>
      <c r="E1538"/>
      <c r="F1538" s="855"/>
    </row>
    <row r="1539" spans="1:6" x14ac:dyDescent="0.2">
      <c r="A1539" s="368"/>
      <c r="B1539"/>
      <c r="C1539"/>
      <c r="D1539"/>
      <c r="E1539"/>
      <c r="F1539" s="855"/>
    </row>
    <row r="1540" spans="1:6" x14ac:dyDescent="0.2">
      <c r="A1540" s="368"/>
      <c r="B1540"/>
      <c r="C1540"/>
      <c r="D1540"/>
      <c r="E1540"/>
      <c r="F1540" s="855"/>
    </row>
    <row r="1541" spans="1:6" x14ac:dyDescent="0.2">
      <c r="A1541" s="368"/>
      <c r="B1541"/>
      <c r="C1541"/>
      <c r="D1541"/>
      <c r="E1541"/>
      <c r="F1541" s="855"/>
    </row>
    <row r="1542" spans="1:6" x14ac:dyDescent="0.2">
      <c r="A1542" s="368"/>
      <c r="B1542"/>
      <c r="C1542"/>
      <c r="D1542"/>
      <c r="E1542"/>
      <c r="F1542" s="855"/>
    </row>
    <row r="1543" spans="1:6" x14ac:dyDescent="0.2">
      <c r="A1543" s="368"/>
      <c r="B1543"/>
      <c r="C1543"/>
      <c r="D1543"/>
      <c r="E1543"/>
      <c r="F1543" s="855"/>
    </row>
    <row r="1544" spans="1:6" x14ac:dyDescent="0.2">
      <c r="A1544" s="368"/>
      <c r="B1544"/>
      <c r="C1544"/>
      <c r="D1544"/>
      <c r="E1544"/>
      <c r="F1544" s="855"/>
    </row>
    <row r="1545" spans="1:6" x14ac:dyDescent="0.2">
      <c r="A1545" s="368"/>
      <c r="B1545"/>
      <c r="C1545"/>
      <c r="D1545"/>
      <c r="E1545"/>
      <c r="F1545" s="855"/>
    </row>
    <row r="1546" spans="1:6" x14ac:dyDescent="0.2">
      <c r="A1546" s="368"/>
      <c r="B1546"/>
      <c r="C1546"/>
      <c r="D1546"/>
      <c r="E1546"/>
      <c r="F1546" s="855"/>
    </row>
    <row r="1547" spans="1:6" x14ac:dyDescent="0.2">
      <c r="A1547" s="368"/>
      <c r="B1547"/>
      <c r="C1547"/>
      <c r="D1547"/>
      <c r="E1547"/>
      <c r="F1547" s="855"/>
    </row>
    <row r="1548" spans="1:6" x14ac:dyDescent="0.2">
      <c r="A1548" s="368"/>
      <c r="B1548"/>
      <c r="C1548"/>
      <c r="D1548"/>
      <c r="E1548"/>
      <c r="F1548" s="855"/>
    </row>
    <row r="1549" spans="1:6" x14ac:dyDescent="0.2">
      <c r="A1549" s="368"/>
      <c r="B1549"/>
      <c r="C1549"/>
      <c r="D1549"/>
      <c r="E1549"/>
      <c r="F1549" s="855"/>
    </row>
    <row r="1550" spans="1:6" x14ac:dyDescent="0.2">
      <c r="A1550" s="368"/>
      <c r="B1550"/>
      <c r="C1550"/>
      <c r="D1550"/>
      <c r="E1550"/>
      <c r="F1550" s="855"/>
    </row>
    <row r="1551" spans="1:6" x14ac:dyDescent="0.2">
      <c r="A1551" s="368"/>
      <c r="B1551"/>
      <c r="C1551"/>
      <c r="D1551"/>
      <c r="E1551"/>
      <c r="F1551" s="855"/>
    </row>
    <row r="1552" spans="1:6" x14ac:dyDescent="0.2">
      <c r="A1552" s="368"/>
      <c r="B1552"/>
      <c r="C1552"/>
      <c r="D1552"/>
      <c r="E1552"/>
      <c r="F1552" s="855"/>
    </row>
    <row r="1553" spans="1:6" x14ac:dyDescent="0.2">
      <c r="A1553" s="368"/>
      <c r="B1553"/>
      <c r="C1553"/>
      <c r="D1553"/>
      <c r="E1553"/>
      <c r="F1553" s="855"/>
    </row>
    <row r="1554" spans="1:6" x14ac:dyDescent="0.2">
      <c r="A1554" s="368"/>
      <c r="B1554"/>
      <c r="C1554"/>
      <c r="D1554"/>
      <c r="E1554"/>
      <c r="F1554" s="855"/>
    </row>
    <row r="1555" spans="1:6" x14ac:dyDescent="0.2">
      <c r="A1555" s="368"/>
      <c r="B1555"/>
      <c r="C1555"/>
      <c r="D1555"/>
      <c r="E1555"/>
      <c r="F1555" s="855"/>
    </row>
    <row r="1556" spans="1:6" x14ac:dyDescent="0.2">
      <c r="A1556" s="368"/>
      <c r="B1556"/>
      <c r="C1556"/>
      <c r="D1556"/>
      <c r="E1556"/>
      <c r="F1556" s="855"/>
    </row>
    <row r="1557" spans="1:6" x14ac:dyDescent="0.2">
      <c r="A1557" s="368"/>
      <c r="B1557"/>
      <c r="C1557"/>
      <c r="D1557"/>
      <c r="E1557"/>
      <c r="F1557" s="855"/>
    </row>
    <row r="1558" spans="1:6" x14ac:dyDescent="0.2">
      <c r="A1558" s="368"/>
      <c r="B1558"/>
      <c r="C1558"/>
      <c r="D1558"/>
      <c r="E1558"/>
      <c r="F1558" s="855"/>
    </row>
    <row r="1559" spans="1:6" x14ac:dyDescent="0.2">
      <c r="A1559" s="368"/>
      <c r="B1559"/>
      <c r="C1559"/>
      <c r="D1559"/>
      <c r="E1559"/>
      <c r="F1559" s="855"/>
    </row>
    <row r="1560" spans="1:6" x14ac:dyDescent="0.2">
      <c r="A1560" s="368"/>
      <c r="B1560"/>
      <c r="C1560"/>
      <c r="D1560"/>
      <c r="E1560"/>
      <c r="F1560" s="855"/>
    </row>
    <row r="1561" spans="1:6" x14ac:dyDescent="0.2">
      <c r="A1561" s="368"/>
      <c r="B1561"/>
      <c r="C1561"/>
      <c r="D1561"/>
      <c r="E1561"/>
      <c r="F1561" s="855"/>
    </row>
    <row r="1562" spans="1:6" x14ac:dyDescent="0.2">
      <c r="A1562" s="368"/>
      <c r="B1562"/>
      <c r="C1562"/>
      <c r="D1562"/>
      <c r="E1562"/>
      <c r="F1562" s="855"/>
    </row>
    <row r="1563" spans="1:6" x14ac:dyDescent="0.2">
      <c r="A1563" s="368"/>
      <c r="B1563"/>
      <c r="C1563"/>
      <c r="D1563"/>
      <c r="E1563"/>
      <c r="F1563" s="855"/>
    </row>
    <row r="1564" spans="1:6" x14ac:dyDescent="0.2">
      <c r="A1564" s="368"/>
      <c r="B1564"/>
      <c r="C1564"/>
      <c r="D1564"/>
      <c r="E1564"/>
      <c r="F1564" s="855"/>
    </row>
    <row r="1565" spans="1:6" x14ac:dyDescent="0.2">
      <c r="A1565" s="368"/>
      <c r="B1565"/>
      <c r="C1565"/>
      <c r="D1565"/>
      <c r="E1565"/>
      <c r="F1565" s="855"/>
    </row>
    <row r="1566" spans="1:6" x14ac:dyDescent="0.2">
      <c r="A1566" s="368"/>
      <c r="B1566"/>
      <c r="C1566"/>
      <c r="D1566"/>
      <c r="E1566"/>
      <c r="F1566" s="855"/>
    </row>
    <row r="1567" spans="1:6" x14ac:dyDescent="0.2">
      <c r="A1567" s="368"/>
      <c r="B1567"/>
      <c r="C1567"/>
      <c r="D1567"/>
      <c r="E1567"/>
      <c r="F1567" s="855"/>
    </row>
    <row r="1568" spans="1:6" x14ac:dyDescent="0.2">
      <c r="A1568" s="368"/>
      <c r="B1568"/>
      <c r="C1568"/>
      <c r="D1568"/>
      <c r="E1568"/>
      <c r="F1568" s="855"/>
    </row>
    <row r="1569" spans="1:6" x14ac:dyDescent="0.2">
      <c r="A1569" s="368"/>
      <c r="B1569"/>
      <c r="C1569"/>
      <c r="D1569"/>
      <c r="E1569"/>
      <c r="F1569" s="855"/>
    </row>
    <row r="1570" spans="1:6" x14ac:dyDescent="0.2">
      <c r="A1570" s="368"/>
      <c r="B1570"/>
      <c r="C1570"/>
      <c r="D1570"/>
      <c r="E1570"/>
      <c r="F1570" s="855"/>
    </row>
    <row r="1571" spans="1:6" x14ac:dyDescent="0.2">
      <c r="A1571" s="368"/>
      <c r="B1571"/>
      <c r="C1571"/>
      <c r="D1571"/>
      <c r="E1571"/>
      <c r="F1571" s="855"/>
    </row>
    <row r="1572" spans="1:6" x14ac:dyDescent="0.2">
      <c r="A1572" s="368"/>
      <c r="B1572"/>
      <c r="C1572"/>
      <c r="D1572"/>
      <c r="E1572"/>
      <c r="F1572" s="855"/>
    </row>
    <row r="1573" spans="1:6" x14ac:dyDescent="0.2">
      <c r="A1573" s="368"/>
      <c r="B1573"/>
      <c r="C1573"/>
      <c r="D1573"/>
      <c r="E1573"/>
      <c r="F1573" s="855"/>
    </row>
    <row r="1574" spans="1:6" x14ac:dyDescent="0.2">
      <c r="A1574" s="368"/>
      <c r="B1574"/>
      <c r="C1574"/>
      <c r="D1574"/>
      <c r="E1574"/>
      <c r="F1574" s="855"/>
    </row>
    <row r="1575" spans="1:6" x14ac:dyDescent="0.2">
      <c r="A1575" s="368"/>
      <c r="B1575"/>
      <c r="C1575"/>
      <c r="D1575"/>
      <c r="E1575"/>
      <c r="F1575" s="855"/>
    </row>
    <row r="1576" spans="1:6" x14ac:dyDescent="0.2">
      <c r="A1576" s="368"/>
      <c r="B1576"/>
      <c r="C1576"/>
      <c r="D1576"/>
      <c r="E1576"/>
      <c r="F1576" s="855"/>
    </row>
    <row r="1577" spans="1:6" x14ac:dyDescent="0.2">
      <c r="A1577" s="368"/>
      <c r="B1577"/>
      <c r="C1577"/>
      <c r="D1577"/>
      <c r="E1577"/>
      <c r="F1577" s="855"/>
    </row>
    <row r="1578" spans="1:6" x14ac:dyDescent="0.2">
      <c r="A1578" s="368"/>
      <c r="B1578"/>
      <c r="C1578"/>
      <c r="D1578"/>
      <c r="E1578"/>
      <c r="F1578" s="855"/>
    </row>
    <row r="1579" spans="1:6" x14ac:dyDescent="0.2">
      <c r="A1579" s="368"/>
      <c r="B1579"/>
      <c r="C1579"/>
      <c r="D1579"/>
      <c r="E1579"/>
      <c r="F1579" s="855"/>
    </row>
    <row r="1580" spans="1:6" x14ac:dyDescent="0.2">
      <c r="A1580" s="368"/>
      <c r="B1580"/>
      <c r="C1580"/>
      <c r="D1580"/>
      <c r="E1580"/>
      <c r="F1580" s="855"/>
    </row>
    <row r="1581" spans="1:6" x14ac:dyDescent="0.2">
      <c r="A1581" s="368"/>
      <c r="B1581"/>
      <c r="C1581"/>
      <c r="D1581"/>
      <c r="E1581"/>
      <c r="F1581" s="855"/>
    </row>
    <row r="1582" spans="1:6" x14ac:dyDescent="0.2">
      <c r="A1582" s="368"/>
      <c r="B1582"/>
      <c r="C1582"/>
      <c r="D1582"/>
      <c r="E1582"/>
      <c r="F1582" s="855"/>
    </row>
    <row r="1583" spans="1:6" x14ac:dyDescent="0.2">
      <c r="A1583" s="368"/>
      <c r="B1583"/>
      <c r="C1583"/>
      <c r="D1583"/>
      <c r="E1583"/>
      <c r="F1583" s="855"/>
    </row>
    <row r="1584" spans="1:6" x14ac:dyDescent="0.2">
      <c r="A1584" s="368"/>
      <c r="B1584"/>
      <c r="C1584"/>
      <c r="D1584"/>
      <c r="E1584"/>
      <c r="F1584" s="855"/>
    </row>
    <row r="1585" spans="1:6" x14ac:dyDescent="0.2">
      <c r="A1585" s="368"/>
      <c r="B1585"/>
      <c r="C1585"/>
      <c r="D1585"/>
      <c r="E1585"/>
      <c r="F1585" s="855"/>
    </row>
    <row r="1586" spans="1:6" x14ac:dyDescent="0.2">
      <c r="A1586" s="368"/>
      <c r="B1586"/>
      <c r="C1586"/>
      <c r="D1586"/>
      <c r="E1586"/>
      <c r="F1586" s="855"/>
    </row>
    <row r="1587" spans="1:6" x14ac:dyDescent="0.2">
      <c r="A1587" s="368"/>
      <c r="B1587"/>
      <c r="C1587"/>
      <c r="D1587"/>
      <c r="E1587"/>
      <c r="F1587" s="855"/>
    </row>
    <row r="1588" spans="1:6" x14ac:dyDescent="0.2">
      <c r="A1588" s="368"/>
      <c r="B1588"/>
      <c r="C1588"/>
      <c r="D1588"/>
      <c r="E1588"/>
      <c r="F1588" s="855"/>
    </row>
    <row r="1589" spans="1:6" x14ac:dyDescent="0.2">
      <c r="A1589" s="368"/>
      <c r="B1589"/>
      <c r="C1589"/>
      <c r="D1589"/>
      <c r="E1589"/>
      <c r="F1589" s="855"/>
    </row>
    <row r="1590" spans="1:6" x14ac:dyDescent="0.2">
      <c r="A1590" s="368"/>
      <c r="B1590"/>
      <c r="C1590"/>
      <c r="D1590"/>
      <c r="E1590"/>
      <c r="F1590" s="855"/>
    </row>
    <row r="1591" spans="1:6" x14ac:dyDescent="0.2">
      <c r="A1591" s="368"/>
      <c r="B1591"/>
      <c r="C1591"/>
      <c r="D1591"/>
      <c r="E1591"/>
      <c r="F1591" s="855"/>
    </row>
    <row r="1592" spans="1:6" x14ac:dyDescent="0.2">
      <c r="A1592" s="368"/>
      <c r="B1592"/>
      <c r="C1592"/>
      <c r="D1592"/>
      <c r="E1592"/>
      <c r="F1592" s="855"/>
    </row>
    <row r="1593" spans="1:6" x14ac:dyDescent="0.2">
      <c r="A1593" s="368"/>
      <c r="B1593"/>
      <c r="C1593"/>
      <c r="D1593"/>
      <c r="E1593"/>
      <c r="F1593" s="855"/>
    </row>
    <row r="1594" spans="1:6" x14ac:dyDescent="0.2">
      <c r="A1594" s="368"/>
      <c r="B1594"/>
      <c r="C1594"/>
      <c r="D1594"/>
      <c r="E1594"/>
      <c r="F1594" s="855"/>
    </row>
    <row r="1595" spans="1:6" x14ac:dyDescent="0.2">
      <c r="A1595" s="368"/>
      <c r="B1595"/>
      <c r="C1595"/>
      <c r="D1595"/>
      <c r="E1595"/>
      <c r="F1595" s="855"/>
    </row>
    <row r="1596" spans="1:6" x14ac:dyDescent="0.2">
      <c r="A1596" s="368"/>
      <c r="B1596"/>
      <c r="C1596"/>
      <c r="D1596"/>
      <c r="E1596"/>
      <c r="F1596" s="855"/>
    </row>
    <row r="1597" spans="1:6" x14ac:dyDescent="0.2">
      <c r="A1597" s="368"/>
      <c r="B1597"/>
      <c r="C1597"/>
      <c r="D1597"/>
      <c r="E1597"/>
      <c r="F1597" s="855"/>
    </row>
    <row r="1598" spans="1:6" x14ac:dyDescent="0.2">
      <c r="A1598" s="368"/>
      <c r="B1598"/>
      <c r="C1598"/>
      <c r="D1598"/>
      <c r="E1598"/>
      <c r="F1598" s="855"/>
    </row>
    <row r="1599" spans="1:6" x14ac:dyDescent="0.2">
      <c r="A1599" s="368"/>
      <c r="B1599"/>
      <c r="C1599"/>
      <c r="D1599"/>
      <c r="E1599"/>
      <c r="F1599" s="855"/>
    </row>
    <row r="1600" spans="1:6" x14ac:dyDescent="0.2">
      <c r="A1600" s="368"/>
      <c r="B1600"/>
      <c r="C1600"/>
      <c r="D1600"/>
      <c r="E1600"/>
      <c r="F1600" s="855"/>
    </row>
    <row r="1601" spans="1:6" x14ac:dyDescent="0.2">
      <c r="A1601" s="368"/>
      <c r="B1601"/>
      <c r="C1601"/>
      <c r="D1601"/>
      <c r="E1601"/>
      <c r="F1601" s="855"/>
    </row>
    <row r="1602" spans="1:6" x14ac:dyDescent="0.2">
      <c r="A1602" s="368"/>
      <c r="B1602"/>
      <c r="C1602"/>
      <c r="D1602"/>
      <c r="E1602"/>
      <c r="F1602" s="855"/>
    </row>
    <row r="1603" spans="1:6" x14ac:dyDescent="0.2">
      <c r="A1603" s="368"/>
      <c r="B1603"/>
      <c r="C1603"/>
      <c r="D1603"/>
      <c r="E1603"/>
      <c r="F1603" s="855"/>
    </row>
    <row r="1604" spans="1:6" x14ac:dyDescent="0.2">
      <c r="A1604" s="368"/>
      <c r="B1604"/>
      <c r="C1604"/>
      <c r="D1604"/>
      <c r="E1604"/>
      <c r="F1604" s="855"/>
    </row>
    <row r="1605" spans="1:6" x14ac:dyDescent="0.2">
      <c r="A1605" s="368"/>
      <c r="B1605"/>
      <c r="C1605"/>
      <c r="D1605"/>
      <c r="E1605"/>
      <c r="F1605" s="855"/>
    </row>
    <row r="1606" spans="1:6" x14ac:dyDescent="0.2">
      <c r="A1606" s="368"/>
      <c r="B1606"/>
      <c r="C1606"/>
      <c r="D1606"/>
      <c r="E1606"/>
      <c r="F1606" s="855"/>
    </row>
    <row r="1607" spans="1:6" x14ac:dyDescent="0.2">
      <c r="A1607" s="368"/>
      <c r="B1607"/>
      <c r="C1607"/>
      <c r="D1607"/>
      <c r="E1607"/>
      <c r="F1607" s="855"/>
    </row>
    <row r="1608" spans="1:6" x14ac:dyDescent="0.2">
      <c r="A1608" s="368"/>
      <c r="B1608"/>
      <c r="C1608"/>
      <c r="D1608"/>
      <c r="E1608"/>
      <c r="F1608" s="855"/>
    </row>
    <row r="1609" spans="1:6" x14ac:dyDescent="0.2">
      <c r="A1609" s="368"/>
      <c r="B1609"/>
      <c r="C1609"/>
      <c r="D1609"/>
      <c r="E1609"/>
      <c r="F1609" s="855"/>
    </row>
    <row r="1610" spans="1:6" x14ac:dyDescent="0.2">
      <c r="A1610" s="368"/>
      <c r="B1610"/>
      <c r="C1610"/>
      <c r="D1610"/>
      <c r="E1610"/>
      <c r="F1610" s="855"/>
    </row>
    <row r="1611" spans="1:6" x14ac:dyDescent="0.2">
      <c r="A1611" s="368"/>
      <c r="B1611"/>
      <c r="C1611"/>
      <c r="D1611"/>
      <c r="E1611"/>
      <c r="F1611" s="855"/>
    </row>
    <row r="1612" spans="1:6" x14ac:dyDescent="0.2">
      <c r="A1612" s="368"/>
      <c r="B1612"/>
      <c r="C1612"/>
      <c r="D1612"/>
      <c r="E1612"/>
      <c r="F1612" s="855"/>
    </row>
    <row r="1613" spans="1:6" x14ac:dyDescent="0.2">
      <c r="A1613" s="368"/>
      <c r="B1613"/>
      <c r="C1613"/>
      <c r="D1613"/>
      <c r="E1613"/>
      <c r="F1613" s="855"/>
    </row>
    <row r="1614" spans="1:6" x14ac:dyDescent="0.2">
      <c r="A1614" s="368"/>
      <c r="B1614"/>
      <c r="C1614"/>
      <c r="D1614"/>
      <c r="E1614"/>
      <c r="F1614" s="855"/>
    </row>
    <row r="1615" spans="1:6" x14ac:dyDescent="0.2">
      <c r="A1615" s="368"/>
      <c r="B1615"/>
      <c r="C1615"/>
      <c r="D1615"/>
      <c r="E1615"/>
      <c r="F1615" s="855"/>
    </row>
    <row r="1616" spans="1:6" x14ac:dyDescent="0.2">
      <c r="A1616" s="368"/>
      <c r="B1616"/>
      <c r="C1616"/>
      <c r="D1616"/>
      <c r="E1616"/>
      <c r="F1616" s="855"/>
    </row>
    <row r="1617" spans="1:6" x14ac:dyDescent="0.2">
      <c r="A1617" s="368"/>
      <c r="B1617"/>
      <c r="C1617"/>
      <c r="D1617"/>
      <c r="E1617"/>
      <c r="F1617" s="855"/>
    </row>
    <row r="1618" spans="1:6" x14ac:dyDescent="0.2">
      <c r="A1618" s="368"/>
      <c r="B1618"/>
      <c r="C1618"/>
      <c r="D1618"/>
      <c r="E1618"/>
      <c r="F1618" s="855"/>
    </row>
    <row r="1619" spans="1:6" x14ac:dyDescent="0.2">
      <c r="A1619" s="368"/>
      <c r="B1619"/>
      <c r="C1619"/>
      <c r="D1619"/>
      <c r="E1619"/>
      <c r="F1619" s="855"/>
    </row>
    <row r="1620" spans="1:6" x14ac:dyDescent="0.2">
      <c r="A1620" s="368"/>
      <c r="B1620"/>
      <c r="C1620"/>
      <c r="D1620"/>
      <c r="E1620"/>
      <c r="F1620" s="855"/>
    </row>
    <row r="1621" spans="1:6" x14ac:dyDescent="0.2">
      <c r="A1621" s="368"/>
      <c r="B1621"/>
      <c r="C1621"/>
      <c r="D1621"/>
      <c r="E1621"/>
      <c r="F1621" s="855"/>
    </row>
    <row r="1622" spans="1:6" x14ac:dyDescent="0.2">
      <c r="A1622" s="368"/>
      <c r="B1622"/>
      <c r="C1622"/>
      <c r="D1622"/>
      <c r="E1622"/>
      <c r="F1622" s="855"/>
    </row>
    <row r="1623" spans="1:6" x14ac:dyDescent="0.2">
      <c r="A1623" s="368"/>
      <c r="B1623"/>
      <c r="C1623"/>
      <c r="D1623"/>
      <c r="E1623"/>
      <c r="F1623" s="855"/>
    </row>
    <row r="1624" spans="1:6" x14ac:dyDescent="0.2">
      <c r="A1624" s="368"/>
      <c r="B1624"/>
      <c r="C1624"/>
      <c r="D1624"/>
      <c r="E1624"/>
      <c r="F1624" s="855"/>
    </row>
    <row r="1625" spans="1:6" x14ac:dyDescent="0.2">
      <c r="A1625" s="368"/>
      <c r="B1625"/>
      <c r="C1625"/>
      <c r="D1625"/>
      <c r="E1625"/>
      <c r="F1625" s="855"/>
    </row>
    <row r="1626" spans="1:6" x14ac:dyDescent="0.2">
      <c r="A1626" s="368"/>
      <c r="B1626"/>
      <c r="C1626"/>
      <c r="D1626"/>
      <c r="E1626"/>
      <c r="F1626" s="855"/>
    </row>
    <row r="1627" spans="1:6" x14ac:dyDescent="0.2">
      <c r="A1627" s="368"/>
      <c r="B1627"/>
      <c r="C1627"/>
      <c r="D1627"/>
      <c r="E1627"/>
      <c r="F1627" s="855"/>
    </row>
    <row r="1628" spans="1:6" x14ac:dyDescent="0.2">
      <c r="A1628" s="368"/>
      <c r="B1628"/>
      <c r="C1628"/>
      <c r="D1628"/>
      <c r="E1628"/>
      <c r="F1628" s="855"/>
    </row>
    <row r="1629" spans="1:6" x14ac:dyDescent="0.2">
      <c r="A1629" s="368"/>
      <c r="B1629"/>
      <c r="C1629"/>
      <c r="D1629"/>
      <c r="E1629"/>
      <c r="F1629" s="855"/>
    </row>
    <row r="1630" spans="1:6" x14ac:dyDescent="0.2">
      <c r="A1630" s="368"/>
      <c r="B1630"/>
      <c r="C1630"/>
      <c r="D1630"/>
      <c r="E1630"/>
      <c r="F1630" s="855"/>
    </row>
    <row r="1631" spans="1:6" x14ac:dyDescent="0.2">
      <c r="A1631" s="368"/>
      <c r="B1631"/>
      <c r="C1631"/>
      <c r="D1631"/>
      <c r="E1631"/>
      <c r="F1631" s="855"/>
    </row>
    <row r="1632" spans="1:6" x14ac:dyDescent="0.2">
      <c r="A1632" s="368"/>
      <c r="B1632"/>
      <c r="C1632"/>
      <c r="D1632"/>
      <c r="E1632"/>
      <c r="F1632" s="855"/>
    </row>
    <row r="1633" spans="1:6" x14ac:dyDescent="0.2">
      <c r="A1633" s="368"/>
      <c r="B1633"/>
      <c r="C1633"/>
      <c r="D1633"/>
      <c r="E1633"/>
      <c r="F1633" s="855"/>
    </row>
    <row r="1634" spans="1:6" x14ac:dyDescent="0.2">
      <c r="A1634" s="368"/>
      <c r="B1634"/>
      <c r="C1634"/>
      <c r="D1634"/>
      <c r="E1634"/>
      <c r="F1634" s="855"/>
    </row>
    <row r="1635" spans="1:6" x14ac:dyDescent="0.2">
      <c r="A1635" s="368"/>
      <c r="B1635"/>
      <c r="C1635"/>
      <c r="D1635"/>
      <c r="E1635"/>
      <c r="F1635" s="855"/>
    </row>
    <row r="1636" spans="1:6" x14ac:dyDescent="0.2">
      <c r="A1636" s="368"/>
      <c r="B1636"/>
      <c r="C1636"/>
      <c r="D1636"/>
      <c r="E1636"/>
      <c r="F1636" s="855"/>
    </row>
    <row r="1637" spans="1:6" x14ac:dyDescent="0.2">
      <c r="A1637" s="368"/>
      <c r="B1637"/>
      <c r="C1637"/>
      <c r="D1637"/>
      <c r="E1637"/>
      <c r="F1637" s="855"/>
    </row>
    <row r="1638" spans="1:6" x14ac:dyDescent="0.2">
      <c r="A1638" s="368"/>
      <c r="B1638"/>
      <c r="C1638"/>
      <c r="D1638"/>
      <c r="E1638"/>
      <c r="F1638" s="855"/>
    </row>
    <row r="1639" spans="1:6" x14ac:dyDescent="0.2">
      <c r="A1639" s="368"/>
      <c r="B1639"/>
      <c r="C1639"/>
      <c r="D1639"/>
      <c r="E1639"/>
      <c r="F1639" s="855"/>
    </row>
    <row r="1640" spans="1:6" x14ac:dyDescent="0.2">
      <c r="A1640" s="368"/>
      <c r="B1640"/>
      <c r="C1640"/>
      <c r="D1640"/>
      <c r="E1640"/>
      <c r="F1640" s="855"/>
    </row>
    <row r="1641" spans="1:6" x14ac:dyDescent="0.2">
      <c r="A1641" s="368"/>
      <c r="B1641"/>
      <c r="C1641"/>
      <c r="D1641"/>
      <c r="E1641"/>
      <c r="F1641" s="855"/>
    </row>
    <row r="1642" spans="1:6" x14ac:dyDescent="0.2">
      <c r="A1642" s="368"/>
      <c r="B1642"/>
      <c r="C1642"/>
      <c r="D1642"/>
      <c r="E1642"/>
      <c r="F1642" s="855"/>
    </row>
    <row r="1643" spans="1:6" x14ac:dyDescent="0.2">
      <c r="A1643" s="368"/>
      <c r="B1643"/>
      <c r="C1643"/>
      <c r="D1643"/>
      <c r="E1643"/>
      <c r="F1643" s="855"/>
    </row>
    <row r="1644" spans="1:6" x14ac:dyDescent="0.2">
      <c r="A1644" s="368"/>
      <c r="B1644"/>
      <c r="C1644"/>
      <c r="D1644"/>
      <c r="E1644"/>
      <c r="F1644" s="855"/>
    </row>
    <row r="1645" spans="1:6" x14ac:dyDescent="0.2">
      <c r="A1645" s="368"/>
      <c r="B1645"/>
      <c r="C1645"/>
      <c r="D1645"/>
      <c r="E1645"/>
      <c r="F1645" s="855"/>
    </row>
    <row r="1646" spans="1:6" x14ac:dyDescent="0.2">
      <c r="A1646" s="368"/>
      <c r="B1646"/>
      <c r="C1646"/>
      <c r="D1646"/>
      <c r="E1646"/>
      <c r="F1646" s="855"/>
    </row>
    <row r="1647" spans="1:6" x14ac:dyDescent="0.2">
      <c r="A1647" s="368"/>
      <c r="B1647"/>
      <c r="C1647"/>
      <c r="D1647"/>
      <c r="E1647"/>
      <c r="F1647" s="855"/>
    </row>
    <row r="1648" spans="1:6" x14ac:dyDescent="0.2">
      <c r="A1648" s="368"/>
      <c r="B1648"/>
      <c r="C1648"/>
      <c r="D1648"/>
      <c r="E1648"/>
      <c r="F1648" s="855"/>
    </row>
    <row r="1649" spans="1:6" x14ac:dyDescent="0.2">
      <c r="A1649" s="368"/>
      <c r="B1649"/>
      <c r="C1649"/>
      <c r="D1649"/>
      <c r="E1649"/>
      <c r="F1649" s="855"/>
    </row>
    <row r="1650" spans="1:6" x14ac:dyDescent="0.2">
      <c r="A1650" s="368"/>
      <c r="B1650"/>
      <c r="C1650"/>
      <c r="D1650"/>
      <c r="E1650"/>
      <c r="F1650" s="855"/>
    </row>
    <row r="1651" spans="1:6" x14ac:dyDescent="0.2">
      <c r="A1651" s="368"/>
      <c r="B1651"/>
      <c r="C1651"/>
      <c r="D1651"/>
      <c r="E1651"/>
      <c r="F1651" s="855"/>
    </row>
    <row r="1652" spans="1:6" x14ac:dyDescent="0.2">
      <c r="A1652" s="368"/>
      <c r="B1652"/>
      <c r="C1652"/>
      <c r="D1652"/>
      <c r="E1652"/>
      <c r="F1652" s="855"/>
    </row>
    <row r="1653" spans="1:6" x14ac:dyDescent="0.2">
      <c r="A1653" s="368"/>
      <c r="B1653"/>
      <c r="C1653"/>
      <c r="D1653"/>
      <c r="E1653"/>
      <c r="F1653" s="855"/>
    </row>
    <row r="1654" spans="1:6" x14ac:dyDescent="0.2">
      <c r="A1654" s="368"/>
      <c r="B1654"/>
      <c r="C1654"/>
      <c r="D1654"/>
      <c r="E1654"/>
      <c r="F1654" s="855"/>
    </row>
    <row r="1655" spans="1:6" x14ac:dyDescent="0.2">
      <c r="A1655" s="368"/>
      <c r="B1655"/>
      <c r="C1655"/>
      <c r="D1655"/>
      <c r="E1655"/>
      <c r="F1655" s="855"/>
    </row>
    <row r="1656" spans="1:6" x14ac:dyDescent="0.2">
      <c r="A1656" s="368"/>
      <c r="B1656"/>
      <c r="C1656"/>
      <c r="D1656"/>
      <c r="E1656"/>
      <c r="F1656" s="855"/>
    </row>
    <row r="1657" spans="1:6" x14ac:dyDescent="0.2">
      <c r="A1657" s="368"/>
      <c r="B1657"/>
      <c r="C1657"/>
      <c r="D1657"/>
      <c r="E1657"/>
      <c r="F1657" s="855"/>
    </row>
    <row r="1658" spans="1:6" x14ac:dyDescent="0.2">
      <c r="A1658" s="368"/>
      <c r="B1658"/>
      <c r="C1658"/>
      <c r="D1658"/>
      <c r="E1658"/>
      <c r="F1658" s="855"/>
    </row>
    <row r="1659" spans="1:6" x14ac:dyDescent="0.2">
      <c r="A1659" s="368"/>
      <c r="B1659"/>
      <c r="C1659"/>
      <c r="D1659"/>
      <c r="E1659"/>
      <c r="F1659" s="855"/>
    </row>
    <row r="1660" spans="1:6" x14ac:dyDescent="0.2">
      <c r="A1660" s="368"/>
      <c r="B1660"/>
      <c r="C1660"/>
      <c r="D1660"/>
      <c r="E1660"/>
      <c r="F1660" s="855"/>
    </row>
    <row r="1661" spans="1:6" x14ac:dyDescent="0.2">
      <c r="A1661" s="368"/>
      <c r="B1661"/>
      <c r="C1661"/>
      <c r="D1661"/>
      <c r="E1661"/>
      <c r="F1661" s="855"/>
    </row>
    <row r="1662" spans="1:6" x14ac:dyDescent="0.2">
      <c r="A1662" s="368"/>
      <c r="B1662"/>
      <c r="C1662"/>
      <c r="D1662"/>
      <c r="E1662"/>
      <c r="F1662" s="855"/>
    </row>
    <row r="1663" spans="1:6" x14ac:dyDescent="0.2">
      <c r="A1663" s="368"/>
      <c r="B1663"/>
      <c r="C1663"/>
      <c r="D1663"/>
      <c r="E1663"/>
      <c r="F1663" s="855"/>
    </row>
    <row r="1664" spans="1:6" x14ac:dyDescent="0.2">
      <c r="A1664" s="368"/>
      <c r="B1664"/>
      <c r="C1664"/>
      <c r="D1664"/>
      <c r="E1664"/>
      <c r="F1664" s="855"/>
    </row>
    <row r="1665" spans="1:6" x14ac:dyDescent="0.2">
      <c r="A1665" s="368"/>
      <c r="B1665"/>
      <c r="C1665"/>
      <c r="D1665"/>
      <c r="E1665"/>
      <c r="F1665" s="855"/>
    </row>
    <row r="1666" spans="1:6" x14ac:dyDescent="0.2">
      <c r="A1666" s="368"/>
      <c r="B1666"/>
      <c r="C1666"/>
      <c r="D1666"/>
      <c r="E1666"/>
      <c r="F1666" s="855"/>
    </row>
    <row r="1667" spans="1:6" x14ac:dyDescent="0.2">
      <c r="A1667" s="368"/>
      <c r="B1667"/>
      <c r="C1667"/>
      <c r="D1667"/>
      <c r="E1667"/>
      <c r="F1667" s="855"/>
    </row>
    <row r="1668" spans="1:6" x14ac:dyDescent="0.2">
      <c r="A1668" s="368"/>
      <c r="B1668"/>
      <c r="C1668"/>
      <c r="D1668"/>
      <c r="E1668"/>
      <c r="F1668" s="855"/>
    </row>
    <row r="1669" spans="1:6" x14ac:dyDescent="0.2">
      <c r="A1669" s="368"/>
      <c r="B1669"/>
      <c r="C1669"/>
      <c r="D1669"/>
      <c r="E1669"/>
      <c r="F1669" s="855"/>
    </row>
    <row r="1670" spans="1:6" x14ac:dyDescent="0.2">
      <c r="A1670" s="368"/>
      <c r="B1670"/>
      <c r="C1670"/>
      <c r="D1670"/>
      <c r="E1670"/>
      <c r="F1670" s="855"/>
    </row>
    <row r="1671" spans="1:6" x14ac:dyDescent="0.2">
      <c r="A1671" s="368"/>
      <c r="B1671"/>
      <c r="C1671"/>
      <c r="D1671"/>
      <c r="E1671"/>
      <c r="F1671" s="855"/>
    </row>
    <row r="1672" spans="1:6" x14ac:dyDescent="0.2">
      <c r="A1672" s="368"/>
      <c r="B1672"/>
      <c r="C1672"/>
      <c r="D1672"/>
      <c r="E1672"/>
      <c r="F1672" s="855"/>
    </row>
    <row r="1673" spans="1:6" x14ac:dyDescent="0.2">
      <c r="A1673" s="368"/>
      <c r="B1673"/>
      <c r="C1673"/>
      <c r="D1673"/>
      <c r="E1673"/>
      <c r="F1673" s="855"/>
    </row>
    <row r="1674" spans="1:6" x14ac:dyDescent="0.2">
      <c r="A1674" s="368"/>
      <c r="B1674"/>
      <c r="C1674"/>
      <c r="D1674"/>
      <c r="E1674"/>
      <c r="F1674" s="855"/>
    </row>
    <row r="1675" spans="1:6" x14ac:dyDescent="0.2">
      <c r="A1675" s="368"/>
      <c r="B1675"/>
      <c r="C1675"/>
      <c r="D1675"/>
      <c r="E1675"/>
      <c r="F1675" s="855"/>
    </row>
    <row r="1676" spans="1:6" x14ac:dyDescent="0.2">
      <c r="A1676" s="368"/>
      <c r="B1676"/>
      <c r="C1676"/>
      <c r="D1676"/>
      <c r="E1676"/>
      <c r="F1676" s="855"/>
    </row>
    <row r="1677" spans="1:6" x14ac:dyDescent="0.2">
      <c r="A1677" s="368"/>
      <c r="B1677"/>
      <c r="C1677"/>
      <c r="D1677"/>
      <c r="E1677"/>
      <c r="F1677" s="855"/>
    </row>
    <row r="1678" spans="1:6" x14ac:dyDescent="0.2">
      <c r="A1678" s="368"/>
      <c r="B1678"/>
      <c r="C1678"/>
      <c r="D1678"/>
      <c r="E1678"/>
      <c r="F1678" s="855"/>
    </row>
    <row r="1679" spans="1:6" x14ac:dyDescent="0.2">
      <c r="A1679" s="368"/>
      <c r="B1679"/>
      <c r="C1679"/>
      <c r="D1679"/>
      <c r="E1679"/>
      <c r="F1679" s="855"/>
    </row>
    <row r="1680" spans="1:6" x14ac:dyDescent="0.2">
      <c r="A1680" s="368"/>
      <c r="B1680"/>
      <c r="C1680"/>
      <c r="D1680"/>
      <c r="E1680"/>
      <c r="F1680" s="855"/>
    </row>
    <row r="1681" spans="1:6" x14ac:dyDescent="0.2">
      <c r="A1681" s="368"/>
      <c r="B1681"/>
      <c r="C1681"/>
      <c r="D1681"/>
      <c r="E1681"/>
      <c r="F1681" s="855"/>
    </row>
    <row r="1682" spans="1:6" x14ac:dyDescent="0.2">
      <c r="A1682" s="368"/>
      <c r="B1682"/>
      <c r="C1682"/>
      <c r="D1682"/>
      <c r="E1682"/>
      <c r="F1682" s="855"/>
    </row>
    <row r="1683" spans="1:6" x14ac:dyDescent="0.2">
      <c r="A1683" s="368"/>
      <c r="B1683"/>
      <c r="C1683"/>
      <c r="D1683"/>
      <c r="E1683"/>
      <c r="F1683" s="855"/>
    </row>
    <row r="1684" spans="1:6" x14ac:dyDescent="0.2">
      <c r="A1684" s="368"/>
      <c r="B1684"/>
      <c r="C1684"/>
      <c r="D1684"/>
      <c r="E1684"/>
      <c r="F1684" s="855"/>
    </row>
    <row r="1685" spans="1:6" x14ac:dyDescent="0.2">
      <c r="A1685" s="368"/>
      <c r="B1685"/>
      <c r="C1685"/>
      <c r="D1685"/>
      <c r="E1685"/>
      <c r="F1685" s="855"/>
    </row>
    <row r="1686" spans="1:6" x14ac:dyDescent="0.2">
      <c r="A1686" s="368"/>
      <c r="B1686"/>
      <c r="C1686"/>
      <c r="D1686"/>
      <c r="E1686"/>
      <c r="F1686" s="855"/>
    </row>
    <row r="1687" spans="1:6" x14ac:dyDescent="0.2">
      <c r="A1687" s="368"/>
      <c r="B1687"/>
      <c r="C1687"/>
      <c r="D1687"/>
      <c r="E1687"/>
      <c r="F1687" s="855"/>
    </row>
    <row r="1688" spans="1:6" x14ac:dyDescent="0.2">
      <c r="A1688" s="368"/>
      <c r="B1688"/>
      <c r="C1688"/>
      <c r="D1688"/>
      <c r="E1688"/>
      <c r="F1688" s="855"/>
    </row>
    <row r="1689" spans="1:6" x14ac:dyDescent="0.2">
      <c r="A1689" s="368"/>
      <c r="B1689"/>
      <c r="C1689"/>
      <c r="D1689"/>
      <c r="E1689"/>
      <c r="F1689" s="855"/>
    </row>
    <row r="1690" spans="1:6" x14ac:dyDescent="0.2">
      <c r="A1690" s="368"/>
      <c r="B1690"/>
      <c r="C1690"/>
      <c r="D1690"/>
      <c r="E1690"/>
      <c r="F1690" s="855"/>
    </row>
    <row r="1691" spans="1:6" x14ac:dyDescent="0.2">
      <c r="A1691" s="368"/>
      <c r="B1691"/>
      <c r="C1691"/>
      <c r="D1691"/>
      <c r="E1691"/>
      <c r="F1691" s="855"/>
    </row>
    <row r="1692" spans="1:6" x14ac:dyDescent="0.2">
      <c r="A1692" s="368"/>
      <c r="B1692"/>
      <c r="C1692"/>
      <c r="D1692"/>
      <c r="E1692"/>
      <c r="F1692" s="855"/>
    </row>
    <row r="1693" spans="1:6" x14ac:dyDescent="0.2">
      <c r="A1693" s="368"/>
      <c r="B1693"/>
      <c r="C1693"/>
      <c r="D1693"/>
      <c r="E1693"/>
      <c r="F1693" s="855"/>
    </row>
    <row r="1694" spans="1:6" x14ac:dyDescent="0.2">
      <c r="A1694" s="368"/>
      <c r="B1694"/>
      <c r="C1694"/>
      <c r="D1694"/>
      <c r="E1694"/>
      <c r="F1694" s="855"/>
    </row>
    <row r="1695" spans="1:6" x14ac:dyDescent="0.2">
      <c r="A1695" s="368"/>
      <c r="B1695"/>
      <c r="C1695"/>
      <c r="D1695"/>
      <c r="E1695"/>
      <c r="F1695" s="855"/>
    </row>
    <row r="1696" spans="1:6" x14ac:dyDescent="0.2">
      <c r="A1696" s="368"/>
      <c r="B1696"/>
      <c r="C1696"/>
      <c r="D1696"/>
      <c r="E1696"/>
      <c r="F1696" s="855"/>
    </row>
    <row r="1697" spans="1:6" x14ac:dyDescent="0.2">
      <c r="A1697" s="368"/>
      <c r="B1697"/>
      <c r="C1697"/>
      <c r="D1697"/>
      <c r="E1697"/>
      <c r="F1697" s="855"/>
    </row>
    <row r="1698" spans="1:6" x14ac:dyDescent="0.2">
      <c r="A1698" s="368"/>
      <c r="B1698"/>
      <c r="C1698"/>
      <c r="D1698"/>
      <c r="E1698"/>
      <c r="F1698" s="855"/>
    </row>
    <row r="1699" spans="1:6" x14ac:dyDescent="0.2">
      <c r="A1699" s="368"/>
      <c r="B1699"/>
      <c r="C1699"/>
      <c r="D1699"/>
      <c r="E1699"/>
      <c r="F1699" s="855"/>
    </row>
    <row r="1700" spans="1:6" x14ac:dyDescent="0.2">
      <c r="A1700" s="368"/>
      <c r="B1700"/>
      <c r="C1700"/>
      <c r="D1700"/>
      <c r="E1700"/>
      <c r="F1700" s="855"/>
    </row>
    <row r="1701" spans="1:6" x14ac:dyDescent="0.2">
      <c r="A1701" s="368"/>
      <c r="B1701"/>
      <c r="C1701"/>
      <c r="D1701"/>
      <c r="E1701"/>
      <c r="F1701" s="855"/>
    </row>
    <row r="1702" spans="1:6" x14ac:dyDescent="0.2">
      <c r="A1702" s="368"/>
      <c r="B1702"/>
      <c r="C1702"/>
      <c r="D1702"/>
      <c r="E1702"/>
      <c r="F1702" s="855"/>
    </row>
    <row r="1703" spans="1:6" x14ac:dyDescent="0.2">
      <c r="A1703" s="368"/>
      <c r="B1703"/>
      <c r="C1703"/>
      <c r="D1703"/>
      <c r="E1703"/>
      <c r="F1703" s="855"/>
    </row>
    <row r="1704" spans="1:6" x14ac:dyDescent="0.2">
      <c r="A1704" s="368"/>
      <c r="B1704"/>
      <c r="C1704"/>
      <c r="D1704"/>
      <c r="E1704"/>
      <c r="F1704" s="855"/>
    </row>
    <row r="1705" spans="1:6" x14ac:dyDescent="0.2">
      <c r="A1705" s="368"/>
      <c r="B1705"/>
      <c r="C1705"/>
      <c r="D1705"/>
      <c r="E1705"/>
      <c r="F1705" s="855"/>
    </row>
    <row r="1706" spans="1:6" x14ac:dyDescent="0.2">
      <c r="A1706" s="368"/>
      <c r="B1706"/>
      <c r="C1706"/>
      <c r="D1706"/>
      <c r="E1706"/>
      <c r="F1706" s="855"/>
    </row>
    <row r="1707" spans="1:6" x14ac:dyDescent="0.2">
      <c r="A1707" s="368"/>
      <c r="B1707"/>
      <c r="C1707"/>
      <c r="D1707"/>
      <c r="E1707"/>
      <c r="F1707" s="855"/>
    </row>
    <row r="1708" spans="1:6" x14ac:dyDescent="0.2">
      <c r="A1708" s="368"/>
      <c r="B1708"/>
      <c r="C1708"/>
      <c r="D1708"/>
      <c r="E1708"/>
      <c r="F1708" s="855"/>
    </row>
    <row r="1709" spans="1:6" x14ac:dyDescent="0.2">
      <c r="A1709" s="368"/>
      <c r="B1709"/>
      <c r="C1709"/>
      <c r="D1709"/>
      <c r="E1709"/>
      <c r="F1709" s="855"/>
    </row>
    <row r="1710" spans="1:6" x14ac:dyDescent="0.2">
      <c r="A1710" s="368"/>
      <c r="B1710"/>
      <c r="C1710"/>
      <c r="D1710"/>
      <c r="E1710"/>
      <c r="F1710" s="855"/>
    </row>
    <row r="1711" spans="1:6" x14ac:dyDescent="0.2">
      <c r="A1711" s="368"/>
      <c r="B1711"/>
      <c r="C1711"/>
      <c r="D1711"/>
      <c r="E1711"/>
      <c r="F1711" s="855"/>
    </row>
    <row r="1712" spans="1:6" x14ac:dyDescent="0.2">
      <c r="A1712" s="368"/>
      <c r="B1712"/>
      <c r="C1712"/>
      <c r="D1712"/>
      <c r="E1712"/>
      <c r="F1712" s="855"/>
    </row>
    <row r="1713" spans="1:6" x14ac:dyDescent="0.2">
      <c r="A1713" s="368"/>
      <c r="B1713"/>
      <c r="C1713"/>
      <c r="D1713"/>
      <c r="E1713"/>
      <c r="F1713" s="855"/>
    </row>
    <row r="1714" spans="1:6" x14ac:dyDescent="0.2">
      <c r="A1714" s="368"/>
      <c r="B1714"/>
      <c r="C1714"/>
      <c r="D1714"/>
      <c r="E1714"/>
      <c r="F1714" s="855"/>
    </row>
    <row r="1715" spans="1:6" x14ac:dyDescent="0.2">
      <c r="A1715" s="368"/>
      <c r="B1715"/>
      <c r="C1715"/>
      <c r="D1715"/>
      <c r="E1715"/>
      <c r="F1715" s="855"/>
    </row>
    <row r="1716" spans="1:6" x14ac:dyDescent="0.2">
      <c r="A1716" s="368"/>
      <c r="B1716"/>
      <c r="C1716"/>
      <c r="D1716"/>
      <c r="E1716"/>
      <c r="F1716" s="855"/>
    </row>
    <row r="1717" spans="1:6" x14ac:dyDescent="0.2">
      <c r="A1717" s="368"/>
      <c r="B1717"/>
      <c r="C1717"/>
      <c r="D1717"/>
      <c r="E1717"/>
      <c r="F1717" s="855"/>
    </row>
    <row r="1718" spans="1:6" x14ac:dyDescent="0.2">
      <c r="A1718" s="368"/>
      <c r="B1718"/>
      <c r="C1718"/>
      <c r="D1718"/>
      <c r="E1718"/>
      <c r="F1718" s="855"/>
    </row>
    <row r="1719" spans="1:6" x14ac:dyDescent="0.2">
      <c r="A1719" s="368"/>
      <c r="B1719"/>
      <c r="C1719"/>
      <c r="D1719"/>
      <c r="E1719"/>
      <c r="F1719" s="855"/>
    </row>
    <row r="1720" spans="1:6" x14ac:dyDescent="0.2">
      <c r="A1720" s="368"/>
      <c r="B1720"/>
      <c r="C1720"/>
      <c r="D1720"/>
      <c r="E1720"/>
      <c r="F1720" s="855"/>
    </row>
    <row r="1721" spans="1:6" x14ac:dyDescent="0.2">
      <c r="A1721" s="368"/>
      <c r="B1721"/>
      <c r="C1721"/>
      <c r="D1721"/>
      <c r="E1721"/>
      <c r="F1721" s="855"/>
    </row>
    <row r="1722" spans="1:6" x14ac:dyDescent="0.2">
      <c r="A1722" s="368"/>
      <c r="B1722"/>
      <c r="C1722"/>
      <c r="D1722"/>
      <c r="E1722"/>
      <c r="F1722" s="855"/>
    </row>
    <row r="1723" spans="1:6" x14ac:dyDescent="0.2">
      <c r="A1723" s="368"/>
      <c r="B1723"/>
      <c r="C1723"/>
      <c r="D1723"/>
      <c r="E1723"/>
      <c r="F1723" s="855"/>
    </row>
    <row r="1724" spans="1:6" x14ac:dyDescent="0.2">
      <c r="A1724" s="368"/>
      <c r="B1724"/>
      <c r="C1724"/>
      <c r="D1724"/>
      <c r="E1724"/>
      <c r="F1724" s="855"/>
    </row>
    <row r="1725" spans="1:6" x14ac:dyDescent="0.2">
      <c r="A1725" s="368"/>
      <c r="B1725"/>
      <c r="C1725"/>
      <c r="D1725"/>
      <c r="E1725"/>
      <c r="F1725" s="855"/>
    </row>
    <row r="1726" spans="1:6" x14ac:dyDescent="0.2">
      <c r="A1726" s="368"/>
      <c r="B1726"/>
      <c r="C1726"/>
      <c r="D1726"/>
      <c r="E1726"/>
      <c r="F1726" s="855"/>
    </row>
    <row r="1727" spans="1:6" x14ac:dyDescent="0.2">
      <c r="A1727" s="368"/>
      <c r="B1727"/>
      <c r="C1727"/>
      <c r="D1727"/>
      <c r="E1727"/>
      <c r="F1727" s="855"/>
    </row>
    <row r="1728" spans="1:6" x14ac:dyDescent="0.2">
      <c r="A1728" s="368"/>
      <c r="B1728"/>
      <c r="C1728"/>
      <c r="D1728"/>
      <c r="E1728"/>
      <c r="F1728" s="855"/>
    </row>
    <row r="1729" spans="1:6" x14ac:dyDescent="0.2">
      <c r="A1729" s="368"/>
      <c r="B1729"/>
      <c r="C1729"/>
      <c r="D1729"/>
      <c r="E1729"/>
      <c r="F1729" s="855"/>
    </row>
    <row r="1730" spans="1:6" x14ac:dyDescent="0.2">
      <c r="A1730" s="368"/>
      <c r="B1730"/>
      <c r="C1730"/>
      <c r="D1730"/>
      <c r="E1730"/>
      <c r="F1730" s="855"/>
    </row>
    <row r="1731" spans="1:6" x14ac:dyDescent="0.2">
      <c r="A1731" s="368"/>
      <c r="B1731"/>
      <c r="C1731"/>
      <c r="D1731"/>
      <c r="E1731"/>
      <c r="F1731" s="855"/>
    </row>
    <row r="1732" spans="1:6" x14ac:dyDescent="0.2">
      <c r="A1732" s="368"/>
      <c r="B1732"/>
      <c r="C1732"/>
      <c r="D1732"/>
      <c r="E1732"/>
      <c r="F1732" s="855"/>
    </row>
    <row r="1733" spans="1:6" x14ac:dyDescent="0.2">
      <c r="A1733" s="368"/>
      <c r="B1733"/>
      <c r="C1733"/>
      <c r="D1733"/>
      <c r="E1733"/>
      <c r="F1733" s="855"/>
    </row>
    <row r="1734" spans="1:6" x14ac:dyDescent="0.2">
      <c r="A1734" s="368"/>
      <c r="B1734"/>
      <c r="C1734"/>
      <c r="D1734"/>
      <c r="E1734"/>
      <c r="F1734" s="855"/>
    </row>
    <row r="1735" spans="1:6" x14ac:dyDescent="0.2">
      <c r="A1735" s="368"/>
      <c r="B1735"/>
      <c r="C1735"/>
      <c r="D1735"/>
      <c r="E1735"/>
      <c r="F1735" s="855"/>
    </row>
    <row r="1736" spans="1:6" x14ac:dyDescent="0.2">
      <c r="A1736" s="368"/>
      <c r="B1736"/>
      <c r="C1736"/>
      <c r="D1736"/>
      <c r="E1736"/>
      <c r="F1736" s="855"/>
    </row>
    <row r="1737" spans="1:6" x14ac:dyDescent="0.2">
      <c r="A1737" s="368"/>
      <c r="B1737"/>
      <c r="C1737"/>
      <c r="D1737"/>
      <c r="E1737"/>
      <c r="F1737" s="855"/>
    </row>
    <row r="1738" spans="1:6" x14ac:dyDescent="0.2">
      <c r="A1738" s="368"/>
      <c r="B1738"/>
      <c r="C1738"/>
      <c r="D1738"/>
      <c r="E1738"/>
      <c r="F1738" s="855"/>
    </row>
    <row r="1739" spans="1:6" x14ac:dyDescent="0.2">
      <c r="A1739" s="368"/>
      <c r="B1739"/>
      <c r="C1739"/>
      <c r="D1739"/>
      <c r="E1739"/>
      <c r="F1739" s="855"/>
    </row>
    <row r="1740" spans="1:6" x14ac:dyDescent="0.2">
      <c r="A1740" s="368"/>
      <c r="B1740"/>
      <c r="C1740"/>
      <c r="D1740"/>
      <c r="E1740"/>
      <c r="F1740" s="855"/>
    </row>
    <row r="1741" spans="1:6" x14ac:dyDescent="0.2">
      <c r="A1741" s="368"/>
      <c r="B1741"/>
      <c r="C1741"/>
      <c r="D1741"/>
      <c r="E1741"/>
      <c r="F1741" s="855"/>
    </row>
    <row r="1742" spans="1:6" x14ac:dyDescent="0.2">
      <c r="A1742" s="368"/>
      <c r="B1742"/>
      <c r="C1742"/>
      <c r="D1742"/>
      <c r="E1742"/>
      <c r="F1742" s="855"/>
    </row>
    <row r="1743" spans="1:6" x14ac:dyDescent="0.2">
      <c r="A1743" s="368"/>
      <c r="B1743"/>
      <c r="C1743"/>
      <c r="D1743"/>
      <c r="E1743"/>
      <c r="F1743" s="855"/>
    </row>
    <row r="1744" spans="1:6" x14ac:dyDescent="0.2">
      <c r="A1744" s="368"/>
      <c r="B1744"/>
      <c r="C1744"/>
      <c r="D1744"/>
      <c r="E1744"/>
      <c r="F1744" s="855"/>
    </row>
    <row r="1745" spans="1:6" x14ac:dyDescent="0.2">
      <c r="A1745" s="368"/>
      <c r="B1745"/>
      <c r="C1745"/>
      <c r="D1745"/>
      <c r="E1745"/>
      <c r="F1745" s="855"/>
    </row>
    <row r="1746" spans="1:6" x14ac:dyDescent="0.2">
      <c r="A1746" s="368"/>
      <c r="B1746"/>
      <c r="C1746"/>
      <c r="D1746"/>
      <c r="E1746"/>
      <c r="F1746" s="855"/>
    </row>
    <row r="1747" spans="1:6" x14ac:dyDescent="0.2">
      <c r="A1747" s="368"/>
      <c r="B1747"/>
      <c r="C1747"/>
      <c r="D1747"/>
      <c r="E1747"/>
      <c r="F1747" s="855"/>
    </row>
    <row r="1748" spans="1:6" x14ac:dyDescent="0.2">
      <c r="A1748" s="368"/>
      <c r="B1748"/>
      <c r="C1748"/>
      <c r="D1748"/>
      <c r="E1748"/>
      <c r="F1748" s="855"/>
    </row>
    <row r="1749" spans="1:6" x14ac:dyDescent="0.2">
      <c r="A1749" s="368"/>
      <c r="B1749"/>
      <c r="C1749"/>
      <c r="D1749"/>
      <c r="E1749"/>
      <c r="F1749" s="855"/>
    </row>
    <row r="1750" spans="1:6" x14ac:dyDescent="0.2">
      <c r="A1750" s="368"/>
      <c r="B1750"/>
      <c r="C1750"/>
      <c r="D1750"/>
      <c r="E1750"/>
      <c r="F1750" s="855"/>
    </row>
    <row r="1751" spans="1:6" x14ac:dyDescent="0.2">
      <c r="A1751" s="368"/>
      <c r="B1751"/>
      <c r="C1751"/>
      <c r="D1751"/>
      <c r="E1751"/>
      <c r="F1751" s="855"/>
    </row>
    <row r="1752" spans="1:6" x14ac:dyDescent="0.2">
      <c r="A1752" s="368"/>
      <c r="B1752"/>
      <c r="C1752"/>
      <c r="D1752"/>
      <c r="E1752"/>
      <c r="F1752" s="855"/>
    </row>
    <row r="1753" spans="1:6" x14ac:dyDescent="0.2">
      <c r="A1753" s="368"/>
      <c r="B1753"/>
      <c r="C1753"/>
      <c r="D1753"/>
      <c r="E1753"/>
      <c r="F1753" s="855"/>
    </row>
    <row r="1754" spans="1:6" x14ac:dyDescent="0.2">
      <c r="A1754" s="368"/>
      <c r="B1754"/>
      <c r="C1754"/>
      <c r="D1754"/>
      <c r="E1754"/>
      <c r="F1754" s="855"/>
    </row>
    <row r="1755" spans="1:6" x14ac:dyDescent="0.2">
      <c r="A1755" s="368"/>
      <c r="B1755"/>
      <c r="C1755"/>
      <c r="D1755"/>
      <c r="E1755"/>
      <c r="F1755" s="855"/>
    </row>
    <row r="1756" spans="1:6" x14ac:dyDescent="0.2">
      <c r="A1756" s="368"/>
      <c r="B1756"/>
      <c r="C1756"/>
      <c r="D1756"/>
      <c r="E1756"/>
      <c r="F1756" s="855"/>
    </row>
    <row r="1757" spans="1:6" x14ac:dyDescent="0.2">
      <c r="A1757" s="368"/>
      <c r="B1757"/>
      <c r="C1757"/>
      <c r="D1757"/>
      <c r="E1757"/>
      <c r="F1757" s="855"/>
    </row>
    <row r="1758" spans="1:6" x14ac:dyDescent="0.2">
      <c r="A1758" s="368"/>
      <c r="B1758"/>
      <c r="C1758"/>
      <c r="D1758"/>
      <c r="E1758"/>
      <c r="F1758" s="855"/>
    </row>
    <row r="1759" spans="1:6" x14ac:dyDescent="0.2">
      <c r="A1759" s="368"/>
      <c r="B1759"/>
      <c r="C1759"/>
      <c r="D1759"/>
      <c r="E1759"/>
      <c r="F1759" s="855"/>
    </row>
    <row r="1760" spans="1:6" x14ac:dyDescent="0.2">
      <c r="A1760" s="368"/>
      <c r="B1760"/>
      <c r="C1760"/>
      <c r="D1760"/>
      <c r="E1760"/>
      <c r="F1760" s="855"/>
    </row>
    <row r="1761" spans="1:6" x14ac:dyDescent="0.2">
      <c r="A1761" s="368"/>
      <c r="B1761"/>
      <c r="C1761"/>
      <c r="D1761"/>
      <c r="E1761"/>
      <c r="F1761" s="855"/>
    </row>
    <row r="1762" spans="1:6" x14ac:dyDescent="0.2">
      <c r="A1762" s="368"/>
      <c r="B1762"/>
      <c r="C1762"/>
      <c r="D1762"/>
      <c r="E1762"/>
      <c r="F1762" s="855"/>
    </row>
    <row r="1763" spans="1:6" x14ac:dyDescent="0.2">
      <c r="A1763" s="368"/>
      <c r="B1763"/>
      <c r="C1763"/>
      <c r="D1763"/>
      <c r="E1763"/>
      <c r="F1763" s="855"/>
    </row>
    <row r="1764" spans="1:6" x14ac:dyDescent="0.2">
      <c r="A1764" s="368"/>
      <c r="B1764"/>
      <c r="C1764"/>
      <c r="D1764"/>
      <c r="E1764"/>
      <c r="F1764" s="855"/>
    </row>
    <row r="1765" spans="1:6" x14ac:dyDescent="0.2">
      <c r="A1765" s="368"/>
      <c r="B1765"/>
      <c r="C1765"/>
      <c r="D1765"/>
      <c r="E1765"/>
      <c r="F1765" s="855"/>
    </row>
    <row r="1766" spans="1:6" x14ac:dyDescent="0.2">
      <c r="A1766" s="368"/>
      <c r="B1766"/>
      <c r="C1766"/>
      <c r="D1766"/>
      <c r="E1766"/>
      <c r="F1766" s="855"/>
    </row>
    <row r="1767" spans="1:6" x14ac:dyDescent="0.2">
      <c r="A1767" s="368"/>
      <c r="B1767"/>
      <c r="C1767"/>
      <c r="D1767"/>
      <c r="E1767"/>
      <c r="F1767" s="855"/>
    </row>
    <row r="1768" spans="1:6" x14ac:dyDescent="0.2">
      <c r="A1768" s="368"/>
      <c r="B1768"/>
      <c r="C1768"/>
      <c r="D1768"/>
      <c r="E1768"/>
      <c r="F1768" s="855"/>
    </row>
    <row r="1769" spans="1:6" x14ac:dyDescent="0.2">
      <c r="A1769" s="368"/>
      <c r="B1769"/>
      <c r="C1769"/>
      <c r="D1769"/>
      <c r="E1769"/>
      <c r="F1769" s="855"/>
    </row>
    <row r="1770" spans="1:6" x14ac:dyDescent="0.2">
      <c r="A1770" s="368"/>
      <c r="B1770"/>
      <c r="C1770"/>
      <c r="D1770"/>
      <c r="E1770"/>
      <c r="F1770" s="855"/>
    </row>
    <row r="1771" spans="1:6" x14ac:dyDescent="0.2">
      <c r="A1771" s="368"/>
      <c r="B1771"/>
      <c r="C1771"/>
      <c r="D1771"/>
      <c r="E1771"/>
      <c r="F1771" s="855"/>
    </row>
    <row r="1772" spans="1:6" x14ac:dyDescent="0.2">
      <c r="A1772" s="368"/>
      <c r="B1772"/>
      <c r="C1772"/>
      <c r="D1772"/>
      <c r="E1772"/>
      <c r="F1772" s="855"/>
    </row>
    <row r="1773" spans="1:6" x14ac:dyDescent="0.2">
      <c r="A1773" s="368"/>
      <c r="B1773"/>
      <c r="C1773"/>
      <c r="D1773"/>
      <c r="E1773"/>
      <c r="F1773" s="855"/>
    </row>
    <row r="1774" spans="1:6" x14ac:dyDescent="0.2">
      <c r="A1774" s="368"/>
      <c r="B1774"/>
      <c r="C1774"/>
      <c r="D1774"/>
      <c r="E1774"/>
      <c r="F1774" s="855"/>
    </row>
    <row r="1775" spans="1:6" x14ac:dyDescent="0.2">
      <c r="A1775" s="368"/>
      <c r="B1775"/>
      <c r="C1775"/>
      <c r="D1775"/>
      <c r="E1775"/>
      <c r="F1775" s="855"/>
    </row>
    <row r="1776" spans="1:6" x14ac:dyDescent="0.2">
      <c r="A1776" s="368"/>
      <c r="B1776"/>
      <c r="C1776"/>
      <c r="D1776"/>
      <c r="E1776"/>
      <c r="F1776" s="855"/>
    </row>
    <row r="1777" spans="1:6" x14ac:dyDescent="0.2">
      <c r="A1777" s="368"/>
      <c r="B1777"/>
      <c r="C1777"/>
      <c r="D1777"/>
      <c r="E1777"/>
      <c r="F1777" s="855"/>
    </row>
    <row r="1778" spans="1:6" x14ac:dyDescent="0.2">
      <c r="A1778" s="368"/>
      <c r="B1778"/>
      <c r="C1778"/>
      <c r="D1778"/>
      <c r="E1778"/>
      <c r="F1778" s="855"/>
    </row>
    <row r="1779" spans="1:6" x14ac:dyDescent="0.2">
      <c r="A1779" s="368"/>
      <c r="B1779"/>
      <c r="C1779"/>
      <c r="D1779"/>
      <c r="E1779"/>
      <c r="F1779" s="855"/>
    </row>
    <row r="1780" spans="1:6" x14ac:dyDescent="0.2">
      <c r="A1780" s="368"/>
      <c r="B1780"/>
      <c r="C1780"/>
      <c r="D1780"/>
      <c r="E1780"/>
      <c r="F1780" s="855"/>
    </row>
    <row r="1781" spans="1:6" x14ac:dyDescent="0.2">
      <c r="A1781" s="368"/>
      <c r="B1781"/>
      <c r="C1781"/>
      <c r="D1781"/>
      <c r="E1781"/>
      <c r="F1781" s="855"/>
    </row>
    <row r="1782" spans="1:6" x14ac:dyDescent="0.2">
      <c r="A1782" s="368"/>
      <c r="B1782"/>
      <c r="C1782"/>
      <c r="D1782"/>
      <c r="E1782"/>
      <c r="F1782" s="855"/>
    </row>
    <row r="1783" spans="1:6" x14ac:dyDescent="0.2">
      <c r="A1783" s="368"/>
      <c r="B1783"/>
      <c r="C1783"/>
      <c r="D1783"/>
      <c r="E1783"/>
      <c r="F1783" s="855"/>
    </row>
    <row r="1784" spans="1:6" x14ac:dyDescent="0.2">
      <c r="A1784" s="368"/>
      <c r="B1784"/>
      <c r="C1784"/>
      <c r="D1784"/>
      <c r="E1784"/>
      <c r="F1784" s="855"/>
    </row>
    <row r="1785" spans="1:6" x14ac:dyDescent="0.2">
      <c r="A1785" s="368"/>
      <c r="B1785"/>
      <c r="C1785"/>
      <c r="D1785"/>
      <c r="E1785"/>
      <c r="F1785" s="855"/>
    </row>
    <row r="1786" spans="1:6" x14ac:dyDescent="0.2">
      <c r="A1786" s="368"/>
      <c r="B1786"/>
      <c r="C1786"/>
      <c r="D1786"/>
      <c r="E1786"/>
      <c r="F1786" s="855"/>
    </row>
    <row r="1787" spans="1:6" x14ac:dyDescent="0.2">
      <c r="A1787" s="368"/>
      <c r="B1787"/>
      <c r="C1787"/>
      <c r="D1787"/>
      <c r="E1787"/>
      <c r="F1787" s="855"/>
    </row>
    <row r="1788" spans="1:6" x14ac:dyDescent="0.2">
      <c r="A1788" s="368"/>
      <c r="B1788"/>
      <c r="C1788"/>
      <c r="D1788"/>
      <c r="E1788"/>
      <c r="F1788" s="855"/>
    </row>
    <row r="1789" spans="1:6" x14ac:dyDescent="0.2">
      <c r="A1789" s="368"/>
      <c r="B1789"/>
      <c r="C1789"/>
      <c r="D1789"/>
      <c r="E1789"/>
      <c r="F1789" s="855"/>
    </row>
    <row r="1790" spans="1:6" x14ac:dyDescent="0.2">
      <c r="A1790" s="368"/>
      <c r="B1790"/>
      <c r="C1790"/>
      <c r="D1790"/>
      <c r="E1790"/>
      <c r="F1790" s="855"/>
    </row>
    <row r="1791" spans="1:6" x14ac:dyDescent="0.2">
      <c r="A1791" s="368"/>
      <c r="B1791"/>
      <c r="C1791"/>
      <c r="D1791"/>
      <c r="E1791"/>
      <c r="F1791" s="855"/>
    </row>
    <row r="1792" spans="1:6" x14ac:dyDescent="0.2">
      <c r="A1792" s="368"/>
      <c r="B1792"/>
      <c r="C1792"/>
      <c r="D1792"/>
      <c r="E1792"/>
      <c r="F1792" s="855"/>
    </row>
    <row r="1793" spans="1:6" x14ac:dyDescent="0.2">
      <c r="A1793" s="368"/>
      <c r="B1793"/>
      <c r="C1793"/>
      <c r="D1793"/>
      <c r="E1793"/>
      <c r="F1793" s="855"/>
    </row>
    <row r="1794" spans="1:6" x14ac:dyDescent="0.2">
      <c r="A1794" s="368"/>
      <c r="B1794"/>
      <c r="C1794"/>
      <c r="D1794"/>
      <c r="E1794"/>
      <c r="F1794" s="855"/>
    </row>
    <row r="1795" spans="1:6" x14ac:dyDescent="0.2">
      <c r="A1795" s="368"/>
      <c r="B1795"/>
      <c r="C1795"/>
      <c r="D1795"/>
      <c r="E1795"/>
      <c r="F1795" s="855"/>
    </row>
    <row r="1796" spans="1:6" x14ac:dyDescent="0.2">
      <c r="A1796" s="368"/>
      <c r="B1796"/>
      <c r="C1796"/>
      <c r="D1796"/>
      <c r="E1796"/>
      <c r="F1796" s="855"/>
    </row>
    <row r="1797" spans="1:6" x14ac:dyDescent="0.2">
      <c r="A1797" s="368"/>
      <c r="B1797"/>
      <c r="C1797"/>
      <c r="D1797"/>
      <c r="E1797"/>
      <c r="F1797" s="855"/>
    </row>
    <row r="1798" spans="1:6" x14ac:dyDescent="0.2">
      <c r="A1798" s="368"/>
      <c r="B1798"/>
      <c r="C1798"/>
      <c r="D1798"/>
      <c r="E1798"/>
      <c r="F1798" s="855"/>
    </row>
    <row r="1799" spans="1:6" x14ac:dyDescent="0.2">
      <c r="A1799" s="368"/>
      <c r="B1799"/>
      <c r="C1799"/>
      <c r="D1799"/>
      <c r="E1799"/>
      <c r="F1799" s="855"/>
    </row>
    <row r="1800" spans="1:6" x14ac:dyDescent="0.2">
      <c r="A1800" s="368"/>
      <c r="B1800"/>
      <c r="C1800"/>
      <c r="D1800"/>
      <c r="E1800"/>
      <c r="F1800" s="855"/>
    </row>
    <row r="1801" spans="1:6" x14ac:dyDescent="0.2">
      <c r="A1801" s="368"/>
      <c r="B1801"/>
      <c r="C1801"/>
      <c r="D1801"/>
      <c r="E1801"/>
      <c r="F1801" s="855"/>
    </row>
    <row r="1802" spans="1:6" x14ac:dyDescent="0.2">
      <c r="A1802" s="368"/>
      <c r="B1802"/>
      <c r="C1802"/>
      <c r="D1802"/>
      <c r="E1802"/>
      <c r="F1802" s="855"/>
    </row>
    <row r="1803" spans="1:6" x14ac:dyDescent="0.2">
      <c r="A1803" s="368"/>
      <c r="B1803"/>
      <c r="C1803"/>
      <c r="D1803"/>
      <c r="E1803"/>
      <c r="F1803" s="855"/>
    </row>
    <row r="1804" spans="1:6" x14ac:dyDescent="0.2">
      <c r="A1804" s="368"/>
      <c r="B1804"/>
      <c r="C1804"/>
      <c r="D1804"/>
      <c r="E1804"/>
      <c r="F1804" s="855"/>
    </row>
    <row r="1805" spans="1:6" x14ac:dyDescent="0.2">
      <c r="A1805" s="368"/>
      <c r="B1805"/>
      <c r="C1805"/>
      <c r="D1805"/>
      <c r="E1805"/>
      <c r="F1805" s="855"/>
    </row>
    <row r="1806" spans="1:6" x14ac:dyDescent="0.2">
      <c r="A1806" s="368"/>
      <c r="B1806"/>
      <c r="C1806"/>
      <c r="D1806"/>
      <c r="E1806"/>
      <c r="F1806" s="855"/>
    </row>
    <row r="1807" spans="1:6" x14ac:dyDescent="0.2">
      <c r="A1807" s="368"/>
      <c r="B1807"/>
      <c r="C1807"/>
      <c r="D1807"/>
      <c r="E1807"/>
      <c r="F1807" s="855"/>
    </row>
    <row r="1808" spans="1:6" x14ac:dyDescent="0.2">
      <c r="A1808" s="368"/>
      <c r="B1808"/>
      <c r="C1808"/>
      <c r="D1808"/>
      <c r="E1808"/>
      <c r="F1808" s="855"/>
    </row>
    <row r="1809" spans="1:6" x14ac:dyDescent="0.2">
      <c r="A1809" s="368"/>
      <c r="B1809"/>
      <c r="C1809"/>
      <c r="D1809"/>
      <c r="E1809"/>
      <c r="F1809" s="855"/>
    </row>
    <row r="1810" spans="1:6" x14ac:dyDescent="0.2">
      <c r="A1810" s="368"/>
      <c r="B1810"/>
      <c r="C1810"/>
      <c r="D1810"/>
      <c r="E1810"/>
      <c r="F1810" s="855"/>
    </row>
    <row r="1811" spans="1:6" x14ac:dyDescent="0.2">
      <c r="A1811" s="368"/>
      <c r="B1811"/>
      <c r="C1811"/>
      <c r="D1811"/>
      <c r="E1811"/>
      <c r="F1811" s="855"/>
    </row>
    <row r="1812" spans="1:6" x14ac:dyDescent="0.2">
      <c r="A1812" s="368"/>
      <c r="B1812"/>
      <c r="C1812"/>
      <c r="D1812"/>
      <c r="E1812"/>
      <c r="F1812" s="855"/>
    </row>
    <row r="1813" spans="1:6" x14ac:dyDescent="0.2">
      <c r="A1813" s="368"/>
      <c r="B1813"/>
      <c r="C1813"/>
      <c r="D1813"/>
      <c r="E1813"/>
      <c r="F1813" s="855"/>
    </row>
    <row r="1814" spans="1:6" x14ac:dyDescent="0.2">
      <c r="A1814" s="368"/>
      <c r="B1814"/>
      <c r="C1814"/>
      <c r="D1814"/>
      <c r="E1814"/>
      <c r="F1814" s="855"/>
    </row>
    <row r="1815" spans="1:6" x14ac:dyDescent="0.2">
      <c r="A1815" s="368"/>
      <c r="B1815"/>
      <c r="C1815"/>
      <c r="D1815"/>
      <c r="E1815"/>
      <c r="F1815" s="855"/>
    </row>
    <row r="1816" spans="1:6" x14ac:dyDescent="0.2">
      <c r="A1816" s="368"/>
      <c r="B1816"/>
      <c r="C1816"/>
      <c r="D1816"/>
      <c r="E1816"/>
      <c r="F1816" s="855"/>
    </row>
    <row r="1817" spans="1:6" x14ac:dyDescent="0.2">
      <c r="A1817" s="368"/>
      <c r="B1817"/>
      <c r="C1817"/>
      <c r="D1817"/>
      <c r="E1817"/>
      <c r="F1817" s="855"/>
    </row>
    <row r="1818" spans="1:6" x14ac:dyDescent="0.2">
      <c r="A1818" s="368"/>
      <c r="B1818"/>
      <c r="C1818"/>
      <c r="D1818"/>
      <c r="E1818"/>
      <c r="F1818" s="855"/>
    </row>
    <row r="1819" spans="1:6" x14ac:dyDescent="0.2">
      <c r="A1819" s="368"/>
      <c r="B1819"/>
      <c r="C1819"/>
      <c r="D1819"/>
      <c r="E1819"/>
      <c r="F1819" s="855"/>
    </row>
    <row r="1820" spans="1:6" x14ac:dyDescent="0.2">
      <c r="A1820" s="368"/>
      <c r="B1820"/>
      <c r="C1820"/>
      <c r="D1820"/>
      <c r="E1820"/>
      <c r="F1820" s="855"/>
    </row>
    <row r="1821" spans="1:6" x14ac:dyDescent="0.2">
      <c r="A1821" s="368"/>
      <c r="B1821"/>
      <c r="C1821"/>
      <c r="D1821"/>
      <c r="E1821"/>
      <c r="F1821" s="855"/>
    </row>
    <row r="1822" spans="1:6" x14ac:dyDescent="0.2">
      <c r="A1822" s="368"/>
      <c r="B1822"/>
      <c r="C1822"/>
      <c r="D1822"/>
      <c r="E1822"/>
      <c r="F1822" s="855"/>
    </row>
    <row r="1823" spans="1:6" x14ac:dyDescent="0.2">
      <c r="A1823" s="368"/>
      <c r="B1823"/>
      <c r="C1823"/>
      <c r="D1823"/>
      <c r="E1823"/>
      <c r="F1823" s="855"/>
    </row>
    <row r="1824" spans="1:6" x14ac:dyDescent="0.2">
      <c r="A1824" s="368"/>
      <c r="B1824"/>
      <c r="C1824"/>
      <c r="D1824"/>
      <c r="E1824"/>
      <c r="F1824" s="855"/>
    </row>
    <row r="1825" spans="1:6" x14ac:dyDescent="0.2">
      <c r="A1825" s="368"/>
      <c r="B1825"/>
      <c r="C1825"/>
      <c r="D1825"/>
      <c r="E1825"/>
      <c r="F1825" s="855"/>
    </row>
    <row r="1826" spans="1:6" x14ac:dyDescent="0.2">
      <c r="A1826" s="368"/>
      <c r="B1826"/>
      <c r="C1826"/>
      <c r="D1826"/>
      <c r="E1826"/>
      <c r="F1826" s="855"/>
    </row>
    <row r="1827" spans="1:6" x14ac:dyDescent="0.2">
      <c r="A1827" s="368"/>
      <c r="B1827"/>
      <c r="C1827"/>
      <c r="D1827"/>
      <c r="E1827"/>
      <c r="F1827" s="855"/>
    </row>
    <row r="1828" spans="1:6" x14ac:dyDescent="0.2">
      <c r="A1828" s="368"/>
      <c r="B1828"/>
      <c r="C1828"/>
      <c r="D1828"/>
      <c r="E1828"/>
      <c r="F1828" s="855"/>
    </row>
    <row r="1829" spans="1:6" x14ac:dyDescent="0.2">
      <c r="A1829" s="368"/>
      <c r="B1829"/>
      <c r="C1829"/>
      <c r="D1829"/>
      <c r="E1829"/>
      <c r="F1829" s="855"/>
    </row>
    <row r="1830" spans="1:6" x14ac:dyDescent="0.2">
      <c r="A1830" s="368"/>
      <c r="B1830"/>
      <c r="C1830"/>
      <c r="D1830"/>
      <c r="E1830"/>
      <c r="F1830" s="855"/>
    </row>
    <row r="1831" spans="1:6" x14ac:dyDescent="0.2">
      <c r="A1831" s="368"/>
      <c r="B1831"/>
      <c r="C1831"/>
      <c r="D1831"/>
      <c r="E1831"/>
      <c r="F1831" s="855"/>
    </row>
    <row r="1832" spans="1:6" x14ac:dyDescent="0.2">
      <c r="A1832" s="368"/>
      <c r="B1832"/>
      <c r="C1832"/>
      <c r="D1832"/>
      <c r="E1832"/>
      <c r="F1832" s="855"/>
    </row>
    <row r="1833" spans="1:6" x14ac:dyDescent="0.2">
      <c r="A1833" s="368"/>
      <c r="B1833"/>
      <c r="C1833"/>
      <c r="D1833"/>
      <c r="E1833"/>
      <c r="F1833" s="855"/>
    </row>
    <row r="1834" spans="1:6" x14ac:dyDescent="0.2">
      <c r="A1834" s="368"/>
      <c r="B1834"/>
      <c r="C1834"/>
      <c r="D1834"/>
      <c r="E1834"/>
      <c r="F1834" s="855"/>
    </row>
    <row r="1835" spans="1:6" x14ac:dyDescent="0.2">
      <c r="A1835" s="368"/>
      <c r="B1835"/>
      <c r="C1835"/>
      <c r="D1835"/>
      <c r="E1835"/>
      <c r="F1835" s="855"/>
    </row>
    <row r="1836" spans="1:6" x14ac:dyDescent="0.2">
      <c r="A1836" s="368"/>
      <c r="B1836"/>
      <c r="C1836"/>
      <c r="D1836"/>
      <c r="E1836"/>
      <c r="F1836" s="855"/>
    </row>
    <row r="1837" spans="1:6" x14ac:dyDescent="0.2">
      <c r="A1837" s="368"/>
      <c r="B1837"/>
      <c r="C1837"/>
      <c r="D1837"/>
      <c r="E1837"/>
      <c r="F1837" s="855"/>
    </row>
    <row r="1838" spans="1:6" x14ac:dyDescent="0.2">
      <c r="A1838" s="368"/>
      <c r="B1838"/>
      <c r="C1838"/>
      <c r="D1838"/>
      <c r="E1838"/>
      <c r="F1838" s="855"/>
    </row>
    <row r="1839" spans="1:6" x14ac:dyDescent="0.2">
      <c r="A1839" s="368"/>
      <c r="B1839"/>
      <c r="C1839"/>
      <c r="D1839"/>
      <c r="E1839"/>
      <c r="F1839" s="855"/>
    </row>
    <row r="1840" spans="1:6" x14ac:dyDescent="0.2">
      <c r="A1840" s="368"/>
      <c r="B1840"/>
      <c r="C1840"/>
      <c r="D1840"/>
      <c r="E1840"/>
      <c r="F1840" s="855"/>
    </row>
    <row r="1841" spans="1:6" x14ac:dyDescent="0.2">
      <c r="A1841" s="368"/>
      <c r="B1841"/>
      <c r="C1841"/>
      <c r="D1841"/>
      <c r="E1841"/>
      <c r="F1841" s="855"/>
    </row>
    <row r="1842" spans="1:6" x14ac:dyDescent="0.2">
      <c r="A1842" s="368"/>
      <c r="B1842"/>
      <c r="C1842"/>
      <c r="D1842"/>
      <c r="E1842"/>
      <c r="F1842" s="855"/>
    </row>
    <row r="1843" spans="1:6" x14ac:dyDescent="0.2">
      <c r="A1843" s="368"/>
      <c r="B1843"/>
      <c r="C1843"/>
      <c r="D1843"/>
      <c r="E1843"/>
      <c r="F1843" s="855"/>
    </row>
    <row r="1844" spans="1:6" x14ac:dyDescent="0.2">
      <c r="A1844" s="368"/>
      <c r="B1844"/>
      <c r="C1844"/>
      <c r="D1844"/>
      <c r="E1844"/>
      <c r="F1844" s="855"/>
    </row>
    <row r="1845" spans="1:6" x14ac:dyDescent="0.2">
      <c r="A1845" s="368"/>
      <c r="B1845"/>
      <c r="C1845"/>
      <c r="D1845"/>
      <c r="E1845"/>
      <c r="F1845" s="855"/>
    </row>
    <row r="1846" spans="1:6" x14ac:dyDescent="0.2">
      <c r="A1846" s="368"/>
      <c r="B1846"/>
      <c r="C1846"/>
      <c r="D1846"/>
      <c r="E1846"/>
      <c r="F1846" s="855"/>
    </row>
    <row r="1847" spans="1:6" x14ac:dyDescent="0.2">
      <c r="A1847" s="368"/>
      <c r="B1847"/>
      <c r="C1847"/>
      <c r="D1847"/>
      <c r="E1847"/>
      <c r="F1847" s="855"/>
    </row>
    <row r="1848" spans="1:6" x14ac:dyDescent="0.2">
      <c r="A1848" s="368"/>
      <c r="B1848"/>
      <c r="C1848"/>
      <c r="D1848"/>
      <c r="E1848"/>
      <c r="F1848" s="855"/>
    </row>
    <row r="1849" spans="1:6" x14ac:dyDescent="0.2">
      <c r="A1849" s="368"/>
      <c r="B1849"/>
      <c r="C1849"/>
      <c r="D1849"/>
      <c r="E1849"/>
      <c r="F1849" s="855"/>
    </row>
    <row r="1850" spans="1:6" x14ac:dyDescent="0.2">
      <c r="A1850" s="368"/>
      <c r="B1850"/>
      <c r="C1850"/>
      <c r="D1850"/>
      <c r="E1850"/>
      <c r="F1850" s="855"/>
    </row>
    <row r="1851" spans="1:6" x14ac:dyDescent="0.2">
      <c r="A1851" s="368"/>
      <c r="B1851"/>
      <c r="C1851"/>
      <c r="D1851"/>
      <c r="E1851"/>
      <c r="F1851" s="855"/>
    </row>
    <row r="1852" spans="1:6" x14ac:dyDescent="0.2">
      <c r="A1852" s="368"/>
      <c r="B1852"/>
      <c r="C1852"/>
      <c r="D1852"/>
      <c r="E1852"/>
      <c r="F1852" s="855"/>
    </row>
    <row r="1853" spans="1:6" x14ac:dyDescent="0.2">
      <c r="A1853" s="368"/>
      <c r="B1853"/>
      <c r="C1853"/>
      <c r="D1853"/>
      <c r="E1853"/>
      <c r="F1853" s="855"/>
    </row>
    <row r="1854" spans="1:6" x14ac:dyDescent="0.2">
      <c r="A1854" s="368"/>
      <c r="B1854"/>
      <c r="C1854"/>
      <c r="D1854"/>
      <c r="E1854"/>
      <c r="F1854" s="855"/>
    </row>
    <row r="1855" spans="1:6" x14ac:dyDescent="0.2">
      <c r="A1855" s="368"/>
      <c r="B1855"/>
      <c r="C1855"/>
      <c r="D1855"/>
      <c r="E1855"/>
      <c r="F1855" s="855"/>
    </row>
    <row r="1856" spans="1:6" x14ac:dyDescent="0.2">
      <c r="A1856" s="368"/>
      <c r="B1856"/>
      <c r="C1856"/>
      <c r="D1856"/>
      <c r="E1856"/>
      <c r="F1856" s="855"/>
    </row>
    <row r="1857" spans="1:6" x14ac:dyDescent="0.2">
      <c r="A1857" s="368"/>
      <c r="B1857"/>
      <c r="C1857"/>
      <c r="D1857"/>
      <c r="E1857"/>
      <c r="F1857" s="855"/>
    </row>
    <row r="1858" spans="1:6" x14ac:dyDescent="0.2">
      <c r="A1858" s="368"/>
      <c r="B1858"/>
      <c r="C1858"/>
      <c r="D1858"/>
      <c r="E1858"/>
      <c r="F1858" s="855"/>
    </row>
    <row r="1859" spans="1:6" x14ac:dyDescent="0.2">
      <c r="A1859" s="368"/>
      <c r="B1859"/>
      <c r="C1859"/>
      <c r="D1859"/>
      <c r="E1859"/>
      <c r="F1859" s="855"/>
    </row>
    <row r="1860" spans="1:6" x14ac:dyDescent="0.2">
      <c r="A1860" s="368"/>
      <c r="B1860"/>
      <c r="C1860"/>
      <c r="D1860"/>
      <c r="E1860"/>
      <c r="F1860" s="855"/>
    </row>
    <row r="1861" spans="1:6" x14ac:dyDescent="0.2">
      <c r="A1861" s="368"/>
      <c r="B1861"/>
      <c r="C1861"/>
      <c r="D1861"/>
      <c r="E1861"/>
      <c r="F1861" s="855"/>
    </row>
    <row r="1862" spans="1:6" x14ac:dyDescent="0.2">
      <c r="A1862" s="368"/>
      <c r="B1862"/>
      <c r="C1862"/>
      <c r="D1862"/>
      <c r="E1862"/>
      <c r="F1862" s="855"/>
    </row>
    <row r="1863" spans="1:6" x14ac:dyDescent="0.2">
      <c r="A1863" s="368"/>
      <c r="B1863"/>
      <c r="C1863"/>
      <c r="D1863"/>
      <c r="E1863"/>
      <c r="F1863" s="855"/>
    </row>
    <row r="1864" spans="1:6" x14ac:dyDescent="0.2">
      <c r="A1864" s="368"/>
      <c r="B1864"/>
      <c r="C1864"/>
      <c r="D1864"/>
      <c r="E1864"/>
      <c r="F1864" s="855"/>
    </row>
    <row r="1865" spans="1:6" x14ac:dyDescent="0.2">
      <c r="A1865" s="368"/>
      <c r="B1865"/>
      <c r="C1865"/>
      <c r="D1865"/>
      <c r="E1865"/>
      <c r="F1865" s="855"/>
    </row>
    <row r="1866" spans="1:6" x14ac:dyDescent="0.2">
      <c r="A1866" s="368"/>
      <c r="B1866"/>
      <c r="C1866"/>
      <c r="D1866"/>
      <c r="E1866"/>
      <c r="F1866" s="855"/>
    </row>
    <row r="1867" spans="1:6" x14ac:dyDescent="0.2">
      <c r="A1867" s="368"/>
      <c r="B1867"/>
      <c r="C1867"/>
      <c r="D1867"/>
      <c r="E1867"/>
      <c r="F1867" s="855"/>
    </row>
    <row r="1868" spans="1:6" x14ac:dyDescent="0.2">
      <c r="A1868" s="368"/>
      <c r="B1868"/>
      <c r="C1868"/>
      <c r="D1868"/>
      <c r="E1868"/>
      <c r="F1868" s="855"/>
    </row>
    <row r="1869" spans="1:6" x14ac:dyDescent="0.2">
      <c r="A1869" s="368"/>
      <c r="B1869"/>
      <c r="C1869"/>
      <c r="D1869"/>
      <c r="E1869"/>
      <c r="F1869" s="855"/>
    </row>
    <row r="1870" spans="1:6" x14ac:dyDescent="0.2">
      <c r="A1870" s="368"/>
      <c r="B1870"/>
      <c r="C1870"/>
      <c r="D1870"/>
      <c r="E1870"/>
      <c r="F1870" s="855"/>
    </row>
    <row r="1871" spans="1:6" x14ac:dyDescent="0.2">
      <c r="A1871" s="368"/>
      <c r="B1871"/>
      <c r="C1871"/>
      <c r="D1871"/>
      <c r="E1871"/>
      <c r="F1871" s="855"/>
    </row>
    <row r="1872" spans="1:6" x14ac:dyDescent="0.2">
      <c r="A1872" s="368"/>
      <c r="B1872"/>
      <c r="C1872"/>
      <c r="D1872"/>
      <c r="E1872"/>
      <c r="F1872" s="855"/>
    </row>
    <row r="1873" spans="1:6" x14ac:dyDescent="0.2">
      <c r="A1873" s="368"/>
      <c r="B1873"/>
      <c r="C1873"/>
      <c r="D1873"/>
      <c r="E1873"/>
      <c r="F1873" s="855"/>
    </row>
    <row r="1874" spans="1:6" x14ac:dyDescent="0.2">
      <c r="A1874" s="368"/>
      <c r="B1874"/>
      <c r="C1874"/>
      <c r="D1874"/>
      <c r="E1874"/>
      <c r="F1874" s="855"/>
    </row>
    <row r="1875" spans="1:6" x14ac:dyDescent="0.2">
      <c r="A1875" s="368"/>
      <c r="B1875"/>
      <c r="C1875"/>
      <c r="D1875"/>
      <c r="E1875"/>
      <c r="F1875" s="855"/>
    </row>
    <row r="1876" spans="1:6" x14ac:dyDescent="0.2">
      <c r="A1876" s="368"/>
      <c r="B1876"/>
      <c r="C1876"/>
      <c r="D1876"/>
      <c r="E1876"/>
      <c r="F1876" s="855"/>
    </row>
    <row r="1877" spans="1:6" x14ac:dyDescent="0.2">
      <c r="A1877" s="368"/>
      <c r="B1877"/>
      <c r="C1877"/>
      <c r="D1877"/>
      <c r="E1877"/>
      <c r="F1877" s="855"/>
    </row>
    <row r="1878" spans="1:6" x14ac:dyDescent="0.2">
      <c r="A1878" s="368"/>
      <c r="B1878"/>
      <c r="C1878"/>
      <c r="D1878"/>
      <c r="E1878"/>
      <c r="F1878" s="855"/>
    </row>
    <row r="1879" spans="1:6" x14ac:dyDescent="0.2">
      <c r="A1879" s="368"/>
      <c r="B1879"/>
      <c r="C1879"/>
      <c r="D1879"/>
      <c r="E1879"/>
      <c r="F1879" s="855"/>
    </row>
    <row r="1880" spans="1:6" x14ac:dyDescent="0.2">
      <c r="A1880" s="368"/>
      <c r="B1880"/>
      <c r="C1880"/>
      <c r="D1880"/>
      <c r="E1880"/>
      <c r="F1880" s="855"/>
    </row>
    <row r="1881" spans="1:6" x14ac:dyDescent="0.2">
      <c r="A1881" s="368"/>
      <c r="B1881"/>
      <c r="C1881"/>
      <c r="D1881"/>
      <c r="E1881"/>
      <c r="F1881" s="855"/>
    </row>
    <row r="1882" spans="1:6" x14ac:dyDescent="0.2">
      <c r="A1882" s="368"/>
      <c r="B1882"/>
      <c r="C1882"/>
      <c r="D1882"/>
      <c r="E1882"/>
      <c r="F1882" s="855"/>
    </row>
    <row r="1883" spans="1:6" x14ac:dyDescent="0.2">
      <c r="A1883" s="368"/>
      <c r="B1883"/>
      <c r="C1883"/>
      <c r="D1883"/>
      <c r="E1883"/>
      <c r="F1883" s="855"/>
    </row>
    <row r="1884" spans="1:6" x14ac:dyDescent="0.2">
      <c r="A1884" s="368"/>
      <c r="B1884"/>
      <c r="C1884"/>
      <c r="D1884"/>
      <c r="E1884"/>
      <c r="F1884" s="855"/>
    </row>
    <row r="1885" spans="1:6" x14ac:dyDescent="0.2">
      <c r="A1885" s="368"/>
      <c r="B1885"/>
      <c r="C1885"/>
      <c r="D1885"/>
      <c r="E1885"/>
      <c r="F1885" s="855"/>
    </row>
    <row r="1886" spans="1:6" x14ac:dyDescent="0.2">
      <c r="A1886" s="368"/>
      <c r="B1886"/>
      <c r="C1886"/>
      <c r="D1886"/>
      <c r="E1886"/>
      <c r="F1886" s="855"/>
    </row>
    <row r="1887" spans="1:6" x14ac:dyDescent="0.2">
      <c r="A1887" s="368"/>
      <c r="B1887"/>
      <c r="C1887"/>
      <c r="D1887"/>
      <c r="E1887"/>
      <c r="F1887" s="855"/>
    </row>
    <row r="1888" spans="1:6" x14ac:dyDescent="0.2">
      <c r="A1888" s="368"/>
      <c r="B1888"/>
      <c r="C1888"/>
      <c r="D1888"/>
      <c r="E1888"/>
      <c r="F1888" s="855"/>
    </row>
    <row r="1889" spans="1:6" x14ac:dyDescent="0.2">
      <c r="A1889" s="368"/>
      <c r="B1889"/>
      <c r="C1889"/>
      <c r="D1889"/>
      <c r="E1889"/>
      <c r="F1889" s="855"/>
    </row>
    <row r="1890" spans="1:6" x14ac:dyDescent="0.2">
      <c r="A1890" s="368"/>
      <c r="B1890"/>
      <c r="C1890"/>
      <c r="D1890"/>
      <c r="E1890"/>
      <c r="F1890" s="855"/>
    </row>
    <row r="1891" spans="1:6" x14ac:dyDescent="0.2">
      <c r="A1891" s="368"/>
      <c r="B1891"/>
      <c r="C1891"/>
      <c r="D1891"/>
      <c r="E1891"/>
      <c r="F1891" s="855"/>
    </row>
    <row r="1892" spans="1:6" x14ac:dyDescent="0.2">
      <c r="A1892" s="368"/>
      <c r="B1892"/>
      <c r="C1892"/>
      <c r="D1892"/>
      <c r="E1892"/>
      <c r="F1892" s="855"/>
    </row>
    <row r="1893" spans="1:6" x14ac:dyDescent="0.2">
      <c r="A1893" s="368"/>
      <c r="B1893"/>
      <c r="C1893"/>
      <c r="D1893"/>
      <c r="E1893"/>
      <c r="F1893" s="855"/>
    </row>
    <row r="1894" spans="1:6" x14ac:dyDescent="0.2">
      <c r="A1894" s="368"/>
      <c r="B1894"/>
      <c r="C1894"/>
      <c r="D1894"/>
      <c r="E1894"/>
      <c r="F1894" s="855"/>
    </row>
    <row r="1895" spans="1:6" x14ac:dyDescent="0.2">
      <c r="A1895" s="368"/>
      <c r="B1895"/>
      <c r="C1895"/>
      <c r="D1895"/>
      <c r="E1895"/>
      <c r="F1895" s="855"/>
    </row>
    <row r="1896" spans="1:6" x14ac:dyDescent="0.2">
      <c r="A1896" s="368"/>
      <c r="B1896"/>
      <c r="C1896"/>
      <c r="D1896"/>
      <c r="E1896"/>
      <c r="F1896" s="855"/>
    </row>
    <row r="1897" spans="1:6" x14ac:dyDescent="0.2">
      <c r="A1897" s="368"/>
      <c r="B1897"/>
      <c r="C1897"/>
      <c r="D1897"/>
      <c r="E1897"/>
      <c r="F1897" s="855"/>
    </row>
    <row r="1898" spans="1:6" x14ac:dyDescent="0.2">
      <c r="A1898" s="368"/>
      <c r="B1898"/>
      <c r="C1898"/>
      <c r="D1898"/>
      <c r="E1898"/>
      <c r="F1898" s="855"/>
    </row>
    <row r="1899" spans="1:6" x14ac:dyDescent="0.2">
      <c r="A1899" s="368"/>
      <c r="B1899"/>
      <c r="C1899"/>
      <c r="D1899"/>
      <c r="E1899"/>
      <c r="F1899" s="855"/>
    </row>
    <row r="1900" spans="1:6" x14ac:dyDescent="0.2">
      <c r="A1900" s="368"/>
      <c r="B1900"/>
      <c r="C1900"/>
      <c r="D1900"/>
      <c r="E1900"/>
      <c r="F1900" s="855"/>
    </row>
    <row r="1901" spans="1:6" x14ac:dyDescent="0.2">
      <c r="A1901" s="368"/>
      <c r="B1901"/>
      <c r="C1901"/>
      <c r="D1901"/>
      <c r="E1901"/>
      <c r="F1901" s="855"/>
    </row>
    <row r="1902" spans="1:6" x14ac:dyDescent="0.2">
      <c r="A1902" s="368"/>
      <c r="B1902"/>
      <c r="C1902"/>
      <c r="D1902"/>
      <c r="E1902"/>
      <c r="F1902" s="855"/>
    </row>
    <row r="1903" spans="1:6" x14ac:dyDescent="0.2">
      <c r="A1903" s="368"/>
      <c r="B1903"/>
      <c r="C1903"/>
      <c r="D1903"/>
      <c r="E1903"/>
      <c r="F1903" s="855"/>
    </row>
    <row r="1904" spans="1:6" x14ac:dyDescent="0.2">
      <c r="A1904" s="368"/>
      <c r="B1904"/>
      <c r="C1904"/>
      <c r="D1904"/>
      <c r="E1904"/>
      <c r="F1904" s="855"/>
    </row>
    <row r="1905" spans="1:6" x14ac:dyDescent="0.2">
      <c r="A1905" s="368"/>
      <c r="B1905"/>
      <c r="C1905"/>
      <c r="D1905"/>
      <c r="E1905"/>
      <c r="F1905" s="855"/>
    </row>
    <row r="1906" spans="1:6" x14ac:dyDescent="0.2">
      <c r="A1906" s="368"/>
      <c r="B1906"/>
      <c r="C1906"/>
      <c r="D1906"/>
      <c r="E1906"/>
      <c r="F1906" s="855"/>
    </row>
    <row r="1907" spans="1:6" x14ac:dyDescent="0.2">
      <c r="A1907" s="368"/>
      <c r="B1907"/>
      <c r="C1907"/>
      <c r="D1907"/>
      <c r="E1907"/>
      <c r="F1907" s="855"/>
    </row>
    <row r="1908" spans="1:6" x14ac:dyDescent="0.2">
      <c r="A1908" s="368"/>
      <c r="B1908"/>
      <c r="C1908"/>
      <c r="D1908"/>
      <c r="E1908"/>
      <c r="F1908" s="855"/>
    </row>
    <row r="1909" spans="1:6" x14ac:dyDescent="0.2">
      <c r="A1909" s="368"/>
      <c r="B1909"/>
      <c r="C1909"/>
      <c r="D1909"/>
      <c r="E1909"/>
      <c r="F1909" s="855"/>
    </row>
    <row r="1910" spans="1:6" x14ac:dyDescent="0.2">
      <c r="A1910" s="368"/>
      <c r="B1910"/>
      <c r="C1910"/>
      <c r="D1910"/>
      <c r="E1910"/>
      <c r="F1910" s="855"/>
    </row>
    <row r="1911" spans="1:6" x14ac:dyDescent="0.2">
      <c r="A1911" s="368"/>
      <c r="B1911"/>
      <c r="C1911"/>
      <c r="D1911"/>
      <c r="E1911"/>
      <c r="F1911" s="855"/>
    </row>
    <row r="1912" spans="1:6" x14ac:dyDescent="0.2">
      <c r="A1912" s="368"/>
      <c r="B1912"/>
      <c r="C1912"/>
      <c r="D1912"/>
      <c r="E1912"/>
      <c r="F1912" s="855"/>
    </row>
    <row r="1913" spans="1:6" x14ac:dyDescent="0.2">
      <c r="A1913" s="368"/>
      <c r="B1913"/>
      <c r="C1913"/>
      <c r="D1913"/>
      <c r="E1913"/>
      <c r="F1913" s="855"/>
    </row>
    <row r="1914" spans="1:6" x14ac:dyDescent="0.2">
      <c r="A1914" s="368"/>
      <c r="B1914"/>
      <c r="C1914"/>
      <c r="D1914"/>
      <c r="E1914"/>
      <c r="F1914" s="855"/>
    </row>
    <row r="1915" spans="1:6" x14ac:dyDescent="0.2">
      <c r="A1915" s="368"/>
      <c r="B1915"/>
      <c r="C1915"/>
      <c r="D1915"/>
      <c r="E1915"/>
      <c r="F1915" s="855"/>
    </row>
    <row r="1916" spans="1:6" x14ac:dyDescent="0.2">
      <c r="A1916" s="368"/>
      <c r="B1916"/>
      <c r="C1916"/>
      <c r="D1916"/>
      <c r="E1916"/>
      <c r="F1916" s="855"/>
    </row>
    <row r="1917" spans="1:6" x14ac:dyDescent="0.2">
      <c r="A1917" s="368"/>
      <c r="B1917"/>
      <c r="C1917"/>
      <c r="D1917"/>
      <c r="E1917"/>
      <c r="F1917" s="855"/>
    </row>
    <row r="1918" spans="1:6" x14ac:dyDescent="0.2">
      <c r="A1918" s="368"/>
      <c r="B1918"/>
      <c r="C1918"/>
      <c r="D1918"/>
      <c r="E1918"/>
      <c r="F1918" s="855"/>
    </row>
    <row r="1919" spans="1:6" x14ac:dyDescent="0.2">
      <c r="A1919" s="368"/>
      <c r="B1919"/>
      <c r="C1919"/>
      <c r="D1919"/>
      <c r="E1919"/>
      <c r="F1919" s="855"/>
    </row>
    <row r="1920" spans="1:6" x14ac:dyDescent="0.2">
      <c r="A1920" s="368"/>
      <c r="B1920"/>
      <c r="C1920"/>
      <c r="D1920"/>
      <c r="E1920"/>
      <c r="F1920" s="855"/>
    </row>
    <row r="1921" spans="1:6" x14ac:dyDescent="0.2">
      <c r="A1921" s="368"/>
      <c r="B1921"/>
      <c r="C1921"/>
      <c r="D1921"/>
      <c r="E1921"/>
      <c r="F1921" s="855"/>
    </row>
    <row r="1922" spans="1:6" x14ac:dyDescent="0.2">
      <c r="A1922" s="368"/>
      <c r="B1922"/>
      <c r="C1922"/>
      <c r="D1922"/>
      <c r="E1922"/>
      <c r="F1922" s="855"/>
    </row>
    <row r="1923" spans="1:6" x14ac:dyDescent="0.2">
      <c r="A1923" s="368"/>
      <c r="B1923"/>
      <c r="C1923"/>
      <c r="D1923"/>
      <c r="E1923"/>
      <c r="F1923" s="855"/>
    </row>
    <row r="1924" spans="1:6" x14ac:dyDescent="0.2">
      <c r="A1924" s="368"/>
      <c r="B1924"/>
      <c r="C1924"/>
      <c r="D1924"/>
      <c r="E1924"/>
      <c r="F1924" s="855"/>
    </row>
    <row r="1925" spans="1:6" x14ac:dyDescent="0.2">
      <c r="A1925" s="368"/>
      <c r="B1925"/>
      <c r="C1925"/>
      <c r="D1925"/>
      <c r="E1925"/>
      <c r="F1925" s="855"/>
    </row>
    <row r="1926" spans="1:6" x14ac:dyDescent="0.2">
      <c r="A1926" s="368"/>
      <c r="B1926"/>
      <c r="C1926"/>
      <c r="D1926"/>
      <c r="E1926"/>
      <c r="F1926" s="855"/>
    </row>
    <row r="1927" spans="1:6" x14ac:dyDescent="0.2">
      <c r="A1927" s="368"/>
      <c r="B1927"/>
      <c r="C1927"/>
      <c r="D1927"/>
      <c r="E1927"/>
      <c r="F1927" s="855"/>
    </row>
    <row r="1928" spans="1:6" x14ac:dyDescent="0.2">
      <c r="A1928" s="368"/>
      <c r="B1928"/>
      <c r="C1928"/>
      <c r="D1928"/>
      <c r="E1928"/>
      <c r="F1928" s="855"/>
    </row>
    <row r="1929" spans="1:6" x14ac:dyDescent="0.2">
      <c r="A1929" s="368"/>
      <c r="B1929"/>
      <c r="C1929"/>
      <c r="D1929"/>
      <c r="E1929"/>
      <c r="F1929" s="855"/>
    </row>
    <row r="1930" spans="1:6" x14ac:dyDescent="0.2">
      <c r="A1930" s="368"/>
      <c r="B1930"/>
      <c r="C1930"/>
      <c r="D1930"/>
      <c r="E1930"/>
      <c r="F1930" s="855"/>
    </row>
    <row r="1931" spans="1:6" x14ac:dyDescent="0.2">
      <c r="A1931" s="368"/>
      <c r="B1931"/>
      <c r="C1931"/>
      <c r="D1931"/>
      <c r="E1931"/>
      <c r="F1931" s="855"/>
    </row>
    <row r="1932" spans="1:6" x14ac:dyDescent="0.2">
      <c r="A1932" s="368"/>
      <c r="B1932"/>
      <c r="C1932"/>
      <c r="D1932"/>
      <c r="E1932"/>
      <c r="F1932" s="855"/>
    </row>
    <row r="1933" spans="1:6" x14ac:dyDescent="0.2">
      <c r="A1933" s="368"/>
      <c r="B1933"/>
      <c r="C1933"/>
      <c r="D1933"/>
      <c r="E1933"/>
      <c r="F1933" s="855"/>
    </row>
    <row r="1934" spans="1:6" x14ac:dyDescent="0.2">
      <c r="A1934" s="368"/>
      <c r="B1934"/>
      <c r="C1934"/>
      <c r="D1934"/>
      <c r="E1934"/>
      <c r="F1934" s="855"/>
    </row>
    <row r="1935" spans="1:6" x14ac:dyDescent="0.2">
      <c r="A1935" s="368"/>
      <c r="B1935"/>
      <c r="C1935"/>
      <c r="D1935"/>
      <c r="E1935"/>
      <c r="F1935" s="855"/>
    </row>
    <row r="1936" spans="1:6" x14ac:dyDescent="0.2">
      <c r="A1936" s="368"/>
      <c r="B1936"/>
      <c r="C1936"/>
      <c r="D1936"/>
      <c r="E1936"/>
      <c r="F1936" s="855"/>
    </row>
    <row r="1937" spans="1:6" x14ac:dyDescent="0.2">
      <c r="A1937" s="368"/>
      <c r="B1937"/>
      <c r="C1937"/>
      <c r="D1937"/>
      <c r="E1937"/>
      <c r="F1937" s="855"/>
    </row>
    <row r="1938" spans="1:6" x14ac:dyDescent="0.2">
      <c r="A1938" s="368"/>
      <c r="B1938"/>
      <c r="C1938"/>
      <c r="D1938"/>
      <c r="E1938"/>
      <c r="F1938" s="855"/>
    </row>
    <row r="1939" spans="1:6" x14ac:dyDescent="0.2">
      <c r="A1939" s="368"/>
      <c r="B1939"/>
      <c r="C1939"/>
      <c r="D1939"/>
      <c r="E1939"/>
      <c r="F1939" s="855"/>
    </row>
    <row r="1940" spans="1:6" x14ac:dyDescent="0.2">
      <c r="A1940" s="368"/>
      <c r="B1940"/>
      <c r="C1940"/>
      <c r="D1940"/>
      <c r="E1940"/>
      <c r="F1940" s="855"/>
    </row>
    <row r="1941" spans="1:6" x14ac:dyDescent="0.2">
      <c r="A1941" s="368"/>
      <c r="B1941"/>
      <c r="C1941"/>
      <c r="D1941"/>
      <c r="E1941"/>
      <c r="F1941" s="855"/>
    </row>
    <row r="1942" spans="1:6" x14ac:dyDescent="0.2">
      <c r="A1942" s="368"/>
      <c r="B1942"/>
      <c r="C1942"/>
      <c r="D1942"/>
      <c r="E1942"/>
      <c r="F1942" s="855"/>
    </row>
    <row r="1943" spans="1:6" x14ac:dyDescent="0.2">
      <c r="A1943" s="368"/>
      <c r="B1943"/>
      <c r="C1943"/>
      <c r="D1943"/>
      <c r="E1943"/>
      <c r="F1943" s="855"/>
    </row>
    <row r="1944" spans="1:6" x14ac:dyDescent="0.2">
      <c r="A1944" s="368"/>
      <c r="B1944"/>
      <c r="C1944"/>
      <c r="D1944"/>
      <c r="E1944"/>
      <c r="F1944" s="855"/>
    </row>
    <row r="1945" spans="1:6" x14ac:dyDescent="0.2">
      <c r="A1945" s="368"/>
      <c r="B1945"/>
      <c r="C1945"/>
      <c r="D1945"/>
      <c r="E1945"/>
      <c r="F1945" s="855"/>
    </row>
    <row r="1946" spans="1:6" x14ac:dyDescent="0.2">
      <c r="A1946" s="368"/>
      <c r="B1946"/>
      <c r="C1946"/>
      <c r="D1946"/>
      <c r="E1946"/>
      <c r="F1946" s="855"/>
    </row>
    <row r="1947" spans="1:6" x14ac:dyDescent="0.2">
      <c r="A1947" s="368"/>
      <c r="B1947"/>
      <c r="C1947"/>
      <c r="D1947"/>
      <c r="E1947"/>
      <c r="F1947" s="855"/>
    </row>
    <row r="1948" spans="1:6" x14ac:dyDescent="0.2">
      <c r="A1948" s="368"/>
      <c r="B1948"/>
      <c r="C1948"/>
      <c r="D1948"/>
      <c r="E1948"/>
      <c r="F1948" s="855"/>
    </row>
    <row r="1949" spans="1:6" x14ac:dyDescent="0.2">
      <c r="A1949" s="368"/>
      <c r="B1949"/>
      <c r="C1949"/>
      <c r="D1949"/>
      <c r="E1949"/>
      <c r="F1949" s="855"/>
    </row>
    <row r="1950" spans="1:6" x14ac:dyDescent="0.2">
      <c r="A1950" s="368"/>
      <c r="B1950"/>
      <c r="C1950"/>
      <c r="D1950"/>
      <c r="E1950"/>
      <c r="F1950" s="855"/>
    </row>
    <row r="1951" spans="1:6" x14ac:dyDescent="0.2">
      <c r="A1951" s="368"/>
      <c r="B1951"/>
      <c r="C1951"/>
      <c r="D1951"/>
      <c r="E1951"/>
      <c r="F1951" s="855"/>
    </row>
    <row r="1952" spans="1:6" x14ac:dyDescent="0.2">
      <c r="A1952" s="368"/>
      <c r="B1952"/>
      <c r="C1952"/>
      <c r="D1952"/>
      <c r="E1952"/>
      <c r="F1952" s="855"/>
    </row>
    <row r="1953" spans="1:6" x14ac:dyDescent="0.2">
      <c r="A1953" s="368"/>
      <c r="B1953"/>
      <c r="C1953"/>
      <c r="D1953"/>
      <c r="E1953"/>
      <c r="F1953" s="855"/>
    </row>
    <row r="1954" spans="1:6" x14ac:dyDescent="0.2">
      <c r="A1954" s="368"/>
      <c r="B1954"/>
      <c r="C1954"/>
      <c r="D1954"/>
      <c r="E1954"/>
      <c r="F1954" s="855"/>
    </row>
    <row r="1955" spans="1:6" x14ac:dyDescent="0.2">
      <c r="A1955" s="368"/>
      <c r="B1955"/>
      <c r="C1955"/>
      <c r="D1955"/>
      <c r="E1955"/>
      <c r="F1955" s="855"/>
    </row>
    <row r="1956" spans="1:6" x14ac:dyDescent="0.2">
      <c r="A1956" s="368"/>
      <c r="B1956"/>
      <c r="C1956"/>
      <c r="D1956"/>
      <c r="E1956"/>
      <c r="F1956" s="855"/>
    </row>
    <row r="1957" spans="1:6" x14ac:dyDescent="0.2">
      <c r="A1957" s="368"/>
      <c r="B1957"/>
      <c r="C1957"/>
      <c r="D1957"/>
      <c r="E1957"/>
      <c r="F1957" s="855"/>
    </row>
    <row r="1958" spans="1:6" x14ac:dyDescent="0.2">
      <c r="A1958" s="368"/>
      <c r="B1958"/>
      <c r="C1958"/>
      <c r="D1958"/>
      <c r="E1958"/>
      <c r="F1958" s="855"/>
    </row>
    <row r="1959" spans="1:6" x14ac:dyDescent="0.2">
      <c r="A1959" s="368"/>
      <c r="B1959"/>
      <c r="C1959"/>
      <c r="D1959"/>
      <c r="E1959"/>
      <c r="F1959" s="855"/>
    </row>
    <row r="1960" spans="1:6" x14ac:dyDescent="0.2">
      <c r="A1960" s="368"/>
      <c r="B1960"/>
      <c r="C1960"/>
      <c r="D1960"/>
      <c r="E1960"/>
      <c r="F1960" s="855"/>
    </row>
    <row r="1961" spans="1:6" x14ac:dyDescent="0.2">
      <c r="A1961" s="368"/>
      <c r="B1961"/>
      <c r="C1961"/>
      <c r="D1961"/>
      <c r="E1961"/>
      <c r="F1961" s="855"/>
    </row>
    <row r="1962" spans="1:6" x14ac:dyDescent="0.2">
      <c r="A1962" s="368"/>
      <c r="B1962"/>
      <c r="C1962"/>
      <c r="D1962"/>
      <c r="E1962"/>
      <c r="F1962" s="855"/>
    </row>
    <row r="1963" spans="1:6" x14ac:dyDescent="0.2">
      <c r="A1963" s="368"/>
      <c r="B1963"/>
      <c r="C1963"/>
      <c r="D1963"/>
      <c r="E1963"/>
      <c r="F1963" s="855"/>
    </row>
    <row r="1964" spans="1:6" x14ac:dyDescent="0.2">
      <c r="A1964" s="368"/>
      <c r="B1964"/>
      <c r="C1964"/>
      <c r="D1964"/>
      <c r="E1964"/>
      <c r="F1964" s="855"/>
    </row>
    <row r="1965" spans="1:6" x14ac:dyDescent="0.2">
      <c r="A1965" s="368"/>
      <c r="B1965"/>
      <c r="C1965"/>
      <c r="D1965"/>
      <c r="E1965"/>
      <c r="F1965" s="855"/>
    </row>
    <row r="1966" spans="1:6" x14ac:dyDescent="0.2">
      <c r="A1966" s="368"/>
      <c r="B1966"/>
      <c r="C1966"/>
      <c r="D1966"/>
      <c r="E1966"/>
      <c r="F1966" s="855"/>
    </row>
    <row r="1967" spans="1:6" x14ac:dyDescent="0.2">
      <c r="A1967" s="368"/>
      <c r="B1967"/>
      <c r="C1967"/>
      <c r="D1967"/>
      <c r="E1967"/>
      <c r="F1967" s="855"/>
    </row>
    <row r="1968" spans="1:6" x14ac:dyDescent="0.2">
      <c r="A1968" s="368"/>
      <c r="B1968"/>
      <c r="C1968"/>
      <c r="D1968"/>
      <c r="E1968"/>
      <c r="F1968" s="855"/>
    </row>
    <row r="1969" spans="1:6" x14ac:dyDescent="0.2">
      <c r="A1969" s="368"/>
      <c r="B1969"/>
      <c r="C1969"/>
      <c r="D1969"/>
      <c r="E1969"/>
      <c r="F1969" s="855"/>
    </row>
    <row r="1970" spans="1:6" x14ac:dyDescent="0.2">
      <c r="A1970" s="368"/>
      <c r="B1970"/>
      <c r="C1970"/>
      <c r="D1970"/>
      <c r="E1970"/>
      <c r="F1970" s="855"/>
    </row>
    <row r="1971" spans="1:6" x14ac:dyDescent="0.2">
      <c r="A1971" s="368"/>
      <c r="B1971"/>
      <c r="C1971"/>
      <c r="D1971"/>
      <c r="E1971"/>
      <c r="F1971" s="855"/>
    </row>
    <row r="1972" spans="1:6" x14ac:dyDescent="0.2">
      <c r="A1972" s="368"/>
      <c r="B1972"/>
      <c r="C1972"/>
      <c r="D1972"/>
      <c r="E1972"/>
      <c r="F1972" s="855"/>
    </row>
    <row r="1973" spans="1:6" x14ac:dyDescent="0.2">
      <c r="A1973" s="368"/>
      <c r="B1973"/>
      <c r="C1973"/>
      <c r="D1973"/>
      <c r="E1973"/>
      <c r="F1973" s="855"/>
    </row>
    <row r="1974" spans="1:6" x14ac:dyDescent="0.2">
      <c r="A1974" s="368"/>
      <c r="B1974"/>
      <c r="C1974"/>
      <c r="D1974"/>
      <c r="E1974"/>
      <c r="F1974" s="855"/>
    </row>
    <row r="1975" spans="1:6" x14ac:dyDescent="0.2">
      <c r="A1975" s="368"/>
      <c r="B1975"/>
      <c r="C1975"/>
      <c r="D1975"/>
      <c r="E1975"/>
      <c r="F1975" s="855"/>
    </row>
    <row r="1976" spans="1:6" x14ac:dyDescent="0.2">
      <c r="A1976" s="368"/>
      <c r="B1976"/>
      <c r="C1976"/>
      <c r="D1976"/>
      <c r="E1976"/>
      <c r="F1976" s="855"/>
    </row>
    <row r="1977" spans="1:6" x14ac:dyDescent="0.2">
      <c r="A1977" s="368"/>
      <c r="B1977"/>
      <c r="C1977"/>
      <c r="D1977"/>
      <c r="E1977"/>
      <c r="F1977" s="855"/>
    </row>
    <row r="1978" spans="1:6" x14ac:dyDescent="0.2">
      <c r="A1978" s="368"/>
      <c r="B1978"/>
      <c r="C1978"/>
      <c r="D1978"/>
      <c r="E1978"/>
      <c r="F1978" s="855"/>
    </row>
    <row r="1979" spans="1:6" x14ac:dyDescent="0.2">
      <c r="A1979" s="368"/>
      <c r="B1979"/>
      <c r="C1979"/>
      <c r="D1979"/>
      <c r="E1979"/>
      <c r="F1979" s="855"/>
    </row>
    <row r="1980" spans="1:6" x14ac:dyDescent="0.2">
      <c r="A1980" s="368"/>
      <c r="B1980"/>
      <c r="C1980"/>
      <c r="D1980"/>
      <c r="E1980"/>
      <c r="F1980" s="855"/>
    </row>
    <row r="1981" spans="1:6" x14ac:dyDescent="0.2">
      <c r="A1981" s="368"/>
      <c r="B1981"/>
      <c r="C1981"/>
      <c r="D1981"/>
      <c r="E1981"/>
      <c r="F1981" s="855"/>
    </row>
    <row r="1982" spans="1:6" x14ac:dyDescent="0.2">
      <c r="A1982" s="368"/>
      <c r="B1982"/>
      <c r="C1982"/>
      <c r="D1982"/>
      <c r="E1982"/>
      <c r="F1982" s="855"/>
    </row>
    <row r="1983" spans="1:6" x14ac:dyDescent="0.2">
      <c r="A1983" s="368"/>
      <c r="B1983"/>
      <c r="C1983"/>
      <c r="D1983"/>
      <c r="E1983"/>
      <c r="F1983" s="855"/>
    </row>
    <row r="1984" spans="1:6" x14ac:dyDescent="0.2">
      <c r="A1984" s="368"/>
      <c r="B1984"/>
      <c r="C1984"/>
      <c r="D1984"/>
      <c r="E1984"/>
      <c r="F1984" s="855"/>
    </row>
    <row r="1985" spans="1:6" x14ac:dyDescent="0.2">
      <c r="A1985" s="368"/>
      <c r="B1985"/>
      <c r="C1985"/>
      <c r="D1985"/>
      <c r="E1985"/>
      <c r="F1985" s="855"/>
    </row>
    <row r="1986" spans="1:6" x14ac:dyDescent="0.2">
      <c r="A1986" s="368"/>
      <c r="B1986"/>
      <c r="C1986"/>
      <c r="D1986"/>
      <c r="E1986"/>
      <c r="F1986" s="855"/>
    </row>
    <row r="1987" spans="1:6" x14ac:dyDescent="0.2">
      <c r="A1987" s="368"/>
      <c r="B1987"/>
      <c r="C1987"/>
      <c r="D1987"/>
      <c r="E1987"/>
      <c r="F1987" s="855"/>
    </row>
    <row r="1988" spans="1:6" x14ac:dyDescent="0.2">
      <c r="A1988" s="368"/>
      <c r="B1988"/>
      <c r="C1988"/>
      <c r="D1988"/>
      <c r="E1988"/>
      <c r="F1988" s="855"/>
    </row>
    <row r="1989" spans="1:6" x14ac:dyDescent="0.2">
      <c r="A1989" s="368"/>
      <c r="B1989"/>
      <c r="C1989"/>
      <c r="D1989"/>
      <c r="E1989"/>
      <c r="F1989" s="855"/>
    </row>
    <row r="1990" spans="1:6" x14ac:dyDescent="0.2">
      <c r="A1990" s="368"/>
      <c r="B1990"/>
      <c r="C1990"/>
      <c r="D1990"/>
      <c r="E1990"/>
      <c r="F1990" s="855"/>
    </row>
    <row r="1991" spans="1:6" x14ac:dyDescent="0.2">
      <c r="A1991" s="368"/>
      <c r="B1991"/>
      <c r="C1991"/>
      <c r="D1991"/>
      <c r="E1991"/>
      <c r="F1991" s="855"/>
    </row>
    <row r="1992" spans="1:6" x14ac:dyDescent="0.2">
      <c r="A1992" s="368"/>
      <c r="B1992"/>
      <c r="C1992"/>
      <c r="D1992"/>
      <c r="E1992"/>
      <c r="F1992" s="855"/>
    </row>
    <row r="1993" spans="1:6" x14ac:dyDescent="0.2">
      <c r="A1993" s="368"/>
      <c r="B1993"/>
      <c r="C1993"/>
      <c r="D1993"/>
      <c r="E1993"/>
      <c r="F1993" s="855"/>
    </row>
    <row r="1994" spans="1:6" x14ac:dyDescent="0.2">
      <c r="A1994" s="368"/>
      <c r="B1994"/>
      <c r="C1994"/>
      <c r="D1994"/>
      <c r="E1994"/>
      <c r="F1994" s="855"/>
    </row>
    <row r="1995" spans="1:6" x14ac:dyDescent="0.2">
      <c r="A1995" s="368"/>
      <c r="B1995"/>
      <c r="C1995"/>
      <c r="D1995"/>
      <c r="E1995"/>
      <c r="F1995" s="855"/>
    </row>
    <row r="1996" spans="1:6" x14ac:dyDescent="0.2">
      <c r="A1996" s="368"/>
      <c r="B1996"/>
      <c r="C1996"/>
      <c r="D1996"/>
      <c r="E1996"/>
      <c r="F1996" s="855"/>
    </row>
    <row r="1997" spans="1:6" x14ac:dyDescent="0.2">
      <c r="A1997" s="368"/>
      <c r="B1997"/>
      <c r="C1997"/>
      <c r="D1997"/>
      <c r="E1997"/>
      <c r="F1997" s="855"/>
    </row>
    <row r="1998" spans="1:6" x14ac:dyDescent="0.2">
      <c r="A1998" s="368"/>
      <c r="B1998"/>
      <c r="C1998"/>
      <c r="D1998"/>
      <c r="E1998"/>
      <c r="F1998" s="855"/>
    </row>
    <row r="1999" spans="1:6" x14ac:dyDescent="0.2">
      <c r="A1999" s="368"/>
      <c r="B1999"/>
      <c r="C1999"/>
      <c r="D1999"/>
      <c r="E1999"/>
      <c r="F1999" s="855"/>
    </row>
    <row r="2000" spans="1:6" x14ac:dyDescent="0.2">
      <c r="A2000" s="368"/>
      <c r="B2000"/>
      <c r="C2000"/>
      <c r="D2000"/>
      <c r="E2000"/>
      <c r="F2000" s="855"/>
    </row>
    <row r="2001" spans="1:6" x14ac:dyDescent="0.2">
      <c r="A2001" s="368"/>
      <c r="B2001"/>
      <c r="C2001"/>
      <c r="D2001"/>
      <c r="E2001"/>
      <c r="F2001" s="855"/>
    </row>
    <row r="2002" spans="1:6" x14ac:dyDescent="0.2">
      <c r="A2002" s="368"/>
      <c r="B2002"/>
      <c r="C2002"/>
      <c r="D2002"/>
      <c r="E2002"/>
      <c r="F2002" s="855"/>
    </row>
    <row r="2003" spans="1:6" x14ac:dyDescent="0.2">
      <c r="A2003" s="368"/>
      <c r="B2003"/>
      <c r="C2003"/>
      <c r="D2003"/>
      <c r="E2003"/>
      <c r="F2003" s="855"/>
    </row>
    <row r="2004" spans="1:6" x14ac:dyDescent="0.2">
      <c r="A2004" s="368"/>
      <c r="B2004"/>
      <c r="C2004"/>
      <c r="D2004"/>
      <c r="E2004"/>
      <c r="F2004" s="855"/>
    </row>
    <row r="2005" spans="1:6" x14ac:dyDescent="0.2">
      <c r="A2005" s="368"/>
      <c r="B2005"/>
      <c r="C2005"/>
      <c r="D2005"/>
      <c r="E2005"/>
      <c r="F2005" s="855"/>
    </row>
    <row r="2006" spans="1:6" x14ac:dyDescent="0.2">
      <c r="A2006" s="368"/>
      <c r="B2006"/>
      <c r="C2006"/>
      <c r="D2006"/>
      <c r="E2006"/>
      <c r="F2006" s="855"/>
    </row>
    <row r="2007" spans="1:6" x14ac:dyDescent="0.2">
      <c r="A2007" s="368"/>
      <c r="B2007"/>
      <c r="C2007"/>
      <c r="D2007"/>
      <c r="E2007"/>
      <c r="F2007" s="855"/>
    </row>
    <row r="2008" spans="1:6" x14ac:dyDescent="0.2">
      <c r="A2008" s="368"/>
      <c r="B2008"/>
      <c r="C2008"/>
      <c r="D2008"/>
      <c r="E2008"/>
      <c r="F2008" s="855"/>
    </row>
    <row r="2009" spans="1:6" x14ac:dyDescent="0.2">
      <c r="A2009" s="368"/>
      <c r="B2009"/>
      <c r="C2009"/>
      <c r="D2009"/>
      <c r="E2009"/>
      <c r="F2009" s="855"/>
    </row>
    <row r="2010" spans="1:6" x14ac:dyDescent="0.2">
      <c r="A2010" s="368"/>
      <c r="B2010"/>
      <c r="C2010"/>
      <c r="D2010"/>
      <c r="E2010"/>
      <c r="F2010" s="855"/>
    </row>
    <row r="2011" spans="1:6" x14ac:dyDescent="0.2">
      <c r="A2011" s="368"/>
      <c r="B2011"/>
      <c r="C2011"/>
      <c r="D2011"/>
      <c r="E2011"/>
      <c r="F2011" s="855"/>
    </row>
    <row r="2012" spans="1:6" x14ac:dyDescent="0.2">
      <c r="A2012" s="368"/>
      <c r="B2012"/>
      <c r="C2012"/>
      <c r="D2012"/>
      <c r="E2012"/>
      <c r="F2012" s="855"/>
    </row>
    <row r="2013" spans="1:6" x14ac:dyDescent="0.2">
      <c r="A2013" s="368"/>
      <c r="B2013"/>
      <c r="C2013"/>
      <c r="D2013"/>
      <c r="E2013"/>
      <c r="F2013" s="855"/>
    </row>
    <row r="2014" spans="1:6" x14ac:dyDescent="0.2">
      <c r="A2014" s="368"/>
      <c r="B2014"/>
      <c r="C2014"/>
      <c r="D2014"/>
      <c r="E2014"/>
      <c r="F2014" s="855"/>
    </row>
    <row r="2015" spans="1:6" x14ac:dyDescent="0.2">
      <c r="A2015" s="368"/>
      <c r="B2015"/>
      <c r="C2015"/>
      <c r="D2015"/>
      <c r="E2015"/>
      <c r="F2015" s="855"/>
    </row>
    <row r="2016" spans="1:6" x14ac:dyDescent="0.2">
      <c r="A2016" s="368"/>
      <c r="B2016"/>
      <c r="C2016"/>
      <c r="D2016"/>
      <c r="E2016"/>
      <c r="F2016" s="855"/>
    </row>
    <row r="2017" spans="1:6" x14ac:dyDescent="0.2">
      <c r="A2017" s="368"/>
      <c r="B2017"/>
      <c r="C2017"/>
      <c r="D2017"/>
      <c r="E2017"/>
      <c r="F2017" s="855"/>
    </row>
    <row r="2018" spans="1:6" x14ac:dyDescent="0.2">
      <c r="A2018" s="368"/>
      <c r="B2018"/>
      <c r="C2018"/>
      <c r="D2018"/>
      <c r="E2018"/>
      <c r="F2018" s="855"/>
    </row>
    <row r="2019" spans="1:6" x14ac:dyDescent="0.2">
      <c r="A2019" s="368"/>
      <c r="B2019"/>
      <c r="C2019"/>
      <c r="D2019"/>
      <c r="E2019"/>
      <c r="F2019" s="855"/>
    </row>
    <row r="2020" spans="1:6" x14ac:dyDescent="0.2">
      <c r="A2020" s="368"/>
      <c r="B2020"/>
      <c r="C2020"/>
      <c r="D2020"/>
      <c r="E2020"/>
      <c r="F2020" s="855"/>
    </row>
    <row r="2021" spans="1:6" x14ac:dyDescent="0.2">
      <c r="A2021" s="368"/>
      <c r="B2021"/>
      <c r="C2021"/>
      <c r="D2021"/>
      <c r="E2021"/>
      <c r="F2021" s="855"/>
    </row>
    <row r="2022" spans="1:6" x14ac:dyDescent="0.2">
      <c r="A2022" s="368"/>
      <c r="B2022"/>
      <c r="C2022"/>
      <c r="D2022"/>
      <c r="E2022"/>
      <c r="F2022" s="855"/>
    </row>
    <row r="2023" spans="1:6" x14ac:dyDescent="0.2">
      <c r="A2023" s="368"/>
      <c r="B2023"/>
      <c r="C2023"/>
      <c r="D2023"/>
      <c r="E2023"/>
      <c r="F2023" s="855"/>
    </row>
    <row r="2024" spans="1:6" x14ac:dyDescent="0.2">
      <c r="A2024" s="368"/>
      <c r="B2024"/>
      <c r="C2024"/>
      <c r="D2024"/>
      <c r="E2024"/>
      <c r="F2024" s="855"/>
    </row>
    <row r="2025" spans="1:6" x14ac:dyDescent="0.2">
      <c r="A2025" s="368"/>
      <c r="B2025"/>
      <c r="C2025"/>
      <c r="D2025"/>
      <c r="E2025"/>
      <c r="F2025" s="855"/>
    </row>
    <row r="2026" spans="1:6" x14ac:dyDescent="0.2">
      <c r="A2026" s="368"/>
      <c r="B2026"/>
      <c r="C2026"/>
      <c r="D2026"/>
      <c r="E2026"/>
      <c r="F2026" s="855"/>
    </row>
    <row r="2027" spans="1:6" x14ac:dyDescent="0.2">
      <c r="A2027" s="368"/>
      <c r="B2027"/>
      <c r="C2027"/>
      <c r="D2027"/>
      <c r="E2027"/>
      <c r="F2027" s="855"/>
    </row>
    <row r="2028" spans="1:6" x14ac:dyDescent="0.2">
      <c r="A2028" s="368"/>
      <c r="B2028"/>
      <c r="C2028"/>
      <c r="D2028"/>
      <c r="E2028"/>
      <c r="F2028" s="855"/>
    </row>
    <row r="2029" spans="1:6" x14ac:dyDescent="0.2">
      <c r="A2029" s="368"/>
      <c r="B2029"/>
      <c r="C2029"/>
      <c r="D2029"/>
      <c r="E2029"/>
      <c r="F2029" s="855"/>
    </row>
    <row r="2030" spans="1:6" x14ac:dyDescent="0.2">
      <c r="A2030" s="368"/>
      <c r="B2030"/>
      <c r="C2030"/>
      <c r="D2030"/>
      <c r="E2030"/>
      <c r="F2030" s="855"/>
    </row>
    <row r="2031" spans="1:6" x14ac:dyDescent="0.2">
      <c r="A2031" s="368"/>
      <c r="B2031"/>
      <c r="C2031"/>
      <c r="D2031"/>
      <c r="E2031"/>
      <c r="F2031" s="855"/>
    </row>
    <row r="2032" spans="1:6" x14ac:dyDescent="0.2">
      <c r="A2032" s="368"/>
      <c r="B2032"/>
      <c r="C2032"/>
      <c r="D2032"/>
      <c r="E2032"/>
      <c r="F2032" s="855"/>
    </row>
    <row r="2033" spans="1:6" x14ac:dyDescent="0.2">
      <c r="A2033" s="368"/>
      <c r="B2033"/>
      <c r="C2033"/>
      <c r="D2033"/>
      <c r="E2033"/>
      <c r="F2033" s="855"/>
    </row>
    <row r="2034" spans="1:6" x14ac:dyDescent="0.2">
      <c r="A2034" s="368"/>
      <c r="B2034"/>
      <c r="C2034"/>
      <c r="D2034"/>
      <c r="E2034"/>
      <c r="F2034" s="855"/>
    </row>
    <row r="2035" spans="1:6" x14ac:dyDescent="0.2">
      <c r="A2035" s="368"/>
      <c r="B2035"/>
      <c r="C2035"/>
      <c r="D2035"/>
      <c r="E2035"/>
      <c r="F2035" s="855"/>
    </row>
    <row r="2036" spans="1:6" x14ac:dyDescent="0.2">
      <c r="A2036" s="368"/>
      <c r="B2036"/>
      <c r="C2036"/>
      <c r="D2036"/>
      <c r="E2036"/>
      <c r="F2036" s="855"/>
    </row>
    <row r="2037" spans="1:6" x14ac:dyDescent="0.2">
      <c r="A2037" s="368"/>
      <c r="B2037"/>
      <c r="C2037"/>
      <c r="D2037"/>
      <c r="E2037"/>
      <c r="F2037" s="855"/>
    </row>
    <row r="2038" spans="1:6" x14ac:dyDescent="0.2">
      <c r="A2038" s="368"/>
      <c r="B2038"/>
      <c r="C2038"/>
      <c r="D2038"/>
      <c r="E2038"/>
      <c r="F2038" s="855"/>
    </row>
    <row r="2039" spans="1:6" x14ac:dyDescent="0.2">
      <c r="A2039" s="368"/>
      <c r="B2039"/>
      <c r="C2039"/>
      <c r="D2039"/>
      <c r="E2039"/>
      <c r="F2039" s="855"/>
    </row>
    <row r="2040" spans="1:6" x14ac:dyDescent="0.2">
      <c r="A2040" s="368"/>
      <c r="B2040"/>
      <c r="C2040"/>
      <c r="D2040"/>
      <c r="E2040"/>
      <c r="F2040" s="855"/>
    </row>
    <row r="2041" spans="1:6" x14ac:dyDescent="0.2">
      <c r="A2041" s="368"/>
      <c r="B2041"/>
      <c r="C2041"/>
      <c r="D2041"/>
      <c r="E2041"/>
      <c r="F2041" s="855"/>
    </row>
    <row r="2042" spans="1:6" x14ac:dyDescent="0.2">
      <c r="A2042" s="368"/>
      <c r="B2042"/>
      <c r="C2042"/>
      <c r="D2042"/>
      <c r="E2042"/>
      <c r="F2042" s="855"/>
    </row>
    <row r="2043" spans="1:6" x14ac:dyDescent="0.2">
      <c r="A2043" s="368"/>
      <c r="B2043"/>
      <c r="C2043"/>
      <c r="D2043"/>
      <c r="E2043"/>
      <c r="F2043" s="855"/>
    </row>
    <row r="2044" spans="1:6" x14ac:dyDescent="0.2">
      <c r="A2044" s="368"/>
      <c r="B2044"/>
      <c r="C2044"/>
      <c r="D2044"/>
      <c r="E2044"/>
      <c r="F2044" s="855"/>
    </row>
    <row r="2045" spans="1:6" x14ac:dyDescent="0.2">
      <c r="A2045" s="368"/>
      <c r="B2045"/>
      <c r="C2045"/>
      <c r="D2045"/>
      <c r="E2045"/>
      <c r="F2045" s="855"/>
    </row>
    <row r="2046" spans="1:6" x14ac:dyDescent="0.2">
      <c r="A2046" s="368"/>
      <c r="B2046"/>
      <c r="C2046"/>
      <c r="D2046"/>
      <c r="E2046"/>
      <c r="F2046" s="855"/>
    </row>
    <row r="2047" spans="1:6" x14ac:dyDescent="0.2">
      <c r="A2047" s="368"/>
      <c r="B2047"/>
      <c r="C2047"/>
      <c r="D2047"/>
      <c r="E2047"/>
      <c r="F2047" s="855"/>
    </row>
    <row r="2048" spans="1:6" x14ac:dyDescent="0.2">
      <c r="A2048" s="368"/>
      <c r="B2048"/>
      <c r="C2048"/>
      <c r="D2048"/>
      <c r="E2048"/>
      <c r="F2048" s="855"/>
    </row>
    <row r="2049" spans="1:6" x14ac:dyDescent="0.2">
      <c r="A2049" s="368"/>
      <c r="B2049"/>
      <c r="C2049"/>
      <c r="D2049"/>
      <c r="E2049"/>
      <c r="F2049" s="855"/>
    </row>
    <row r="2050" spans="1:6" x14ac:dyDescent="0.2">
      <c r="A2050" s="368"/>
      <c r="B2050"/>
      <c r="C2050"/>
      <c r="D2050"/>
      <c r="E2050"/>
      <c r="F2050" s="855"/>
    </row>
    <row r="2051" spans="1:6" x14ac:dyDescent="0.2">
      <c r="A2051" s="368"/>
      <c r="B2051"/>
      <c r="C2051"/>
      <c r="D2051"/>
      <c r="E2051"/>
      <c r="F2051" s="855"/>
    </row>
    <row r="2052" spans="1:6" x14ac:dyDescent="0.2">
      <c r="A2052" s="368"/>
      <c r="B2052"/>
      <c r="C2052"/>
      <c r="D2052"/>
      <c r="E2052"/>
      <c r="F2052" s="855"/>
    </row>
    <row r="2053" spans="1:6" x14ac:dyDescent="0.2">
      <c r="A2053" s="368"/>
      <c r="B2053"/>
      <c r="C2053"/>
      <c r="D2053"/>
      <c r="E2053"/>
      <c r="F2053" s="855"/>
    </row>
    <row r="2054" spans="1:6" x14ac:dyDescent="0.2">
      <c r="A2054" s="368"/>
      <c r="B2054"/>
      <c r="C2054"/>
      <c r="D2054"/>
      <c r="E2054"/>
      <c r="F2054" s="855"/>
    </row>
    <row r="2055" spans="1:6" x14ac:dyDescent="0.2">
      <c r="A2055" s="368"/>
      <c r="B2055"/>
      <c r="C2055"/>
      <c r="D2055"/>
      <c r="E2055"/>
      <c r="F2055" s="855"/>
    </row>
    <row r="2056" spans="1:6" x14ac:dyDescent="0.2">
      <c r="A2056" s="368"/>
      <c r="B2056"/>
      <c r="C2056"/>
      <c r="D2056"/>
      <c r="E2056"/>
      <c r="F2056" s="855"/>
    </row>
    <row r="2057" spans="1:6" x14ac:dyDescent="0.2">
      <c r="A2057" s="368"/>
      <c r="B2057"/>
      <c r="C2057"/>
      <c r="D2057"/>
      <c r="E2057"/>
      <c r="F2057" s="855"/>
    </row>
    <row r="2058" spans="1:6" x14ac:dyDescent="0.2">
      <c r="A2058" s="368"/>
      <c r="B2058"/>
      <c r="C2058"/>
      <c r="D2058"/>
      <c r="E2058"/>
      <c r="F2058" s="855"/>
    </row>
    <row r="2059" spans="1:6" x14ac:dyDescent="0.2">
      <c r="A2059" s="368"/>
      <c r="B2059"/>
      <c r="C2059"/>
      <c r="D2059"/>
      <c r="E2059"/>
      <c r="F2059" s="855"/>
    </row>
    <row r="2060" spans="1:6" x14ac:dyDescent="0.2">
      <c r="A2060" s="368"/>
      <c r="B2060"/>
      <c r="C2060"/>
      <c r="D2060"/>
      <c r="E2060"/>
      <c r="F2060" s="855"/>
    </row>
    <row r="2061" spans="1:6" x14ac:dyDescent="0.2">
      <c r="A2061" s="368"/>
      <c r="B2061"/>
      <c r="C2061"/>
      <c r="D2061"/>
      <c r="E2061"/>
      <c r="F2061" s="855"/>
    </row>
    <row r="2062" spans="1:6" x14ac:dyDescent="0.2">
      <c r="A2062" s="368"/>
      <c r="B2062"/>
      <c r="C2062"/>
      <c r="D2062"/>
      <c r="E2062"/>
      <c r="F2062" s="855"/>
    </row>
    <row r="2063" spans="1:6" x14ac:dyDescent="0.2">
      <c r="A2063" s="368"/>
      <c r="B2063"/>
      <c r="C2063"/>
      <c r="D2063"/>
      <c r="E2063"/>
      <c r="F2063" s="855"/>
    </row>
    <row r="2064" spans="1:6" x14ac:dyDescent="0.2">
      <c r="A2064" s="368"/>
      <c r="B2064"/>
      <c r="C2064"/>
      <c r="D2064"/>
      <c r="E2064"/>
      <c r="F2064" s="855"/>
    </row>
    <row r="2065" spans="1:6" x14ac:dyDescent="0.2">
      <c r="A2065" s="368"/>
      <c r="B2065"/>
      <c r="C2065"/>
      <c r="D2065"/>
      <c r="E2065"/>
      <c r="F2065" s="855"/>
    </row>
    <row r="2066" spans="1:6" x14ac:dyDescent="0.2">
      <c r="A2066" s="368"/>
      <c r="B2066"/>
      <c r="C2066"/>
      <c r="D2066"/>
      <c r="E2066"/>
      <c r="F2066" s="855"/>
    </row>
    <row r="2067" spans="1:6" x14ac:dyDescent="0.2">
      <c r="A2067" s="368"/>
      <c r="B2067"/>
      <c r="C2067"/>
      <c r="D2067"/>
      <c r="E2067"/>
      <c r="F2067" s="855"/>
    </row>
    <row r="2068" spans="1:6" x14ac:dyDescent="0.2">
      <c r="A2068" s="368"/>
      <c r="B2068"/>
      <c r="C2068"/>
      <c r="D2068"/>
      <c r="E2068"/>
      <c r="F2068" s="855"/>
    </row>
    <row r="2069" spans="1:6" x14ac:dyDescent="0.2">
      <c r="A2069" s="368"/>
      <c r="B2069"/>
      <c r="C2069"/>
      <c r="D2069"/>
      <c r="E2069"/>
      <c r="F2069" s="855"/>
    </row>
    <row r="2070" spans="1:6" x14ac:dyDescent="0.2">
      <c r="A2070" s="368"/>
      <c r="B2070"/>
      <c r="C2070"/>
      <c r="D2070"/>
      <c r="E2070"/>
      <c r="F2070" s="855"/>
    </row>
    <row r="2071" spans="1:6" x14ac:dyDescent="0.2">
      <c r="A2071" s="368"/>
      <c r="B2071"/>
      <c r="C2071"/>
      <c r="D2071"/>
      <c r="E2071"/>
      <c r="F2071" s="855"/>
    </row>
    <row r="2072" spans="1:6" x14ac:dyDescent="0.2">
      <c r="A2072" s="368"/>
      <c r="B2072"/>
      <c r="C2072"/>
      <c r="D2072"/>
      <c r="E2072"/>
      <c r="F2072" s="855"/>
    </row>
    <row r="2073" spans="1:6" x14ac:dyDescent="0.2">
      <c r="A2073" s="368"/>
      <c r="B2073"/>
      <c r="C2073"/>
      <c r="D2073"/>
      <c r="E2073"/>
      <c r="F2073" s="855"/>
    </row>
    <row r="2074" spans="1:6" x14ac:dyDescent="0.2">
      <c r="A2074" s="368"/>
      <c r="B2074"/>
      <c r="C2074"/>
      <c r="D2074"/>
      <c r="E2074"/>
      <c r="F2074" s="855"/>
    </row>
    <row r="2075" spans="1:6" x14ac:dyDescent="0.2">
      <c r="A2075" s="368"/>
      <c r="B2075"/>
      <c r="C2075"/>
      <c r="D2075"/>
      <c r="E2075"/>
      <c r="F2075" s="855"/>
    </row>
    <row r="2076" spans="1:6" x14ac:dyDescent="0.2">
      <c r="A2076" s="368"/>
      <c r="B2076"/>
      <c r="C2076"/>
      <c r="D2076"/>
      <c r="E2076"/>
      <c r="F2076" s="855"/>
    </row>
    <row r="2077" spans="1:6" x14ac:dyDescent="0.2">
      <c r="A2077" s="368"/>
      <c r="B2077"/>
      <c r="C2077"/>
      <c r="D2077"/>
      <c r="E2077"/>
      <c r="F2077" s="855"/>
    </row>
    <row r="2078" spans="1:6" x14ac:dyDescent="0.2">
      <c r="A2078" s="368"/>
      <c r="B2078"/>
      <c r="C2078"/>
      <c r="D2078"/>
      <c r="E2078"/>
      <c r="F2078" s="855"/>
    </row>
    <row r="2079" spans="1:6" x14ac:dyDescent="0.2">
      <c r="A2079" s="368"/>
      <c r="B2079"/>
      <c r="C2079"/>
      <c r="D2079"/>
      <c r="E2079"/>
      <c r="F2079" s="855"/>
    </row>
    <row r="2080" spans="1:6" x14ac:dyDescent="0.2">
      <c r="A2080" s="368"/>
      <c r="B2080"/>
      <c r="C2080"/>
      <c r="D2080"/>
      <c r="E2080"/>
      <c r="F2080" s="855"/>
    </row>
    <row r="2081" spans="1:6" x14ac:dyDescent="0.2">
      <c r="A2081" s="368"/>
      <c r="B2081"/>
      <c r="C2081"/>
      <c r="D2081"/>
      <c r="E2081"/>
      <c r="F2081" s="855"/>
    </row>
    <row r="2082" spans="1:6" x14ac:dyDescent="0.2">
      <c r="A2082" s="368"/>
      <c r="B2082"/>
      <c r="C2082"/>
      <c r="D2082"/>
      <c r="E2082"/>
      <c r="F2082" s="855"/>
    </row>
    <row r="2083" spans="1:6" x14ac:dyDescent="0.2">
      <c r="A2083" s="368"/>
      <c r="B2083"/>
      <c r="C2083"/>
      <c r="D2083"/>
      <c r="E2083"/>
      <c r="F2083" s="855"/>
    </row>
    <row r="2084" spans="1:6" x14ac:dyDescent="0.2">
      <c r="A2084" s="368"/>
      <c r="B2084"/>
      <c r="C2084"/>
      <c r="D2084"/>
      <c r="E2084"/>
      <c r="F2084" s="855"/>
    </row>
    <row r="2085" spans="1:6" x14ac:dyDescent="0.2">
      <c r="A2085" s="368"/>
      <c r="B2085"/>
      <c r="C2085"/>
      <c r="D2085"/>
      <c r="E2085"/>
      <c r="F2085" s="855"/>
    </row>
    <row r="2086" spans="1:6" x14ac:dyDescent="0.2">
      <c r="A2086" s="368"/>
      <c r="B2086"/>
      <c r="C2086"/>
      <c r="D2086"/>
      <c r="E2086"/>
      <c r="F2086" s="855"/>
    </row>
    <row r="2087" spans="1:6" x14ac:dyDescent="0.2">
      <c r="A2087" s="368"/>
      <c r="B2087"/>
      <c r="C2087"/>
      <c r="D2087"/>
      <c r="E2087"/>
      <c r="F2087" s="855"/>
    </row>
    <row r="2088" spans="1:6" x14ac:dyDescent="0.2">
      <c r="A2088" s="368"/>
      <c r="B2088"/>
      <c r="C2088"/>
      <c r="D2088"/>
      <c r="E2088"/>
      <c r="F2088" s="855"/>
    </row>
    <row r="2089" spans="1:6" x14ac:dyDescent="0.2">
      <c r="A2089" s="368"/>
      <c r="B2089"/>
      <c r="C2089"/>
      <c r="D2089"/>
      <c r="E2089"/>
      <c r="F2089" s="855"/>
    </row>
    <row r="2090" spans="1:6" x14ac:dyDescent="0.2">
      <c r="A2090" s="368"/>
      <c r="B2090"/>
      <c r="C2090"/>
      <c r="D2090"/>
      <c r="E2090"/>
      <c r="F2090" s="855"/>
    </row>
    <row r="2091" spans="1:6" x14ac:dyDescent="0.2">
      <c r="A2091" s="368"/>
      <c r="B2091"/>
      <c r="C2091"/>
      <c r="D2091"/>
      <c r="E2091"/>
      <c r="F2091" s="855"/>
    </row>
    <row r="2092" spans="1:6" x14ac:dyDescent="0.2">
      <c r="A2092" s="368"/>
      <c r="B2092"/>
      <c r="C2092"/>
      <c r="D2092"/>
      <c r="E2092"/>
      <c r="F2092" s="855"/>
    </row>
    <row r="2093" spans="1:6" x14ac:dyDescent="0.2">
      <c r="A2093" s="368"/>
      <c r="B2093"/>
      <c r="C2093"/>
      <c r="D2093"/>
      <c r="E2093"/>
      <c r="F2093" s="855"/>
    </row>
    <row r="2094" spans="1:6" x14ac:dyDescent="0.2">
      <c r="A2094" s="368"/>
      <c r="B2094"/>
      <c r="C2094"/>
      <c r="D2094"/>
      <c r="E2094"/>
      <c r="F2094" s="855"/>
    </row>
    <row r="2095" spans="1:6" x14ac:dyDescent="0.2">
      <c r="A2095" s="368"/>
      <c r="B2095"/>
      <c r="C2095"/>
      <c r="D2095"/>
      <c r="E2095"/>
      <c r="F2095" s="855"/>
    </row>
    <row r="2096" spans="1:6" x14ac:dyDescent="0.2">
      <c r="A2096" s="368"/>
      <c r="B2096"/>
      <c r="C2096"/>
      <c r="D2096"/>
      <c r="E2096"/>
      <c r="F2096" s="855"/>
    </row>
    <row r="2097" spans="1:6" x14ac:dyDescent="0.2">
      <c r="A2097" s="368"/>
      <c r="B2097"/>
      <c r="C2097"/>
      <c r="D2097"/>
      <c r="E2097"/>
      <c r="F2097" s="855"/>
    </row>
    <row r="2098" spans="1:6" x14ac:dyDescent="0.2">
      <c r="A2098" s="368"/>
      <c r="B2098"/>
      <c r="C2098"/>
      <c r="D2098"/>
      <c r="E2098"/>
      <c r="F2098" s="855"/>
    </row>
    <row r="2099" spans="1:6" x14ac:dyDescent="0.2">
      <c r="A2099" s="368"/>
      <c r="B2099"/>
      <c r="C2099"/>
      <c r="D2099"/>
      <c r="E2099"/>
      <c r="F2099" s="855"/>
    </row>
    <row r="2100" spans="1:6" x14ac:dyDescent="0.2">
      <c r="A2100" s="368"/>
      <c r="B2100"/>
      <c r="C2100"/>
      <c r="D2100"/>
      <c r="E2100"/>
      <c r="F2100" s="855"/>
    </row>
    <row r="2101" spans="1:6" x14ac:dyDescent="0.2">
      <c r="A2101" s="368"/>
      <c r="B2101"/>
      <c r="C2101"/>
      <c r="D2101"/>
      <c r="E2101"/>
      <c r="F2101" s="855"/>
    </row>
    <row r="2102" spans="1:6" x14ac:dyDescent="0.2">
      <c r="A2102" s="368"/>
      <c r="B2102"/>
      <c r="C2102"/>
      <c r="D2102"/>
      <c r="E2102"/>
      <c r="F2102" s="855"/>
    </row>
    <row r="2103" spans="1:6" x14ac:dyDescent="0.2">
      <c r="A2103" s="368"/>
      <c r="B2103"/>
      <c r="C2103"/>
      <c r="D2103"/>
      <c r="E2103"/>
      <c r="F2103" s="855"/>
    </row>
    <row r="2104" spans="1:6" x14ac:dyDescent="0.2">
      <c r="A2104" s="368"/>
      <c r="B2104"/>
      <c r="C2104"/>
      <c r="D2104"/>
      <c r="E2104"/>
      <c r="F2104" s="855"/>
    </row>
    <row r="2105" spans="1:6" x14ac:dyDescent="0.2">
      <c r="A2105" s="368"/>
      <c r="B2105"/>
      <c r="C2105"/>
      <c r="D2105"/>
      <c r="E2105"/>
      <c r="F2105" s="855"/>
    </row>
    <row r="2106" spans="1:6" x14ac:dyDescent="0.2">
      <c r="A2106" s="368"/>
      <c r="B2106"/>
      <c r="C2106"/>
      <c r="D2106"/>
      <c r="E2106"/>
      <c r="F2106" s="855"/>
    </row>
    <row r="2107" spans="1:6" x14ac:dyDescent="0.2">
      <c r="A2107" s="368"/>
      <c r="B2107"/>
      <c r="C2107"/>
      <c r="D2107"/>
      <c r="E2107"/>
      <c r="F2107" s="855"/>
    </row>
    <row r="2108" spans="1:6" x14ac:dyDescent="0.2">
      <c r="A2108" s="368"/>
      <c r="B2108"/>
      <c r="C2108"/>
      <c r="D2108"/>
      <c r="E2108"/>
      <c r="F2108" s="855"/>
    </row>
    <row r="2109" spans="1:6" x14ac:dyDescent="0.2">
      <c r="A2109" s="368"/>
      <c r="B2109"/>
      <c r="C2109"/>
      <c r="D2109"/>
      <c r="E2109"/>
      <c r="F2109" s="855"/>
    </row>
    <row r="2110" spans="1:6" x14ac:dyDescent="0.2">
      <c r="A2110" s="368"/>
      <c r="B2110"/>
      <c r="C2110"/>
      <c r="D2110"/>
      <c r="E2110"/>
      <c r="F2110" s="855"/>
    </row>
    <row r="2111" spans="1:6" x14ac:dyDescent="0.2">
      <c r="A2111" s="368"/>
      <c r="B2111"/>
      <c r="C2111"/>
      <c r="D2111"/>
      <c r="E2111"/>
      <c r="F2111" s="855"/>
    </row>
    <row r="2112" spans="1:6" x14ac:dyDescent="0.2">
      <c r="A2112" s="368"/>
      <c r="B2112"/>
      <c r="C2112"/>
      <c r="D2112"/>
      <c r="E2112"/>
      <c r="F2112" s="855"/>
    </row>
    <row r="2113" spans="1:6" x14ac:dyDescent="0.2">
      <c r="A2113" s="368"/>
      <c r="B2113"/>
      <c r="C2113"/>
      <c r="D2113"/>
      <c r="E2113"/>
      <c r="F2113" s="855"/>
    </row>
    <row r="2114" spans="1:6" x14ac:dyDescent="0.2">
      <c r="A2114" s="368"/>
      <c r="B2114"/>
      <c r="C2114"/>
      <c r="D2114"/>
      <c r="E2114"/>
      <c r="F2114" s="855"/>
    </row>
    <row r="2115" spans="1:6" x14ac:dyDescent="0.2">
      <c r="A2115" s="368"/>
      <c r="B2115"/>
      <c r="C2115"/>
      <c r="D2115"/>
      <c r="E2115"/>
      <c r="F2115" s="855"/>
    </row>
    <row r="2116" spans="1:6" x14ac:dyDescent="0.2">
      <c r="A2116" s="368"/>
      <c r="B2116"/>
      <c r="C2116"/>
      <c r="D2116"/>
      <c r="E2116"/>
      <c r="F2116" s="855"/>
    </row>
    <row r="2117" spans="1:6" x14ac:dyDescent="0.2">
      <c r="A2117" s="368"/>
      <c r="B2117"/>
      <c r="C2117"/>
      <c r="D2117"/>
      <c r="E2117"/>
      <c r="F2117" s="855"/>
    </row>
    <row r="2118" spans="1:6" x14ac:dyDescent="0.2">
      <c r="A2118" s="368"/>
      <c r="B2118"/>
      <c r="C2118"/>
      <c r="D2118"/>
      <c r="E2118"/>
      <c r="F2118" s="855"/>
    </row>
    <row r="2119" spans="1:6" x14ac:dyDescent="0.2">
      <c r="A2119" s="368"/>
      <c r="B2119"/>
      <c r="C2119"/>
      <c r="D2119"/>
      <c r="E2119"/>
      <c r="F2119" s="855"/>
    </row>
    <row r="2120" spans="1:6" x14ac:dyDescent="0.2">
      <c r="A2120" s="368"/>
      <c r="B2120"/>
      <c r="C2120"/>
      <c r="D2120"/>
      <c r="E2120"/>
      <c r="F2120" s="855"/>
    </row>
    <row r="2121" spans="1:6" x14ac:dyDescent="0.2">
      <c r="A2121" s="368"/>
      <c r="B2121"/>
      <c r="C2121"/>
      <c r="D2121"/>
      <c r="E2121"/>
      <c r="F2121" s="855"/>
    </row>
    <row r="2122" spans="1:6" x14ac:dyDescent="0.2">
      <c r="A2122" s="368"/>
      <c r="B2122"/>
      <c r="C2122"/>
      <c r="D2122"/>
      <c r="E2122"/>
      <c r="F2122" s="855"/>
    </row>
    <row r="2123" spans="1:6" x14ac:dyDescent="0.2">
      <c r="A2123" s="368"/>
      <c r="B2123"/>
      <c r="C2123"/>
      <c r="D2123"/>
      <c r="E2123"/>
      <c r="F2123" s="855"/>
    </row>
    <row r="2124" spans="1:6" x14ac:dyDescent="0.2">
      <c r="A2124" s="368"/>
      <c r="B2124"/>
      <c r="C2124"/>
      <c r="D2124"/>
      <c r="E2124"/>
      <c r="F2124" s="855"/>
    </row>
    <row r="2125" spans="1:6" x14ac:dyDescent="0.2">
      <c r="A2125" s="368"/>
      <c r="B2125"/>
      <c r="C2125"/>
      <c r="D2125"/>
      <c r="E2125"/>
      <c r="F2125" s="855"/>
    </row>
    <row r="2126" spans="1:6" x14ac:dyDescent="0.2">
      <c r="A2126" s="368"/>
      <c r="B2126"/>
      <c r="C2126"/>
      <c r="D2126"/>
      <c r="E2126"/>
      <c r="F2126" s="855"/>
    </row>
    <row r="2127" spans="1:6" x14ac:dyDescent="0.2">
      <c r="A2127" s="368"/>
      <c r="B2127"/>
      <c r="C2127"/>
      <c r="D2127"/>
      <c r="E2127"/>
      <c r="F2127" s="855"/>
    </row>
    <row r="2128" spans="1:6" x14ac:dyDescent="0.2">
      <c r="A2128" s="368"/>
      <c r="B2128"/>
      <c r="C2128"/>
      <c r="D2128"/>
      <c r="E2128"/>
      <c r="F2128" s="855"/>
    </row>
    <row r="2129" spans="1:6" x14ac:dyDescent="0.2">
      <c r="A2129" s="368"/>
      <c r="B2129"/>
      <c r="C2129"/>
      <c r="D2129"/>
      <c r="E2129"/>
      <c r="F2129" s="855"/>
    </row>
    <row r="2130" spans="1:6" x14ac:dyDescent="0.2">
      <c r="A2130" s="368"/>
      <c r="B2130"/>
      <c r="C2130"/>
      <c r="D2130"/>
      <c r="E2130"/>
      <c r="F2130" s="855"/>
    </row>
    <row r="2131" spans="1:6" x14ac:dyDescent="0.2">
      <c r="A2131" s="368"/>
      <c r="B2131"/>
      <c r="C2131"/>
      <c r="D2131"/>
      <c r="E2131"/>
      <c r="F2131" s="855"/>
    </row>
    <row r="2132" spans="1:6" x14ac:dyDescent="0.2">
      <c r="A2132" s="368"/>
      <c r="B2132"/>
      <c r="C2132"/>
      <c r="D2132"/>
      <c r="E2132"/>
      <c r="F2132" s="855"/>
    </row>
    <row r="2133" spans="1:6" x14ac:dyDescent="0.2">
      <c r="A2133" s="368"/>
      <c r="B2133"/>
      <c r="C2133"/>
      <c r="D2133"/>
      <c r="E2133"/>
      <c r="F2133" s="855"/>
    </row>
    <row r="2134" spans="1:6" x14ac:dyDescent="0.2">
      <c r="A2134" s="368"/>
      <c r="B2134"/>
      <c r="C2134"/>
      <c r="D2134"/>
      <c r="E2134"/>
      <c r="F2134" s="855"/>
    </row>
    <row r="2135" spans="1:6" x14ac:dyDescent="0.2">
      <c r="A2135" s="368"/>
      <c r="B2135"/>
      <c r="C2135"/>
      <c r="D2135"/>
      <c r="E2135"/>
      <c r="F2135" s="855"/>
    </row>
    <row r="2136" spans="1:6" x14ac:dyDescent="0.2">
      <c r="A2136" s="368"/>
      <c r="B2136"/>
      <c r="C2136"/>
      <c r="D2136"/>
      <c r="E2136"/>
      <c r="F2136" s="855"/>
    </row>
    <row r="2137" spans="1:6" x14ac:dyDescent="0.2">
      <c r="A2137" s="368"/>
      <c r="B2137"/>
      <c r="C2137"/>
      <c r="D2137"/>
      <c r="E2137"/>
      <c r="F2137" s="855"/>
    </row>
    <row r="2138" spans="1:6" x14ac:dyDescent="0.2">
      <c r="A2138" s="368"/>
      <c r="B2138"/>
      <c r="C2138"/>
      <c r="D2138"/>
      <c r="E2138"/>
      <c r="F2138" s="855"/>
    </row>
    <row r="2139" spans="1:6" x14ac:dyDescent="0.2">
      <c r="A2139" s="368"/>
      <c r="B2139"/>
      <c r="C2139"/>
      <c r="D2139"/>
      <c r="E2139"/>
      <c r="F2139" s="855"/>
    </row>
    <row r="2140" spans="1:6" x14ac:dyDescent="0.2">
      <c r="A2140" s="368"/>
      <c r="B2140"/>
      <c r="C2140"/>
      <c r="D2140"/>
      <c r="E2140"/>
      <c r="F2140" s="855"/>
    </row>
    <row r="2141" spans="1:6" x14ac:dyDescent="0.2">
      <c r="A2141" s="368"/>
      <c r="B2141"/>
      <c r="C2141"/>
      <c r="D2141"/>
      <c r="E2141"/>
      <c r="F2141" s="855"/>
    </row>
    <row r="2142" spans="1:6" x14ac:dyDescent="0.2">
      <c r="A2142" s="368"/>
      <c r="B2142"/>
      <c r="C2142"/>
      <c r="D2142"/>
      <c r="E2142"/>
      <c r="F2142" s="855"/>
    </row>
    <row r="2143" spans="1:6" x14ac:dyDescent="0.2">
      <c r="A2143" s="368"/>
      <c r="B2143"/>
      <c r="C2143"/>
      <c r="D2143"/>
      <c r="E2143"/>
      <c r="F2143" s="855"/>
    </row>
    <row r="2144" spans="1:6" x14ac:dyDescent="0.2">
      <c r="A2144" s="368"/>
      <c r="B2144"/>
      <c r="C2144"/>
      <c r="D2144"/>
      <c r="E2144"/>
      <c r="F2144" s="855"/>
    </row>
    <row r="2145" spans="1:6" x14ac:dyDescent="0.2">
      <c r="A2145" s="368"/>
      <c r="B2145"/>
      <c r="C2145"/>
      <c r="D2145"/>
      <c r="E2145"/>
      <c r="F2145" s="855"/>
    </row>
    <row r="2146" spans="1:6" x14ac:dyDescent="0.2">
      <c r="A2146" s="368"/>
      <c r="B2146"/>
      <c r="C2146"/>
      <c r="D2146"/>
      <c r="E2146"/>
      <c r="F2146" s="855"/>
    </row>
    <row r="2147" spans="1:6" x14ac:dyDescent="0.2">
      <c r="A2147" s="368"/>
      <c r="B2147"/>
      <c r="C2147"/>
      <c r="D2147"/>
      <c r="E2147"/>
      <c r="F2147" s="855"/>
    </row>
    <row r="2148" spans="1:6" x14ac:dyDescent="0.2">
      <c r="A2148" s="368"/>
      <c r="B2148"/>
      <c r="C2148"/>
      <c r="D2148"/>
      <c r="E2148"/>
      <c r="F2148" s="855"/>
    </row>
    <row r="2149" spans="1:6" x14ac:dyDescent="0.2">
      <c r="A2149" s="368"/>
      <c r="B2149"/>
      <c r="C2149"/>
      <c r="D2149"/>
      <c r="E2149"/>
      <c r="F2149" s="855"/>
    </row>
    <row r="2150" spans="1:6" x14ac:dyDescent="0.2">
      <c r="A2150" s="368"/>
      <c r="B2150"/>
      <c r="C2150"/>
      <c r="D2150"/>
      <c r="E2150"/>
      <c r="F2150" s="855"/>
    </row>
    <row r="2151" spans="1:6" x14ac:dyDescent="0.2">
      <c r="A2151" s="368"/>
      <c r="B2151"/>
      <c r="C2151"/>
      <c r="D2151"/>
      <c r="E2151"/>
      <c r="F2151" s="855"/>
    </row>
    <row r="2152" spans="1:6" x14ac:dyDescent="0.2">
      <c r="A2152" s="368"/>
      <c r="B2152"/>
      <c r="C2152"/>
      <c r="D2152"/>
      <c r="E2152"/>
      <c r="F2152" s="855"/>
    </row>
    <row r="2153" spans="1:6" x14ac:dyDescent="0.2">
      <c r="A2153" s="368"/>
      <c r="B2153"/>
      <c r="C2153"/>
      <c r="D2153"/>
      <c r="E2153"/>
      <c r="F2153" s="855"/>
    </row>
    <row r="2154" spans="1:6" x14ac:dyDescent="0.2">
      <c r="A2154" s="368"/>
      <c r="B2154"/>
      <c r="C2154"/>
      <c r="D2154"/>
      <c r="E2154"/>
      <c r="F2154" s="855"/>
    </row>
    <row r="2155" spans="1:6" x14ac:dyDescent="0.2">
      <c r="A2155" s="368"/>
      <c r="B2155"/>
      <c r="C2155"/>
      <c r="D2155"/>
      <c r="E2155"/>
      <c r="F2155" s="855"/>
    </row>
    <row r="2156" spans="1:6" x14ac:dyDescent="0.2">
      <c r="A2156" s="368"/>
      <c r="B2156"/>
      <c r="C2156"/>
      <c r="D2156"/>
      <c r="E2156"/>
      <c r="F2156" s="855"/>
    </row>
    <row r="2157" spans="1:6" x14ac:dyDescent="0.2">
      <c r="A2157" s="368"/>
      <c r="B2157"/>
      <c r="C2157"/>
      <c r="D2157"/>
      <c r="E2157"/>
      <c r="F2157" s="855"/>
    </row>
    <row r="2158" spans="1:6" x14ac:dyDescent="0.2">
      <c r="A2158" s="368"/>
      <c r="B2158"/>
      <c r="C2158"/>
      <c r="D2158"/>
      <c r="E2158"/>
      <c r="F2158" s="855"/>
    </row>
    <row r="2159" spans="1:6" x14ac:dyDescent="0.2">
      <c r="A2159" s="368"/>
      <c r="B2159"/>
      <c r="C2159"/>
      <c r="D2159"/>
      <c r="E2159"/>
      <c r="F2159" s="855"/>
    </row>
    <row r="2160" spans="1:6" x14ac:dyDescent="0.2">
      <c r="A2160" s="368"/>
      <c r="B2160"/>
      <c r="C2160"/>
      <c r="D2160"/>
      <c r="E2160"/>
      <c r="F2160" s="855"/>
    </row>
    <row r="2161" spans="1:6" x14ac:dyDescent="0.2">
      <c r="A2161" s="368"/>
      <c r="B2161"/>
      <c r="C2161"/>
      <c r="D2161"/>
      <c r="E2161"/>
      <c r="F2161" s="855"/>
    </row>
    <row r="2162" spans="1:6" x14ac:dyDescent="0.2">
      <c r="A2162" s="368"/>
      <c r="B2162"/>
      <c r="C2162"/>
      <c r="D2162"/>
      <c r="E2162"/>
      <c r="F2162" s="855"/>
    </row>
    <row r="2163" spans="1:6" x14ac:dyDescent="0.2">
      <c r="A2163" s="368"/>
      <c r="B2163"/>
      <c r="C2163"/>
      <c r="D2163"/>
      <c r="E2163"/>
      <c r="F2163" s="855"/>
    </row>
    <row r="2164" spans="1:6" x14ac:dyDescent="0.2">
      <c r="A2164" s="368"/>
      <c r="B2164"/>
      <c r="C2164"/>
      <c r="D2164"/>
      <c r="E2164"/>
      <c r="F2164" s="855"/>
    </row>
    <row r="2165" spans="1:6" x14ac:dyDescent="0.2">
      <c r="A2165" s="368"/>
      <c r="B2165"/>
      <c r="C2165"/>
      <c r="D2165"/>
      <c r="E2165"/>
      <c r="F2165" s="855"/>
    </row>
    <row r="2166" spans="1:6" x14ac:dyDescent="0.2">
      <c r="A2166" s="368"/>
      <c r="B2166"/>
      <c r="C2166"/>
      <c r="D2166"/>
      <c r="E2166"/>
      <c r="F2166" s="855"/>
    </row>
    <row r="2167" spans="1:6" x14ac:dyDescent="0.2">
      <c r="A2167" s="368"/>
      <c r="B2167"/>
      <c r="C2167"/>
      <c r="D2167"/>
      <c r="E2167"/>
      <c r="F2167" s="855"/>
    </row>
    <row r="2168" spans="1:6" x14ac:dyDescent="0.2">
      <c r="A2168" s="368"/>
      <c r="B2168"/>
      <c r="C2168"/>
      <c r="D2168"/>
      <c r="E2168"/>
      <c r="F2168" s="855"/>
    </row>
    <row r="2169" spans="1:6" x14ac:dyDescent="0.2">
      <c r="A2169" s="368"/>
      <c r="B2169"/>
      <c r="C2169"/>
      <c r="D2169"/>
      <c r="E2169"/>
      <c r="F2169" s="855"/>
    </row>
    <row r="2170" spans="1:6" x14ac:dyDescent="0.2">
      <c r="A2170" s="368"/>
      <c r="B2170"/>
      <c r="C2170"/>
      <c r="D2170"/>
      <c r="E2170"/>
      <c r="F2170" s="855"/>
    </row>
    <row r="2171" spans="1:6" x14ac:dyDescent="0.2">
      <c r="A2171" s="368"/>
      <c r="B2171"/>
      <c r="C2171"/>
      <c r="D2171"/>
      <c r="E2171"/>
      <c r="F2171" s="855"/>
    </row>
    <row r="2172" spans="1:6" x14ac:dyDescent="0.2">
      <c r="A2172" s="368"/>
      <c r="B2172"/>
      <c r="C2172"/>
      <c r="D2172"/>
      <c r="E2172"/>
      <c r="F2172" s="855"/>
    </row>
    <row r="2173" spans="1:6" x14ac:dyDescent="0.2">
      <c r="A2173" s="368"/>
      <c r="B2173"/>
      <c r="C2173"/>
      <c r="D2173"/>
      <c r="E2173"/>
      <c r="F2173" s="855"/>
    </row>
    <row r="2174" spans="1:6" x14ac:dyDescent="0.2">
      <c r="A2174" s="368"/>
      <c r="B2174"/>
      <c r="C2174"/>
      <c r="D2174"/>
      <c r="E2174"/>
      <c r="F2174" s="855"/>
    </row>
    <row r="2175" spans="1:6" x14ac:dyDescent="0.2">
      <c r="A2175" s="368"/>
      <c r="B2175"/>
      <c r="C2175"/>
      <c r="D2175"/>
      <c r="E2175"/>
      <c r="F2175" s="855"/>
    </row>
    <row r="2176" spans="1:6" x14ac:dyDescent="0.2">
      <c r="A2176" s="368"/>
      <c r="B2176"/>
      <c r="C2176"/>
      <c r="D2176"/>
      <c r="E2176"/>
      <c r="F2176" s="855"/>
    </row>
    <row r="2177" spans="1:6" x14ac:dyDescent="0.2">
      <c r="A2177" s="368"/>
      <c r="B2177"/>
      <c r="C2177"/>
      <c r="D2177"/>
      <c r="E2177"/>
      <c r="F2177" s="855"/>
    </row>
    <row r="2178" spans="1:6" x14ac:dyDescent="0.2">
      <c r="A2178" s="368"/>
      <c r="B2178"/>
      <c r="C2178"/>
      <c r="D2178"/>
      <c r="E2178"/>
      <c r="F2178" s="855"/>
    </row>
    <row r="2179" spans="1:6" x14ac:dyDescent="0.2">
      <c r="A2179" s="368"/>
      <c r="B2179"/>
      <c r="C2179"/>
      <c r="D2179"/>
      <c r="E2179"/>
      <c r="F2179" s="855"/>
    </row>
    <row r="2180" spans="1:6" x14ac:dyDescent="0.2">
      <c r="A2180" s="368"/>
      <c r="B2180"/>
      <c r="C2180"/>
      <c r="D2180"/>
      <c r="E2180"/>
      <c r="F2180" s="855"/>
    </row>
    <row r="2181" spans="1:6" x14ac:dyDescent="0.2">
      <c r="A2181" s="368"/>
      <c r="B2181"/>
      <c r="C2181"/>
      <c r="D2181"/>
      <c r="E2181"/>
      <c r="F2181" s="855"/>
    </row>
    <row r="2182" spans="1:6" x14ac:dyDescent="0.2">
      <c r="A2182" s="368"/>
      <c r="B2182"/>
      <c r="C2182"/>
      <c r="D2182"/>
      <c r="E2182"/>
      <c r="F2182" s="855"/>
    </row>
    <row r="2183" spans="1:6" x14ac:dyDescent="0.2">
      <c r="A2183" s="368"/>
      <c r="B2183"/>
      <c r="C2183"/>
      <c r="D2183"/>
      <c r="E2183"/>
      <c r="F2183" s="855"/>
    </row>
    <row r="2184" spans="1:6" x14ac:dyDescent="0.2">
      <c r="A2184" s="368"/>
      <c r="B2184"/>
      <c r="C2184"/>
      <c r="D2184"/>
      <c r="E2184"/>
      <c r="F2184" s="855"/>
    </row>
    <row r="2185" spans="1:6" x14ac:dyDescent="0.2">
      <c r="A2185" s="368"/>
      <c r="B2185"/>
      <c r="C2185"/>
      <c r="D2185"/>
      <c r="E2185"/>
      <c r="F2185" s="855"/>
    </row>
    <row r="2186" spans="1:6" x14ac:dyDescent="0.2">
      <c r="A2186" s="368"/>
      <c r="B2186"/>
      <c r="C2186"/>
      <c r="D2186"/>
      <c r="E2186"/>
      <c r="F2186" s="855"/>
    </row>
    <row r="2187" spans="1:6" x14ac:dyDescent="0.2">
      <c r="A2187" s="368"/>
      <c r="B2187"/>
      <c r="C2187"/>
      <c r="D2187"/>
      <c r="E2187"/>
      <c r="F2187" s="855"/>
    </row>
    <row r="2188" spans="1:6" x14ac:dyDescent="0.2">
      <c r="A2188" s="368"/>
      <c r="B2188"/>
      <c r="C2188"/>
      <c r="D2188"/>
      <c r="E2188"/>
      <c r="F2188" s="855"/>
    </row>
    <row r="2189" spans="1:6" x14ac:dyDescent="0.2">
      <c r="A2189" s="368"/>
      <c r="B2189"/>
      <c r="C2189"/>
      <c r="D2189"/>
      <c r="E2189"/>
      <c r="F2189" s="855"/>
    </row>
    <row r="2190" spans="1:6" x14ac:dyDescent="0.2">
      <c r="A2190" s="368"/>
      <c r="B2190"/>
      <c r="C2190"/>
      <c r="D2190"/>
      <c r="E2190"/>
      <c r="F2190" s="855"/>
    </row>
    <row r="2191" spans="1:6" x14ac:dyDescent="0.2">
      <c r="A2191" s="368"/>
      <c r="B2191"/>
      <c r="C2191"/>
      <c r="D2191"/>
      <c r="E2191"/>
      <c r="F2191" s="855"/>
    </row>
    <row r="2192" spans="1:6" x14ac:dyDescent="0.2">
      <c r="A2192" s="368"/>
      <c r="B2192"/>
      <c r="C2192"/>
      <c r="D2192"/>
      <c r="E2192"/>
      <c r="F2192" s="855"/>
    </row>
    <row r="2193" spans="1:6" x14ac:dyDescent="0.2">
      <c r="A2193" s="368"/>
      <c r="B2193"/>
      <c r="C2193"/>
      <c r="D2193"/>
      <c r="E2193"/>
      <c r="F2193" s="855"/>
    </row>
    <row r="2194" spans="1:6" x14ac:dyDescent="0.2">
      <c r="A2194" s="368"/>
      <c r="B2194"/>
      <c r="C2194"/>
      <c r="D2194"/>
      <c r="E2194"/>
      <c r="F2194" s="855"/>
    </row>
    <row r="2195" spans="1:6" x14ac:dyDescent="0.2">
      <c r="A2195" s="368"/>
      <c r="B2195"/>
      <c r="C2195"/>
      <c r="D2195"/>
      <c r="E2195"/>
      <c r="F2195" s="855"/>
    </row>
    <row r="2196" spans="1:6" x14ac:dyDescent="0.2">
      <c r="A2196" s="368"/>
      <c r="B2196"/>
      <c r="C2196"/>
      <c r="D2196"/>
      <c r="E2196"/>
      <c r="F2196" s="855"/>
    </row>
    <row r="2197" spans="1:6" x14ac:dyDescent="0.2">
      <c r="A2197" s="368"/>
      <c r="B2197"/>
      <c r="C2197"/>
      <c r="D2197"/>
      <c r="E2197"/>
      <c r="F2197" s="855"/>
    </row>
    <row r="2198" spans="1:6" x14ac:dyDescent="0.2">
      <c r="A2198" s="368"/>
      <c r="B2198"/>
      <c r="C2198"/>
      <c r="D2198"/>
      <c r="E2198"/>
      <c r="F2198" s="855"/>
    </row>
    <row r="2199" spans="1:6" x14ac:dyDescent="0.2">
      <c r="A2199" s="368"/>
      <c r="B2199"/>
      <c r="C2199"/>
      <c r="D2199"/>
      <c r="E2199"/>
      <c r="F2199" s="855"/>
    </row>
    <row r="2200" spans="1:6" x14ac:dyDescent="0.2">
      <c r="A2200" s="368"/>
      <c r="B2200"/>
      <c r="C2200"/>
      <c r="D2200"/>
      <c r="E2200"/>
      <c r="F2200" s="855"/>
    </row>
    <row r="2201" spans="1:6" x14ac:dyDescent="0.2">
      <c r="A2201" s="368"/>
      <c r="B2201"/>
      <c r="C2201"/>
      <c r="D2201"/>
      <c r="E2201"/>
      <c r="F2201" s="855"/>
    </row>
    <row r="2202" spans="1:6" x14ac:dyDescent="0.2">
      <c r="A2202" s="368"/>
      <c r="B2202"/>
      <c r="C2202"/>
      <c r="D2202"/>
      <c r="E2202"/>
      <c r="F2202" s="855"/>
    </row>
    <row r="2203" spans="1:6" x14ac:dyDescent="0.2">
      <c r="A2203" s="368"/>
      <c r="B2203"/>
      <c r="C2203"/>
      <c r="D2203"/>
      <c r="E2203"/>
      <c r="F2203" s="855"/>
    </row>
    <row r="2204" spans="1:6" x14ac:dyDescent="0.2">
      <c r="A2204" s="368"/>
      <c r="B2204"/>
      <c r="C2204"/>
      <c r="D2204"/>
      <c r="E2204"/>
      <c r="F2204" s="855"/>
    </row>
    <row r="2205" spans="1:6" x14ac:dyDescent="0.2">
      <c r="A2205" s="368"/>
      <c r="B2205"/>
      <c r="C2205"/>
      <c r="D2205"/>
      <c r="E2205"/>
      <c r="F2205" s="855"/>
    </row>
    <row r="2206" spans="1:6" x14ac:dyDescent="0.2">
      <c r="A2206" s="368"/>
      <c r="B2206"/>
      <c r="C2206"/>
      <c r="D2206"/>
      <c r="E2206"/>
      <c r="F2206" s="855"/>
    </row>
    <row r="2207" spans="1:6" x14ac:dyDescent="0.2">
      <c r="A2207" s="368"/>
      <c r="B2207"/>
      <c r="C2207"/>
      <c r="D2207"/>
      <c r="E2207"/>
      <c r="F2207" s="855"/>
    </row>
    <row r="2208" spans="1:6" x14ac:dyDescent="0.2">
      <c r="A2208" s="368"/>
      <c r="B2208"/>
      <c r="C2208"/>
      <c r="D2208"/>
      <c r="E2208"/>
      <c r="F2208" s="855"/>
    </row>
    <row r="2209" spans="1:6" x14ac:dyDescent="0.2">
      <c r="A2209" s="368"/>
      <c r="B2209"/>
      <c r="C2209"/>
      <c r="D2209"/>
      <c r="E2209"/>
      <c r="F2209" s="855"/>
    </row>
    <row r="2210" spans="1:6" x14ac:dyDescent="0.2">
      <c r="A2210" s="368"/>
      <c r="B2210"/>
      <c r="C2210"/>
      <c r="D2210"/>
      <c r="E2210"/>
      <c r="F2210" s="855"/>
    </row>
    <row r="2211" spans="1:6" x14ac:dyDescent="0.2">
      <c r="A2211" s="368"/>
      <c r="B2211"/>
      <c r="C2211"/>
      <c r="D2211"/>
      <c r="E2211"/>
      <c r="F2211" s="855"/>
    </row>
    <row r="2212" spans="1:6" x14ac:dyDescent="0.2">
      <c r="A2212" s="368"/>
      <c r="B2212"/>
      <c r="C2212"/>
      <c r="D2212"/>
      <c r="E2212"/>
      <c r="F2212" s="855"/>
    </row>
    <row r="2213" spans="1:6" x14ac:dyDescent="0.2">
      <c r="A2213" s="368"/>
      <c r="B2213"/>
      <c r="C2213"/>
      <c r="D2213"/>
      <c r="E2213"/>
      <c r="F2213" s="855"/>
    </row>
    <row r="2214" spans="1:6" x14ac:dyDescent="0.2">
      <c r="A2214" s="368"/>
      <c r="B2214"/>
      <c r="C2214"/>
      <c r="D2214"/>
      <c r="E2214"/>
      <c r="F2214" s="855"/>
    </row>
    <row r="2215" spans="1:6" x14ac:dyDescent="0.2">
      <c r="A2215" s="368"/>
      <c r="B2215"/>
      <c r="C2215"/>
      <c r="D2215"/>
      <c r="E2215"/>
      <c r="F2215" s="855"/>
    </row>
    <row r="2216" spans="1:6" x14ac:dyDescent="0.2">
      <c r="A2216" s="368"/>
      <c r="B2216"/>
      <c r="C2216"/>
      <c r="D2216"/>
      <c r="E2216"/>
      <c r="F2216" s="855"/>
    </row>
    <row r="2217" spans="1:6" x14ac:dyDescent="0.2">
      <c r="A2217" s="368"/>
      <c r="B2217"/>
      <c r="C2217"/>
      <c r="D2217"/>
      <c r="E2217"/>
      <c r="F2217" s="855"/>
    </row>
    <row r="2218" spans="1:6" x14ac:dyDescent="0.2">
      <c r="A2218" s="368"/>
      <c r="B2218"/>
      <c r="C2218"/>
      <c r="D2218"/>
      <c r="E2218"/>
      <c r="F2218" s="855"/>
    </row>
    <row r="2219" spans="1:6" x14ac:dyDescent="0.2">
      <c r="A2219" s="368"/>
      <c r="B2219"/>
      <c r="C2219"/>
      <c r="D2219"/>
      <c r="E2219"/>
      <c r="F2219" s="855"/>
    </row>
    <row r="2220" spans="1:6" x14ac:dyDescent="0.2">
      <c r="A2220" s="368"/>
      <c r="B2220"/>
      <c r="C2220"/>
      <c r="D2220"/>
      <c r="E2220"/>
      <c r="F2220" s="855"/>
    </row>
    <row r="2221" spans="1:6" x14ac:dyDescent="0.2">
      <c r="A2221" s="368"/>
      <c r="B2221"/>
      <c r="C2221"/>
      <c r="D2221"/>
      <c r="E2221"/>
      <c r="F2221" s="855"/>
    </row>
    <row r="2222" spans="1:6" x14ac:dyDescent="0.2">
      <c r="A2222" s="368"/>
      <c r="B2222"/>
      <c r="C2222"/>
      <c r="D2222"/>
      <c r="E2222"/>
      <c r="F2222" s="855"/>
    </row>
    <row r="2223" spans="1:6" x14ac:dyDescent="0.2">
      <c r="A2223" s="368"/>
      <c r="B2223"/>
      <c r="C2223"/>
      <c r="D2223"/>
      <c r="E2223"/>
      <c r="F2223" s="855"/>
    </row>
    <row r="2224" spans="1:6" x14ac:dyDescent="0.2">
      <c r="A2224" s="368"/>
      <c r="B2224"/>
      <c r="C2224"/>
      <c r="D2224"/>
      <c r="E2224"/>
      <c r="F2224" s="855"/>
    </row>
    <row r="2225" spans="1:6" x14ac:dyDescent="0.2">
      <c r="A2225" s="368"/>
      <c r="B2225"/>
      <c r="C2225"/>
      <c r="D2225"/>
      <c r="E2225"/>
      <c r="F2225" s="855"/>
    </row>
    <row r="2226" spans="1:6" x14ac:dyDescent="0.2">
      <c r="A2226" s="368"/>
      <c r="B2226"/>
      <c r="C2226"/>
      <c r="D2226"/>
      <c r="E2226"/>
      <c r="F2226" s="855"/>
    </row>
    <row r="2227" spans="1:6" x14ac:dyDescent="0.2">
      <c r="A2227" s="368"/>
      <c r="B2227"/>
      <c r="C2227"/>
      <c r="D2227"/>
      <c r="E2227"/>
      <c r="F2227" s="855"/>
    </row>
    <row r="2228" spans="1:6" x14ac:dyDescent="0.2">
      <c r="A2228" s="368"/>
      <c r="B2228"/>
      <c r="C2228"/>
      <c r="D2228"/>
      <c r="E2228"/>
      <c r="F2228" s="855"/>
    </row>
    <row r="2229" spans="1:6" x14ac:dyDescent="0.2">
      <c r="A2229" s="368"/>
      <c r="B2229"/>
      <c r="C2229"/>
      <c r="D2229"/>
      <c r="E2229"/>
      <c r="F2229" s="855"/>
    </row>
    <row r="2230" spans="1:6" x14ac:dyDescent="0.2">
      <c r="A2230" s="368"/>
      <c r="B2230"/>
      <c r="C2230"/>
      <c r="D2230"/>
      <c r="E2230"/>
      <c r="F2230" s="855"/>
    </row>
    <row r="2231" spans="1:6" x14ac:dyDescent="0.2">
      <c r="A2231" s="368"/>
      <c r="B2231"/>
      <c r="C2231"/>
      <c r="D2231"/>
      <c r="E2231"/>
      <c r="F2231" s="855"/>
    </row>
    <row r="2232" spans="1:6" x14ac:dyDescent="0.2">
      <c r="A2232" s="368"/>
      <c r="B2232"/>
      <c r="C2232"/>
      <c r="D2232"/>
      <c r="E2232"/>
      <c r="F2232" s="855"/>
    </row>
    <row r="2233" spans="1:6" x14ac:dyDescent="0.2">
      <c r="A2233" s="368"/>
      <c r="B2233"/>
      <c r="C2233"/>
      <c r="D2233"/>
      <c r="E2233"/>
      <c r="F2233" s="855"/>
    </row>
    <row r="2234" spans="1:6" x14ac:dyDescent="0.2">
      <c r="A2234" s="368"/>
      <c r="B2234"/>
      <c r="C2234"/>
      <c r="D2234"/>
      <c r="E2234"/>
      <c r="F2234" s="855"/>
    </row>
    <row r="2235" spans="1:6" x14ac:dyDescent="0.2">
      <c r="A2235" s="368"/>
      <c r="B2235"/>
      <c r="C2235"/>
      <c r="D2235"/>
      <c r="E2235"/>
      <c r="F2235" s="855"/>
    </row>
    <row r="2236" spans="1:6" x14ac:dyDescent="0.2">
      <c r="A2236" s="368"/>
      <c r="B2236"/>
      <c r="C2236"/>
      <c r="D2236"/>
      <c r="E2236"/>
      <c r="F2236" s="855"/>
    </row>
    <row r="2237" spans="1:6" x14ac:dyDescent="0.2">
      <c r="A2237" s="368"/>
      <c r="B2237"/>
      <c r="C2237"/>
      <c r="D2237"/>
      <c r="E2237"/>
      <c r="F2237" s="855"/>
    </row>
    <row r="2238" spans="1:6" x14ac:dyDescent="0.2">
      <c r="A2238" s="368"/>
      <c r="B2238"/>
      <c r="C2238"/>
      <c r="D2238"/>
      <c r="E2238"/>
      <c r="F2238" s="855"/>
    </row>
    <row r="2239" spans="1:6" x14ac:dyDescent="0.2">
      <c r="A2239" s="368"/>
      <c r="B2239"/>
      <c r="C2239"/>
      <c r="D2239"/>
      <c r="E2239"/>
      <c r="F2239" s="855"/>
    </row>
    <row r="2240" spans="1:6" x14ac:dyDescent="0.2">
      <c r="A2240" s="368"/>
      <c r="B2240"/>
      <c r="C2240"/>
      <c r="D2240"/>
      <c r="E2240"/>
      <c r="F2240" s="855"/>
    </row>
    <row r="2241" spans="1:6" x14ac:dyDescent="0.2">
      <c r="A2241" s="368"/>
      <c r="B2241"/>
      <c r="C2241"/>
      <c r="D2241"/>
      <c r="E2241"/>
      <c r="F2241" s="855"/>
    </row>
    <row r="2242" spans="1:6" x14ac:dyDescent="0.2">
      <c r="A2242" s="368"/>
      <c r="B2242"/>
      <c r="C2242"/>
      <c r="D2242"/>
      <c r="E2242"/>
      <c r="F2242" s="855"/>
    </row>
    <row r="2243" spans="1:6" x14ac:dyDescent="0.2">
      <c r="A2243" s="368"/>
      <c r="B2243"/>
      <c r="C2243"/>
      <c r="D2243"/>
      <c r="E2243"/>
      <c r="F2243" s="855"/>
    </row>
    <row r="2244" spans="1:6" x14ac:dyDescent="0.2">
      <c r="A2244" s="368"/>
      <c r="B2244"/>
      <c r="C2244"/>
      <c r="D2244"/>
      <c r="E2244"/>
      <c r="F2244" s="855"/>
    </row>
    <row r="2245" spans="1:6" x14ac:dyDescent="0.2">
      <c r="A2245" s="368"/>
      <c r="B2245"/>
      <c r="C2245"/>
      <c r="D2245"/>
      <c r="E2245"/>
      <c r="F2245" s="855"/>
    </row>
    <row r="2246" spans="1:6" x14ac:dyDescent="0.2">
      <c r="A2246" s="368"/>
      <c r="B2246"/>
      <c r="C2246"/>
      <c r="D2246"/>
      <c r="E2246"/>
      <c r="F2246" s="855"/>
    </row>
    <row r="2247" spans="1:6" x14ac:dyDescent="0.2">
      <c r="A2247" s="368"/>
      <c r="B2247"/>
      <c r="C2247"/>
      <c r="D2247"/>
      <c r="E2247"/>
      <c r="F2247" s="855"/>
    </row>
    <row r="2248" spans="1:6" x14ac:dyDescent="0.2">
      <c r="A2248" s="368"/>
      <c r="B2248"/>
      <c r="C2248"/>
      <c r="D2248"/>
      <c r="E2248"/>
      <c r="F2248" s="855"/>
    </row>
    <row r="2249" spans="1:6" x14ac:dyDescent="0.2">
      <c r="A2249" s="368"/>
      <c r="B2249"/>
      <c r="C2249"/>
      <c r="D2249"/>
      <c r="E2249"/>
      <c r="F2249" s="855"/>
    </row>
    <row r="2250" spans="1:6" x14ac:dyDescent="0.2">
      <c r="A2250" s="368"/>
      <c r="B2250"/>
      <c r="C2250"/>
      <c r="D2250"/>
      <c r="E2250"/>
      <c r="F2250" s="855"/>
    </row>
    <row r="2251" spans="1:6" x14ac:dyDescent="0.2">
      <c r="A2251" s="368"/>
      <c r="B2251"/>
      <c r="C2251"/>
      <c r="D2251"/>
      <c r="E2251"/>
      <c r="F2251" s="855"/>
    </row>
    <row r="2252" spans="1:6" x14ac:dyDescent="0.2">
      <c r="A2252" s="368"/>
      <c r="B2252"/>
      <c r="C2252"/>
      <c r="D2252"/>
      <c r="E2252"/>
      <c r="F2252" s="855"/>
    </row>
    <row r="2253" spans="1:6" x14ac:dyDescent="0.2">
      <c r="A2253" s="368"/>
      <c r="B2253"/>
      <c r="C2253"/>
      <c r="D2253"/>
      <c r="E2253"/>
      <c r="F2253" s="855"/>
    </row>
    <row r="2254" spans="1:6" x14ac:dyDescent="0.2">
      <c r="A2254" s="368"/>
      <c r="B2254"/>
      <c r="C2254"/>
      <c r="D2254"/>
      <c r="E2254"/>
      <c r="F2254" s="855"/>
    </row>
    <row r="2255" spans="1:6" x14ac:dyDescent="0.2">
      <c r="A2255" s="368"/>
      <c r="B2255"/>
      <c r="C2255"/>
      <c r="D2255"/>
      <c r="E2255"/>
      <c r="F2255" s="855"/>
    </row>
    <row r="2256" spans="1:6" x14ac:dyDescent="0.2">
      <c r="A2256" s="368"/>
      <c r="B2256"/>
      <c r="C2256"/>
      <c r="D2256"/>
      <c r="E2256"/>
      <c r="F2256" s="855"/>
    </row>
    <row r="2257" spans="1:6" x14ac:dyDescent="0.2">
      <c r="A2257" s="368"/>
      <c r="B2257"/>
      <c r="C2257"/>
      <c r="D2257"/>
      <c r="E2257"/>
      <c r="F2257" s="855"/>
    </row>
    <row r="2258" spans="1:6" x14ac:dyDescent="0.2">
      <c r="A2258" s="368"/>
      <c r="B2258"/>
      <c r="C2258"/>
      <c r="D2258"/>
      <c r="E2258"/>
      <c r="F2258" s="855"/>
    </row>
    <row r="2259" spans="1:6" x14ac:dyDescent="0.2">
      <c r="A2259" s="368"/>
      <c r="B2259"/>
      <c r="C2259"/>
      <c r="D2259"/>
      <c r="E2259"/>
      <c r="F2259" s="855"/>
    </row>
    <row r="2260" spans="1:6" x14ac:dyDescent="0.2">
      <c r="A2260" s="368"/>
      <c r="B2260"/>
      <c r="C2260"/>
      <c r="D2260"/>
      <c r="E2260"/>
      <c r="F2260" s="855"/>
    </row>
    <row r="2261" spans="1:6" x14ac:dyDescent="0.2">
      <c r="A2261" s="368"/>
      <c r="B2261"/>
      <c r="C2261"/>
      <c r="D2261"/>
      <c r="E2261"/>
      <c r="F2261" s="855"/>
    </row>
    <row r="2262" spans="1:6" x14ac:dyDescent="0.2">
      <c r="A2262" s="368"/>
      <c r="B2262"/>
      <c r="C2262"/>
      <c r="D2262"/>
      <c r="E2262"/>
      <c r="F2262" s="855"/>
    </row>
    <row r="2263" spans="1:6" x14ac:dyDescent="0.2">
      <c r="A2263" s="368"/>
      <c r="B2263"/>
      <c r="C2263"/>
      <c r="D2263"/>
      <c r="E2263"/>
      <c r="F2263" s="855"/>
    </row>
    <row r="2264" spans="1:6" x14ac:dyDescent="0.2">
      <c r="A2264" s="368"/>
      <c r="B2264"/>
      <c r="C2264"/>
      <c r="D2264"/>
      <c r="E2264"/>
      <c r="F2264" s="855"/>
    </row>
    <row r="2265" spans="1:6" x14ac:dyDescent="0.2">
      <c r="A2265" s="368"/>
      <c r="B2265"/>
      <c r="C2265"/>
      <c r="D2265"/>
      <c r="E2265"/>
      <c r="F2265" s="855"/>
    </row>
    <row r="2266" spans="1:6" x14ac:dyDescent="0.2">
      <c r="A2266" s="368"/>
      <c r="B2266"/>
      <c r="C2266"/>
      <c r="D2266"/>
      <c r="E2266"/>
      <c r="F2266" s="855"/>
    </row>
    <row r="2267" spans="1:6" x14ac:dyDescent="0.2">
      <c r="A2267" s="368"/>
      <c r="B2267"/>
      <c r="C2267"/>
      <c r="D2267"/>
      <c r="E2267"/>
      <c r="F2267" s="855"/>
    </row>
    <row r="2268" spans="1:6" x14ac:dyDescent="0.2">
      <c r="A2268" s="368"/>
      <c r="B2268"/>
      <c r="C2268"/>
      <c r="D2268"/>
      <c r="E2268"/>
      <c r="F2268" s="855"/>
    </row>
    <row r="2269" spans="1:6" x14ac:dyDescent="0.2">
      <c r="A2269" s="368"/>
      <c r="B2269"/>
      <c r="C2269"/>
      <c r="D2269"/>
      <c r="E2269"/>
      <c r="F2269" s="855"/>
    </row>
    <row r="2270" spans="1:6" x14ac:dyDescent="0.2">
      <c r="A2270" s="368"/>
      <c r="B2270"/>
      <c r="C2270"/>
      <c r="D2270"/>
      <c r="E2270"/>
      <c r="F2270" s="855"/>
    </row>
    <row r="2271" spans="1:6" x14ac:dyDescent="0.2">
      <c r="A2271" s="368"/>
      <c r="B2271"/>
      <c r="C2271"/>
      <c r="D2271"/>
      <c r="E2271"/>
      <c r="F2271" s="855"/>
    </row>
    <row r="2272" spans="1:6" x14ac:dyDescent="0.2">
      <c r="A2272" s="368"/>
      <c r="B2272"/>
      <c r="C2272"/>
      <c r="D2272"/>
      <c r="E2272"/>
      <c r="F2272" s="855"/>
    </row>
    <row r="2273" spans="1:6" x14ac:dyDescent="0.2">
      <c r="A2273" s="368"/>
      <c r="B2273"/>
      <c r="C2273"/>
      <c r="D2273"/>
      <c r="E2273"/>
      <c r="F2273" s="855"/>
    </row>
    <row r="2274" spans="1:6" x14ac:dyDescent="0.2">
      <c r="A2274" s="368"/>
      <c r="B2274"/>
      <c r="C2274"/>
      <c r="D2274"/>
      <c r="E2274"/>
      <c r="F2274" s="855"/>
    </row>
    <row r="2275" spans="1:6" x14ac:dyDescent="0.2">
      <c r="A2275" s="368"/>
      <c r="B2275"/>
      <c r="C2275"/>
      <c r="D2275"/>
      <c r="E2275"/>
      <c r="F2275" s="855"/>
    </row>
    <row r="2276" spans="1:6" x14ac:dyDescent="0.2">
      <c r="A2276" s="368"/>
      <c r="B2276"/>
      <c r="C2276"/>
      <c r="D2276"/>
      <c r="E2276"/>
      <c r="F2276" s="855"/>
    </row>
    <row r="2277" spans="1:6" x14ac:dyDescent="0.2">
      <c r="A2277" s="368"/>
      <c r="B2277"/>
      <c r="C2277"/>
      <c r="D2277"/>
      <c r="E2277"/>
      <c r="F2277" s="855"/>
    </row>
    <row r="2278" spans="1:6" x14ac:dyDescent="0.2">
      <c r="A2278" s="368"/>
      <c r="B2278"/>
      <c r="C2278"/>
      <c r="D2278"/>
      <c r="E2278"/>
      <c r="F2278" s="855"/>
    </row>
    <row r="2279" spans="1:6" x14ac:dyDescent="0.2">
      <c r="A2279" s="368"/>
      <c r="B2279"/>
      <c r="C2279"/>
      <c r="D2279"/>
      <c r="E2279"/>
      <c r="F2279" s="855"/>
    </row>
    <row r="2280" spans="1:6" x14ac:dyDescent="0.2">
      <c r="A2280" s="368"/>
      <c r="B2280"/>
      <c r="C2280"/>
      <c r="D2280"/>
      <c r="E2280"/>
      <c r="F2280" s="855"/>
    </row>
    <row r="2281" spans="1:6" x14ac:dyDescent="0.2">
      <c r="A2281" s="368"/>
      <c r="B2281"/>
      <c r="C2281"/>
      <c r="D2281"/>
      <c r="E2281"/>
      <c r="F2281" s="855"/>
    </row>
    <row r="2282" spans="1:6" x14ac:dyDescent="0.2">
      <c r="A2282" s="368"/>
      <c r="B2282"/>
      <c r="C2282"/>
      <c r="D2282"/>
      <c r="E2282"/>
      <c r="F2282" s="855"/>
    </row>
    <row r="2283" spans="1:6" x14ac:dyDescent="0.2">
      <c r="A2283" s="368"/>
      <c r="B2283"/>
      <c r="C2283"/>
      <c r="D2283"/>
      <c r="E2283"/>
      <c r="F2283" s="855"/>
    </row>
    <row r="2284" spans="1:6" x14ac:dyDescent="0.2">
      <c r="A2284" s="368"/>
      <c r="B2284"/>
      <c r="C2284"/>
      <c r="D2284"/>
      <c r="E2284"/>
      <c r="F2284" s="855"/>
    </row>
    <row r="2285" spans="1:6" x14ac:dyDescent="0.2">
      <c r="A2285" s="368"/>
      <c r="B2285"/>
      <c r="C2285"/>
      <c r="D2285"/>
      <c r="E2285"/>
      <c r="F2285" s="855"/>
    </row>
    <row r="2286" spans="1:6" x14ac:dyDescent="0.2">
      <c r="A2286" s="368"/>
      <c r="B2286"/>
      <c r="C2286"/>
      <c r="D2286"/>
      <c r="E2286"/>
      <c r="F2286" s="855"/>
    </row>
    <row r="2287" spans="1:6" x14ac:dyDescent="0.2">
      <c r="A2287" s="368"/>
      <c r="B2287"/>
      <c r="C2287"/>
      <c r="D2287"/>
      <c r="E2287"/>
      <c r="F2287" s="855"/>
    </row>
    <row r="2288" spans="1:6" x14ac:dyDescent="0.2">
      <c r="A2288" s="368"/>
      <c r="B2288"/>
      <c r="C2288"/>
      <c r="D2288"/>
      <c r="E2288"/>
      <c r="F2288" s="855"/>
    </row>
    <row r="2289" spans="1:6" x14ac:dyDescent="0.2">
      <c r="A2289" s="368"/>
      <c r="B2289"/>
      <c r="C2289"/>
      <c r="D2289"/>
      <c r="E2289"/>
      <c r="F2289" s="855"/>
    </row>
    <row r="2290" spans="1:6" x14ac:dyDescent="0.2">
      <c r="A2290" s="368"/>
      <c r="B2290"/>
      <c r="C2290"/>
      <c r="D2290"/>
      <c r="E2290"/>
      <c r="F2290" s="855"/>
    </row>
    <row r="2291" spans="1:6" x14ac:dyDescent="0.2">
      <c r="A2291" s="368"/>
      <c r="B2291"/>
      <c r="C2291"/>
      <c r="D2291"/>
      <c r="E2291"/>
      <c r="F2291" s="855"/>
    </row>
    <row r="2292" spans="1:6" x14ac:dyDescent="0.2">
      <c r="A2292" s="368"/>
      <c r="B2292"/>
      <c r="C2292"/>
      <c r="D2292"/>
      <c r="E2292"/>
      <c r="F2292" s="855"/>
    </row>
    <row r="2293" spans="1:6" x14ac:dyDescent="0.2">
      <c r="A2293" s="368"/>
      <c r="B2293"/>
      <c r="C2293"/>
      <c r="D2293"/>
      <c r="E2293"/>
      <c r="F2293" s="855"/>
    </row>
    <row r="2294" spans="1:6" x14ac:dyDescent="0.2">
      <c r="A2294" s="368"/>
      <c r="B2294"/>
      <c r="C2294"/>
      <c r="D2294"/>
      <c r="E2294"/>
      <c r="F2294" s="855"/>
    </row>
    <row r="2295" spans="1:6" x14ac:dyDescent="0.2">
      <c r="A2295" s="368"/>
      <c r="B2295"/>
      <c r="C2295"/>
      <c r="D2295"/>
      <c r="E2295"/>
      <c r="F2295" s="855"/>
    </row>
    <row r="2296" spans="1:6" x14ac:dyDescent="0.2">
      <c r="A2296" s="368"/>
      <c r="B2296"/>
      <c r="C2296"/>
      <c r="D2296"/>
      <c r="E2296"/>
      <c r="F2296" s="855"/>
    </row>
    <row r="2297" spans="1:6" x14ac:dyDescent="0.2">
      <c r="A2297" s="368"/>
      <c r="B2297"/>
      <c r="C2297"/>
      <c r="D2297"/>
      <c r="E2297"/>
      <c r="F2297" s="855"/>
    </row>
    <row r="2298" spans="1:6" x14ac:dyDescent="0.2">
      <c r="A2298" s="368"/>
      <c r="B2298"/>
      <c r="C2298"/>
      <c r="D2298"/>
      <c r="E2298"/>
      <c r="F2298" s="855"/>
    </row>
    <row r="2299" spans="1:6" x14ac:dyDescent="0.2">
      <c r="A2299" s="368"/>
      <c r="B2299"/>
      <c r="C2299"/>
      <c r="D2299"/>
      <c r="E2299"/>
      <c r="F2299" s="855"/>
    </row>
    <row r="2300" spans="1:6" x14ac:dyDescent="0.2">
      <c r="A2300" s="368"/>
      <c r="B2300"/>
      <c r="C2300"/>
      <c r="D2300"/>
      <c r="E2300"/>
      <c r="F2300" s="855"/>
    </row>
    <row r="2301" spans="1:6" x14ac:dyDescent="0.2">
      <c r="A2301" s="368"/>
      <c r="B2301"/>
      <c r="C2301"/>
      <c r="D2301"/>
      <c r="E2301"/>
      <c r="F2301" s="855"/>
    </row>
    <row r="2302" spans="1:6" x14ac:dyDescent="0.2">
      <c r="A2302" s="368"/>
      <c r="B2302"/>
      <c r="C2302"/>
      <c r="D2302"/>
      <c r="E2302"/>
      <c r="F2302" s="855"/>
    </row>
    <row r="2303" spans="1:6" x14ac:dyDescent="0.2">
      <c r="A2303" s="368"/>
      <c r="B2303"/>
      <c r="C2303"/>
      <c r="D2303"/>
      <c r="E2303"/>
      <c r="F2303" s="855"/>
    </row>
    <row r="2304" spans="1:6" x14ac:dyDescent="0.2">
      <c r="A2304" s="368"/>
      <c r="B2304"/>
      <c r="C2304"/>
      <c r="D2304"/>
      <c r="E2304"/>
      <c r="F2304" s="855"/>
    </row>
    <row r="2305" spans="1:6" x14ac:dyDescent="0.2">
      <c r="A2305" s="368"/>
      <c r="B2305"/>
      <c r="C2305"/>
      <c r="D2305"/>
      <c r="E2305"/>
      <c r="F2305" s="855"/>
    </row>
    <row r="2306" spans="1:6" x14ac:dyDescent="0.2">
      <c r="A2306" s="368"/>
      <c r="B2306"/>
      <c r="C2306"/>
      <c r="D2306"/>
      <c r="E2306"/>
      <c r="F2306" s="855"/>
    </row>
    <row r="2307" spans="1:6" x14ac:dyDescent="0.2">
      <c r="A2307" s="368"/>
      <c r="B2307"/>
      <c r="C2307"/>
      <c r="D2307"/>
      <c r="E2307"/>
      <c r="F2307" s="855"/>
    </row>
    <row r="2308" spans="1:6" x14ac:dyDescent="0.2">
      <c r="A2308" s="368"/>
      <c r="B2308"/>
      <c r="C2308"/>
      <c r="D2308"/>
      <c r="E2308"/>
      <c r="F2308" s="855"/>
    </row>
    <row r="2309" spans="1:6" x14ac:dyDescent="0.2">
      <c r="A2309" s="368"/>
      <c r="B2309"/>
      <c r="C2309"/>
      <c r="D2309"/>
      <c r="E2309"/>
      <c r="F2309" s="855"/>
    </row>
    <row r="2310" spans="1:6" x14ac:dyDescent="0.2">
      <c r="A2310" s="368"/>
      <c r="B2310"/>
      <c r="C2310"/>
      <c r="D2310"/>
      <c r="E2310"/>
      <c r="F2310" s="855"/>
    </row>
    <row r="2311" spans="1:6" x14ac:dyDescent="0.2">
      <c r="A2311" s="368"/>
      <c r="B2311"/>
      <c r="C2311"/>
      <c r="D2311"/>
      <c r="E2311"/>
      <c r="F2311" s="855"/>
    </row>
    <row r="2312" spans="1:6" x14ac:dyDescent="0.2">
      <c r="A2312" s="368"/>
      <c r="B2312"/>
      <c r="C2312"/>
      <c r="D2312"/>
      <c r="E2312"/>
      <c r="F2312" s="855"/>
    </row>
    <row r="2313" spans="1:6" x14ac:dyDescent="0.2">
      <c r="A2313" s="368"/>
      <c r="B2313"/>
      <c r="C2313"/>
      <c r="D2313"/>
      <c r="E2313"/>
      <c r="F2313" s="855"/>
    </row>
    <row r="2314" spans="1:6" x14ac:dyDescent="0.2">
      <c r="A2314" s="368"/>
      <c r="B2314"/>
      <c r="C2314"/>
      <c r="D2314"/>
      <c r="E2314"/>
      <c r="F2314" s="855"/>
    </row>
    <row r="2315" spans="1:6" x14ac:dyDescent="0.2">
      <c r="A2315" s="368"/>
      <c r="B2315"/>
      <c r="C2315"/>
      <c r="D2315"/>
      <c r="E2315"/>
      <c r="F2315" s="855"/>
    </row>
    <row r="2316" spans="1:6" x14ac:dyDescent="0.2">
      <c r="A2316" s="368"/>
      <c r="B2316"/>
      <c r="C2316"/>
      <c r="D2316"/>
      <c r="E2316"/>
      <c r="F2316" s="855"/>
    </row>
    <row r="2317" spans="1:6" x14ac:dyDescent="0.2">
      <c r="A2317" s="368"/>
      <c r="B2317"/>
      <c r="C2317"/>
      <c r="D2317"/>
      <c r="E2317"/>
      <c r="F2317" s="855"/>
    </row>
    <row r="2318" spans="1:6" x14ac:dyDescent="0.2">
      <c r="A2318" s="368"/>
      <c r="B2318"/>
      <c r="C2318"/>
      <c r="D2318"/>
      <c r="E2318"/>
      <c r="F2318" s="855"/>
    </row>
    <row r="2319" spans="1:6" x14ac:dyDescent="0.2">
      <c r="A2319" s="368"/>
      <c r="B2319"/>
      <c r="C2319"/>
      <c r="D2319"/>
      <c r="E2319"/>
      <c r="F2319" s="855"/>
    </row>
    <row r="2320" spans="1:6" x14ac:dyDescent="0.2">
      <c r="A2320" s="368"/>
      <c r="B2320"/>
      <c r="C2320"/>
      <c r="D2320"/>
      <c r="E2320"/>
      <c r="F2320" s="855"/>
    </row>
    <row r="2321" spans="1:6" x14ac:dyDescent="0.2">
      <c r="A2321" s="368"/>
      <c r="B2321"/>
      <c r="C2321"/>
      <c r="D2321"/>
      <c r="E2321"/>
      <c r="F2321" s="855"/>
    </row>
    <row r="2322" spans="1:6" x14ac:dyDescent="0.2">
      <c r="A2322" s="368"/>
      <c r="B2322"/>
      <c r="C2322"/>
      <c r="D2322"/>
      <c r="E2322"/>
      <c r="F2322" s="855"/>
    </row>
    <row r="2323" spans="1:6" x14ac:dyDescent="0.2">
      <c r="A2323" s="368"/>
      <c r="B2323"/>
      <c r="C2323"/>
      <c r="D2323"/>
      <c r="E2323"/>
      <c r="F2323" s="855"/>
    </row>
    <row r="2324" spans="1:6" x14ac:dyDescent="0.2">
      <c r="A2324" s="368"/>
      <c r="B2324"/>
      <c r="C2324"/>
      <c r="D2324"/>
      <c r="E2324"/>
      <c r="F2324" s="855"/>
    </row>
    <row r="2325" spans="1:6" x14ac:dyDescent="0.2">
      <c r="A2325" s="368"/>
      <c r="B2325"/>
      <c r="C2325"/>
      <c r="D2325"/>
      <c r="E2325"/>
      <c r="F2325" s="855"/>
    </row>
    <row r="2326" spans="1:6" x14ac:dyDescent="0.2">
      <c r="A2326" s="368"/>
      <c r="B2326"/>
      <c r="C2326"/>
      <c r="D2326"/>
      <c r="E2326"/>
      <c r="F2326" s="855"/>
    </row>
    <row r="2327" spans="1:6" x14ac:dyDescent="0.2">
      <c r="A2327" s="368"/>
      <c r="B2327"/>
      <c r="C2327"/>
      <c r="D2327"/>
      <c r="E2327"/>
      <c r="F2327" s="855"/>
    </row>
    <row r="2328" spans="1:6" x14ac:dyDescent="0.2">
      <c r="A2328" s="368"/>
      <c r="B2328"/>
      <c r="C2328"/>
      <c r="D2328"/>
      <c r="E2328"/>
      <c r="F2328" s="855"/>
    </row>
    <row r="2329" spans="1:6" x14ac:dyDescent="0.2">
      <c r="A2329" s="368"/>
      <c r="B2329"/>
      <c r="C2329"/>
      <c r="D2329"/>
      <c r="E2329"/>
      <c r="F2329" s="855"/>
    </row>
    <row r="2330" spans="1:6" x14ac:dyDescent="0.2">
      <c r="A2330" s="368"/>
      <c r="B2330"/>
      <c r="C2330"/>
      <c r="D2330"/>
      <c r="E2330"/>
      <c r="F2330" s="855"/>
    </row>
    <row r="2331" spans="1:6" x14ac:dyDescent="0.2">
      <c r="A2331" s="368"/>
      <c r="B2331"/>
      <c r="C2331"/>
      <c r="D2331"/>
      <c r="E2331"/>
      <c r="F2331" s="855"/>
    </row>
    <row r="2332" spans="1:6" x14ac:dyDescent="0.2">
      <c r="A2332" s="368"/>
      <c r="B2332"/>
      <c r="C2332"/>
      <c r="D2332"/>
      <c r="E2332"/>
      <c r="F2332" s="855"/>
    </row>
    <row r="2333" spans="1:6" x14ac:dyDescent="0.2">
      <c r="A2333" s="368"/>
      <c r="B2333"/>
      <c r="C2333"/>
      <c r="D2333"/>
      <c r="E2333"/>
      <c r="F2333" s="855"/>
    </row>
    <row r="2334" spans="1:6" x14ac:dyDescent="0.2">
      <c r="A2334" s="368"/>
      <c r="B2334"/>
      <c r="C2334"/>
      <c r="D2334"/>
      <c r="E2334"/>
      <c r="F2334" s="855"/>
    </row>
    <row r="2335" spans="1:6" x14ac:dyDescent="0.2">
      <c r="A2335" s="368"/>
      <c r="B2335"/>
      <c r="C2335"/>
      <c r="D2335"/>
      <c r="E2335"/>
      <c r="F2335" s="855"/>
    </row>
    <row r="2336" spans="1:6" x14ac:dyDescent="0.2">
      <c r="A2336" s="368"/>
      <c r="B2336"/>
      <c r="C2336"/>
      <c r="D2336"/>
      <c r="E2336"/>
      <c r="F2336" s="855"/>
    </row>
    <row r="2337" spans="1:6" x14ac:dyDescent="0.2">
      <c r="A2337" s="368"/>
      <c r="B2337"/>
      <c r="C2337"/>
      <c r="D2337"/>
      <c r="E2337"/>
      <c r="F2337" s="855"/>
    </row>
    <row r="2338" spans="1:6" x14ac:dyDescent="0.2">
      <c r="A2338" s="368"/>
      <c r="B2338"/>
      <c r="C2338"/>
      <c r="D2338"/>
      <c r="E2338"/>
      <c r="F2338" s="855"/>
    </row>
    <row r="2339" spans="1:6" x14ac:dyDescent="0.2">
      <c r="A2339" s="368"/>
      <c r="B2339"/>
      <c r="C2339"/>
      <c r="D2339"/>
      <c r="E2339"/>
      <c r="F2339" s="855"/>
    </row>
    <row r="2340" spans="1:6" x14ac:dyDescent="0.2">
      <c r="A2340" s="368"/>
      <c r="B2340"/>
      <c r="C2340"/>
      <c r="D2340"/>
      <c r="E2340"/>
      <c r="F2340" s="855"/>
    </row>
    <row r="2341" spans="1:6" x14ac:dyDescent="0.2">
      <c r="A2341" s="368"/>
      <c r="B2341"/>
      <c r="C2341"/>
      <c r="D2341"/>
      <c r="E2341"/>
      <c r="F2341" s="855"/>
    </row>
    <row r="2342" spans="1:6" x14ac:dyDescent="0.2">
      <c r="A2342" s="368"/>
      <c r="B2342"/>
      <c r="C2342"/>
      <c r="D2342"/>
      <c r="E2342"/>
      <c r="F2342" s="855"/>
    </row>
    <row r="2343" spans="1:6" x14ac:dyDescent="0.2">
      <c r="A2343" s="368"/>
      <c r="B2343"/>
      <c r="C2343"/>
      <c r="D2343"/>
      <c r="E2343"/>
      <c r="F2343" s="855"/>
    </row>
    <row r="2344" spans="1:6" x14ac:dyDescent="0.2">
      <c r="A2344" s="368"/>
      <c r="B2344"/>
      <c r="C2344"/>
      <c r="D2344"/>
      <c r="E2344"/>
      <c r="F2344" s="855"/>
    </row>
    <row r="2345" spans="1:6" x14ac:dyDescent="0.2">
      <c r="A2345" s="368"/>
      <c r="B2345"/>
      <c r="C2345"/>
      <c r="D2345"/>
      <c r="E2345"/>
      <c r="F2345" s="855"/>
    </row>
    <row r="2346" spans="1:6" x14ac:dyDescent="0.2">
      <c r="A2346" s="368"/>
      <c r="B2346"/>
      <c r="C2346"/>
      <c r="D2346"/>
      <c r="E2346"/>
      <c r="F2346" s="855"/>
    </row>
    <row r="2347" spans="1:6" x14ac:dyDescent="0.2">
      <c r="A2347" s="368"/>
      <c r="B2347"/>
      <c r="C2347"/>
      <c r="D2347"/>
      <c r="E2347"/>
      <c r="F2347" s="855"/>
    </row>
    <row r="2348" spans="1:6" x14ac:dyDescent="0.2">
      <c r="A2348" s="368"/>
      <c r="B2348"/>
      <c r="C2348"/>
      <c r="D2348"/>
      <c r="E2348"/>
      <c r="F2348" s="855"/>
    </row>
    <row r="2349" spans="1:6" x14ac:dyDescent="0.2">
      <c r="A2349" s="368"/>
      <c r="B2349"/>
      <c r="C2349"/>
      <c r="D2349"/>
      <c r="E2349"/>
      <c r="F2349" s="855"/>
    </row>
    <row r="2350" spans="1:6" x14ac:dyDescent="0.2">
      <c r="A2350" s="368"/>
      <c r="B2350"/>
      <c r="C2350"/>
      <c r="D2350"/>
      <c r="E2350"/>
      <c r="F2350" s="855"/>
    </row>
    <row r="2351" spans="1:6" x14ac:dyDescent="0.2">
      <c r="A2351" s="368"/>
      <c r="B2351"/>
      <c r="C2351"/>
      <c r="D2351"/>
      <c r="E2351"/>
      <c r="F2351" s="855"/>
    </row>
    <row r="2352" spans="1:6" x14ac:dyDescent="0.2">
      <c r="A2352" s="368"/>
      <c r="B2352"/>
      <c r="C2352"/>
      <c r="D2352"/>
      <c r="E2352"/>
      <c r="F2352" s="855"/>
    </row>
    <row r="2353" spans="1:6" x14ac:dyDescent="0.2">
      <c r="A2353" s="368"/>
      <c r="B2353"/>
      <c r="C2353"/>
      <c r="D2353"/>
      <c r="E2353"/>
      <c r="F2353" s="855"/>
    </row>
    <row r="2354" spans="1:6" x14ac:dyDescent="0.2">
      <c r="A2354" s="368"/>
      <c r="B2354"/>
      <c r="C2354"/>
      <c r="D2354"/>
      <c r="E2354"/>
      <c r="F2354" s="855"/>
    </row>
    <row r="2355" spans="1:6" x14ac:dyDescent="0.2">
      <c r="A2355" s="368"/>
      <c r="B2355"/>
      <c r="C2355"/>
      <c r="D2355"/>
      <c r="E2355"/>
      <c r="F2355" s="855"/>
    </row>
    <row r="2356" spans="1:6" x14ac:dyDescent="0.2">
      <c r="A2356" s="368"/>
      <c r="B2356"/>
      <c r="C2356"/>
      <c r="D2356"/>
      <c r="E2356"/>
      <c r="F2356" s="855"/>
    </row>
    <row r="2357" spans="1:6" x14ac:dyDescent="0.2">
      <c r="A2357" s="368"/>
      <c r="B2357"/>
      <c r="C2357"/>
      <c r="D2357"/>
      <c r="E2357"/>
      <c r="F2357" s="855"/>
    </row>
    <row r="2358" spans="1:6" x14ac:dyDescent="0.2">
      <c r="A2358" s="368"/>
      <c r="B2358"/>
      <c r="C2358"/>
      <c r="D2358"/>
      <c r="E2358"/>
      <c r="F2358" s="855"/>
    </row>
    <row r="2359" spans="1:6" x14ac:dyDescent="0.2">
      <c r="A2359" s="368"/>
      <c r="B2359"/>
      <c r="C2359"/>
      <c r="D2359"/>
      <c r="E2359"/>
      <c r="F2359" s="855"/>
    </row>
    <row r="2360" spans="1:6" x14ac:dyDescent="0.2">
      <c r="A2360" s="368"/>
      <c r="B2360"/>
      <c r="C2360"/>
      <c r="D2360"/>
      <c r="E2360"/>
      <c r="F2360" s="855"/>
    </row>
    <row r="2361" spans="1:6" x14ac:dyDescent="0.2">
      <c r="A2361" s="368"/>
      <c r="B2361"/>
      <c r="C2361"/>
      <c r="D2361"/>
      <c r="E2361"/>
      <c r="F2361" s="855"/>
    </row>
    <row r="2362" spans="1:6" x14ac:dyDescent="0.2">
      <c r="A2362" s="368"/>
      <c r="B2362"/>
      <c r="C2362"/>
      <c r="D2362"/>
      <c r="E2362"/>
      <c r="F2362" s="855"/>
    </row>
    <row r="2363" spans="1:6" x14ac:dyDescent="0.2">
      <c r="A2363" s="368"/>
      <c r="B2363"/>
      <c r="C2363"/>
      <c r="D2363"/>
      <c r="E2363"/>
      <c r="F2363" s="855"/>
    </row>
    <row r="2364" spans="1:6" x14ac:dyDescent="0.2">
      <c r="A2364" s="368"/>
      <c r="B2364"/>
      <c r="C2364"/>
      <c r="D2364"/>
      <c r="E2364"/>
      <c r="F2364" s="855"/>
    </row>
    <row r="2365" spans="1:6" x14ac:dyDescent="0.2">
      <c r="A2365" s="368"/>
      <c r="B2365"/>
      <c r="C2365"/>
      <c r="D2365"/>
      <c r="E2365"/>
      <c r="F2365" s="855"/>
    </row>
    <row r="2366" spans="1:6" x14ac:dyDescent="0.2">
      <c r="A2366" s="368"/>
      <c r="B2366"/>
      <c r="C2366"/>
      <c r="D2366"/>
      <c r="E2366"/>
      <c r="F2366" s="855"/>
    </row>
    <row r="2367" spans="1:6" x14ac:dyDescent="0.2">
      <c r="A2367" s="368"/>
      <c r="B2367"/>
      <c r="C2367"/>
      <c r="D2367"/>
      <c r="E2367"/>
      <c r="F2367" s="855"/>
    </row>
    <row r="2368" spans="1:6" x14ac:dyDescent="0.2">
      <c r="A2368" s="368"/>
      <c r="B2368"/>
      <c r="C2368"/>
      <c r="D2368"/>
      <c r="E2368"/>
      <c r="F2368" s="855"/>
    </row>
    <row r="2369" spans="1:6" x14ac:dyDescent="0.2">
      <c r="A2369" s="368"/>
      <c r="B2369"/>
      <c r="C2369"/>
      <c r="D2369"/>
      <c r="E2369"/>
      <c r="F2369" s="855"/>
    </row>
    <row r="2370" spans="1:6" x14ac:dyDescent="0.2">
      <c r="A2370" s="368"/>
      <c r="B2370"/>
      <c r="C2370"/>
      <c r="D2370"/>
      <c r="E2370"/>
      <c r="F2370" s="855"/>
    </row>
    <row r="2371" spans="1:6" x14ac:dyDescent="0.2">
      <c r="A2371" s="368"/>
      <c r="B2371"/>
      <c r="C2371"/>
      <c r="D2371"/>
      <c r="E2371"/>
      <c r="F2371" s="855"/>
    </row>
    <row r="2372" spans="1:6" x14ac:dyDescent="0.2">
      <c r="A2372" s="368"/>
      <c r="B2372"/>
      <c r="C2372"/>
      <c r="D2372"/>
      <c r="E2372"/>
      <c r="F2372" s="855"/>
    </row>
    <row r="2373" spans="1:6" x14ac:dyDescent="0.2">
      <c r="A2373" s="368"/>
      <c r="B2373"/>
      <c r="C2373"/>
      <c r="D2373"/>
      <c r="E2373"/>
      <c r="F2373" s="855"/>
    </row>
    <row r="2374" spans="1:6" x14ac:dyDescent="0.2">
      <c r="A2374" s="368"/>
      <c r="B2374"/>
      <c r="C2374"/>
      <c r="D2374"/>
      <c r="E2374"/>
      <c r="F2374" s="855"/>
    </row>
    <row r="2375" spans="1:6" x14ac:dyDescent="0.2">
      <c r="A2375" s="368"/>
      <c r="B2375"/>
      <c r="C2375"/>
      <c r="D2375"/>
      <c r="E2375"/>
      <c r="F2375" s="855"/>
    </row>
    <row r="2376" spans="1:6" x14ac:dyDescent="0.2">
      <c r="A2376" s="368"/>
      <c r="B2376"/>
      <c r="C2376"/>
      <c r="D2376"/>
      <c r="E2376"/>
      <c r="F2376" s="855"/>
    </row>
    <row r="2377" spans="1:6" x14ac:dyDescent="0.2">
      <c r="A2377" s="368"/>
      <c r="B2377"/>
      <c r="C2377"/>
      <c r="D2377"/>
      <c r="E2377"/>
      <c r="F2377" s="855"/>
    </row>
    <row r="2378" spans="1:6" x14ac:dyDescent="0.2">
      <c r="A2378" s="368"/>
      <c r="B2378"/>
      <c r="C2378"/>
      <c r="D2378"/>
      <c r="E2378"/>
      <c r="F2378" s="855"/>
    </row>
    <row r="2379" spans="1:6" x14ac:dyDescent="0.2">
      <c r="A2379" s="368"/>
      <c r="B2379"/>
      <c r="C2379"/>
      <c r="D2379"/>
      <c r="E2379"/>
      <c r="F2379" s="855"/>
    </row>
    <row r="2380" spans="1:6" x14ac:dyDescent="0.2">
      <c r="A2380" s="368"/>
      <c r="B2380"/>
      <c r="C2380"/>
      <c r="D2380"/>
      <c r="E2380"/>
      <c r="F2380" s="855"/>
    </row>
    <row r="2381" spans="1:6" x14ac:dyDescent="0.2">
      <c r="A2381" s="368"/>
      <c r="B2381"/>
      <c r="C2381"/>
      <c r="D2381"/>
      <c r="E2381"/>
      <c r="F2381" s="855"/>
    </row>
    <row r="2382" spans="1:6" x14ac:dyDescent="0.2">
      <c r="A2382" s="368"/>
      <c r="B2382"/>
      <c r="C2382"/>
      <c r="D2382"/>
      <c r="E2382"/>
      <c r="F2382" s="855"/>
    </row>
    <row r="2383" spans="1:6" x14ac:dyDescent="0.2">
      <c r="A2383" s="368"/>
      <c r="B2383"/>
      <c r="C2383"/>
      <c r="D2383"/>
      <c r="E2383"/>
      <c r="F2383" s="855"/>
    </row>
    <row r="2384" spans="1:6" x14ac:dyDescent="0.2">
      <c r="A2384" s="368"/>
      <c r="B2384"/>
      <c r="C2384"/>
      <c r="D2384"/>
      <c r="E2384"/>
      <c r="F2384" s="855"/>
    </row>
    <row r="2385" spans="1:6" x14ac:dyDescent="0.2">
      <c r="A2385" s="368"/>
      <c r="B2385"/>
      <c r="C2385"/>
      <c r="D2385"/>
      <c r="E2385"/>
      <c r="F2385" s="855"/>
    </row>
    <row r="2386" spans="1:6" x14ac:dyDescent="0.2">
      <c r="A2386" s="368"/>
      <c r="B2386"/>
      <c r="C2386"/>
      <c r="D2386"/>
      <c r="E2386"/>
      <c r="F2386" s="855"/>
    </row>
    <row r="2387" spans="1:6" x14ac:dyDescent="0.2">
      <c r="A2387" s="368"/>
      <c r="B2387"/>
      <c r="C2387"/>
      <c r="D2387"/>
      <c r="E2387"/>
      <c r="F2387" s="855"/>
    </row>
    <row r="2388" spans="1:6" x14ac:dyDescent="0.2">
      <c r="A2388" s="368"/>
      <c r="B2388"/>
      <c r="C2388"/>
      <c r="D2388"/>
      <c r="E2388"/>
      <c r="F2388" s="855"/>
    </row>
    <row r="2389" spans="1:6" x14ac:dyDescent="0.2">
      <c r="A2389" s="368"/>
      <c r="B2389"/>
      <c r="C2389"/>
      <c r="D2389"/>
      <c r="E2389"/>
      <c r="F2389" s="855"/>
    </row>
    <row r="2390" spans="1:6" x14ac:dyDescent="0.2">
      <c r="A2390" s="368"/>
      <c r="B2390"/>
      <c r="C2390"/>
      <c r="D2390"/>
      <c r="E2390"/>
      <c r="F2390" s="855"/>
    </row>
    <row r="2391" spans="1:6" x14ac:dyDescent="0.2">
      <c r="A2391" s="368"/>
      <c r="B2391"/>
      <c r="C2391"/>
      <c r="D2391"/>
      <c r="E2391"/>
      <c r="F2391" s="855"/>
    </row>
    <row r="2392" spans="1:6" x14ac:dyDescent="0.2">
      <c r="A2392" s="368"/>
      <c r="B2392"/>
      <c r="C2392"/>
      <c r="D2392"/>
      <c r="E2392"/>
      <c r="F2392" s="855"/>
    </row>
    <row r="2393" spans="1:6" x14ac:dyDescent="0.2">
      <c r="A2393" s="368"/>
      <c r="B2393"/>
      <c r="C2393"/>
      <c r="D2393"/>
      <c r="E2393"/>
      <c r="F2393" s="855"/>
    </row>
    <row r="2394" spans="1:6" x14ac:dyDescent="0.2">
      <c r="A2394" s="368"/>
      <c r="B2394"/>
      <c r="C2394"/>
      <c r="D2394"/>
      <c r="E2394"/>
      <c r="F2394" s="855"/>
    </row>
    <row r="2395" spans="1:6" x14ac:dyDescent="0.2">
      <c r="A2395" s="368"/>
      <c r="B2395"/>
      <c r="C2395"/>
      <c r="D2395"/>
      <c r="E2395"/>
      <c r="F2395" s="855"/>
    </row>
    <row r="2396" spans="1:6" x14ac:dyDescent="0.2">
      <c r="A2396" s="368"/>
      <c r="B2396"/>
      <c r="C2396"/>
      <c r="D2396"/>
      <c r="E2396"/>
      <c r="F2396" s="855"/>
    </row>
    <row r="2397" spans="1:6" x14ac:dyDescent="0.2">
      <c r="A2397" s="368"/>
      <c r="B2397"/>
      <c r="C2397"/>
      <c r="D2397"/>
      <c r="E2397"/>
      <c r="F2397" s="855"/>
    </row>
    <row r="2398" spans="1:6" x14ac:dyDescent="0.2">
      <c r="A2398" s="368"/>
      <c r="B2398"/>
      <c r="C2398"/>
      <c r="D2398"/>
      <c r="E2398"/>
      <c r="F2398" s="855"/>
    </row>
    <row r="2399" spans="1:6" x14ac:dyDescent="0.2">
      <c r="A2399" s="368"/>
      <c r="B2399"/>
      <c r="C2399"/>
      <c r="D2399"/>
      <c r="E2399"/>
      <c r="F2399" s="855"/>
    </row>
    <row r="2400" spans="1:6" x14ac:dyDescent="0.2">
      <c r="A2400" s="368"/>
      <c r="B2400"/>
      <c r="C2400"/>
      <c r="D2400"/>
      <c r="E2400"/>
      <c r="F2400" s="855"/>
    </row>
    <row r="2401" spans="1:6" x14ac:dyDescent="0.2">
      <c r="A2401" s="368"/>
      <c r="B2401"/>
      <c r="C2401"/>
      <c r="D2401"/>
      <c r="E2401"/>
      <c r="F2401" s="855"/>
    </row>
    <row r="2402" spans="1:6" x14ac:dyDescent="0.2">
      <c r="A2402" s="368"/>
      <c r="B2402"/>
      <c r="C2402"/>
      <c r="D2402"/>
      <c r="E2402"/>
      <c r="F2402" s="855"/>
    </row>
    <row r="2403" spans="1:6" x14ac:dyDescent="0.2">
      <c r="A2403" s="368"/>
      <c r="B2403"/>
      <c r="C2403"/>
      <c r="D2403"/>
      <c r="E2403"/>
      <c r="F2403" s="855"/>
    </row>
    <row r="2404" spans="1:6" x14ac:dyDescent="0.2">
      <c r="A2404" s="368"/>
      <c r="B2404"/>
      <c r="C2404"/>
      <c r="D2404"/>
      <c r="E2404"/>
      <c r="F2404" s="855"/>
    </row>
    <row r="2405" spans="1:6" x14ac:dyDescent="0.2">
      <c r="A2405" s="368"/>
      <c r="B2405"/>
      <c r="C2405"/>
      <c r="D2405"/>
      <c r="E2405"/>
      <c r="F2405" s="855"/>
    </row>
    <row r="2406" spans="1:6" x14ac:dyDescent="0.2">
      <c r="A2406" s="368"/>
      <c r="B2406"/>
      <c r="C2406"/>
      <c r="D2406"/>
      <c r="E2406"/>
      <c r="F2406" s="855"/>
    </row>
    <row r="2407" spans="1:6" x14ac:dyDescent="0.2">
      <c r="A2407" s="368"/>
      <c r="B2407"/>
      <c r="C2407"/>
      <c r="D2407"/>
      <c r="E2407"/>
      <c r="F2407" s="855"/>
    </row>
    <row r="2408" spans="1:6" x14ac:dyDescent="0.2">
      <c r="A2408" s="368"/>
      <c r="B2408"/>
      <c r="C2408"/>
      <c r="D2408"/>
      <c r="E2408"/>
      <c r="F2408" s="855"/>
    </row>
    <row r="2409" spans="1:6" x14ac:dyDescent="0.2">
      <c r="A2409" s="368"/>
      <c r="B2409"/>
      <c r="C2409"/>
      <c r="D2409"/>
      <c r="E2409"/>
      <c r="F2409" s="855"/>
    </row>
    <row r="2410" spans="1:6" x14ac:dyDescent="0.2">
      <c r="A2410" s="368"/>
      <c r="B2410"/>
      <c r="C2410"/>
      <c r="D2410"/>
      <c r="E2410"/>
      <c r="F2410" s="855"/>
    </row>
    <row r="2411" spans="1:6" x14ac:dyDescent="0.2">
      <c r="A2411" s="368"/>
      <c r="B2411"/>
      <c r="C2411"/>
      <c r="D2411"/>
      <c r="E2411"/>
      <c r="F2411" s="855"/>
    </row>
    <row r="2412" spans="1:6" x14ac:dyDescent="0.2">
      <c r="A2412" s="368"/>
      <c r="B2412"/>
      <c r="C2412"/>
      <c r="D2412"/>
      <c r="E2412"/>
      <c r="F2412" s="855"/>
    </row>
    <row r="2413" spans="1:6" x14ac:dyDescent="0.2">
      <c r="A2413" s="368"/>
      <c r="B2413"/>
      <c r="C2413"/>
      <c r="D2413"/>
      <c r="E2413"/>
      <c r="F2413" s="855"/>
    </row>
    <row r="2414" spans="1:6" x14ac:dyDescent="0.2">
      <c r="A2414" s="368"/>
      <c r="B2414"/>
      <c r="C2414"/>
      <c r="D2414"/>
      <c r="E2414"/>
      <c r="F2414" s="855"/>
    </row>
    <row r="2415" spans="1:6" x14ac:dyDescent="0.2">
      <c r="A2415" s="368"/>
      <c r="B2415"/>
      <c r="C2415"/>
      <c r="D2415"/>
      <c r="E2415"/>
      <c r="F2415" s="855"/>
    </row>
    <row r="2416" spans="1:6" x14ac:dyDescent="0.2">
      <c r="A2416" s="368"/>
      <c r="B2416"/>
      <c r="C2416"/>
      <c r="D2416"/>
      <c r="E2416"/>
      <c r="F2416" s="855"/>
    </row>
    <row r="2417" spans="1:6" x14ac:dyDescent="0.2">
      <c r="A2417" s="368"/>
      <c r="B2417"/>
      <c r="C2417"/>
      <c r="D2417"/>
      <c r="E2417"/>
      <c r="F2417" s="855"/>
    </row>
    <row r="2418" spans="1:6" x14ac:dyDescent="0.2">
      <c r="A2418" s="368"/>
      <c r="B2418"/>
      <c r="C2418"/>
      <c r="D2418"/>
      <c r="E2418"/>
      <c r="F2418" s="855"/>
    </row>
    <row r="2419" spans="1:6" x14ac:dyDescent="0.2">
      <c r="A2419" s="368"/>
      <c r="B2419"/>
      <c r="C2419"/>
      <c r="D2419"/>
      <c r="E2419"/>
      <c r="F2419" s="855"/>
    </row>
    <row r="2420" spans="1:6" x14ac:dyDescent="0.2">
      <c r="A2420" s="368"/>
      <c r="B2420"/>
      <c r="C2420"/>
      <c r="D2420"/>
      <c r="E2420"/>
      <c r="F2420" s="855"/>
    </row>
    <row r="2421" spans="1:6" x14ac:dyDescent="0.2">
      <c r="A2421" s="368"/>
      <c r="B2421"/>
      <c r="C2421"/>
      <c r="D2421"/>
      <c r="E2421"/>
      <c r="F2421" s="855"/>
    </row>
    <row r="2422" spans="1:6" x14ac:dyDescent="0.2">
      <c r="A2422" s="368"/>
      <c r="B2422"/>
      <c r="C2422"/>
      <c r="D2422"/>
      <c r="E2422"/>
      <c r="F2422" s="855"/>
    </row>
    <row r="2423" spans="1:6" x14ac:dyDescent="0.2">
      <c r="A2423" s="368"/>
      <c r="B2423"/>
      <c r="C2423"/>
      <c r="D2423"/>
      <c r="E2423"/>
      <c r="F2423" s="855"/>
    </row>
    <row r="2424" spans="1:6" x14ac:dyDescent="0.2">
      <c r="A2424" s="368"/>
      <c r="B2424"/>
      <c r="C2424"/>
      <c r="D2424"/>
      <c r="E2424"/>
      <c r="F2424" s="855"/>
    </row>
    <row r="2425" spans="1:6" x14ac:dyDescent="0.2">
      <c r="A2425" s="368"/>
      <c r="B2425"/>
      <c r="C2425"/>
      <c r="D2425"/>
      <c r="E2425"/>
      <c r="F2425" s="855"/>
    </row>
    <row r="2426" spans="1:6" x14ac:dyDescent="0.2">
      <c r="A2426" s="368"/>
      <c r="B2426"/>
      <c r="C2426"/>
      <c r="D2426"/>
      <c r="E2426"/>
      <c r="F2426" s="855"/>
    </row>
    <row r="2427" spans="1:6" x14ac:dyDescent="0.2">
      <c r="A2427" s="368"/>
      <c r="B2427"/>
      <c r="C2427"/>
      <c r="D2427"/>
      <c r="E2427"/>
      <c r="F2427" s="855"/>
    </row>
    <row r="2428" spans="1:6" x14ac:dyDescent="0.2">
      <c r="A2428" s="368"/>
      <c r="B2428"/>
      <c r="C2428"/>
      <c r="D2428"/>
      <c r="E2428"/>
      <c r="F2428" s="855"/>
    </row>
    <row r="2429" spans="1:6" x14ac:dyDescent="0.2">
      <c r="A2429" s="368"/>
      <c r="B2429"/>
      <c r="C2429"/>
      <c r="D2429"/>
      <c r="E2429"/>
      <c r="F2429" s="855"/>
    </row>
    <row r="2430" spans="1:6" x14ac:dyDescent="0.2">
      <c r="A2430" s="368"/>
      <c r="B2430"/>
      <c r="C2430"/>
      <c r="D2430"/>
      <c r="E2430"/>
      <c r="F2430" s="855"/>
    </row>
    <row r="2431" spans="1:6" x14ac:dyDescent="0.2">
      <c r="A2431" s="368"/>
      <c r="B2431"/>
      <c r="C2431"/>
      <c r="D2431"/>
      <c r="E2431"/>
      <c r="F2431" s="855"/>
    </row>
    <row r="2432" spans="1:6" x14ac:dyDescent="0.2">
      <c r="A2432" s="368"/>
      <c r="B2432"/>
      <c r="C2432"/>
      <c r="D2432"/>
      <c r="E2432"/>
      <c r="F2432" s="855"/>
    </row>
    <row r="2433" spans="1:6" x14ac:dyDescent="0.2">
      <c r="A2433" s="368"/>
      <c r="B2433"/>
      <c r="C2433"/>
      <c r="D2433"/>
      <c r="E2433"/>
      <c r="F2433" s="855"/>
    </row>
    <row r="2434" spans="1:6" x14ac:dyDescent="0.2">
      <c r="A2434" s="368"/>
      <c r="B2434"/>
      <c r="C2434"/>
      <c r="D2434"/>
      <c r="E2434"/>
      <c r="F2434" s="855"/>
    </row>
    <row r="2435" spans="1:6" x14ac:dyDescent="0.2">
      <c r="A2435" s="368"/>
      <c r="B2435"/>
      <c r="C2435"/>
      <c r="D2435"/>
      <c r="E2435"/>
      <c r="F2435" s="855"/>
    </row>
    <row r="2436" spans="1:6" x14ac:dyDescent="0.2">
      <c r="A2436" s="368"/>
      <c r="B2436"/>
      <c r="C2436"/>
      <c r="D2436"/>
      <c r="E2436"/>
      <c r="F2436" s="855"/>
    </row>
    <row r="2437" spans="1:6" x14ac:dyDescent="0.2">
      <c r="A2437" s="368"/>
      <c r="B2437"/>
      <c r="C2437"/>
      <c r="D2437"/>
      <c r="E2437"/>
      <c r="F2437" s="855"/>
    </row>
    <row r="2438" spans="1:6" x14ac:dyDescent="0.2">
      <c r="A2438" s="368"/>
      <c r="B2438"/>
      <c r="C2438"/>
      <c r="D2438"/>
      <c r="E2438"/>
      <c r="F2438" s="855"/>
    </row>
    <row r="2439" spans="1:6" x14ac:dyDescent="0.2">
      <c r="A2439" s="368"/>
      <c r="B2439"/>
      <c r="C2439"/>
      <c r="D2439"/>
      <c r="E2439"/>
      <c r="F2439" s="855"/>
    </row>
    <row r="2440" spans="1:6" x14ac:dyDescent="0.2">
      <c r="A2440" s="368"/>
      <c r="B2440"/>
      <c r="C2440"/>
      <c r="D2440"/>
      <c r="E2440"/>
      <c r="F2440" s="855"/>
    </row>
    <row r="2441" spans="1:6" x14ac:dyDescent="0.2">
      <c r="A2441" s="368"/>
      <c r="B2441"/>
      <c r="C2441"/>
      <c r="D2441"/>
      <c r="E2441"/>
      <c r="F2441" s="855"/>
    </row>
    <row r="2442" spans="1:6" x14ac:dyDescent="0.2">
      <c r="A2442" s="368"/>
      <c r="B2442"/>
      <c r="C2442"/>
      <c r="D2442"/>
      <c r="E2442"/>
      <c r="F2442" s="855"/>
    </row>
    <row r="2443" spans="1:6" x14ac:dyDescent="0.2">
      <c r="A2443" s="368"/>
      <c r="B2443"/>
      <c r="C2443"/>
      <c r="D2443"/>
      <c r="E2443"/>
      <c r="F2443" s="855"/>
    </row>
    <row r="2444" spans="1:6" x14ac:dyDescent="0.2">
      <c r="A2444" s="368"/>
      <c r="B2444"/>
      <c r="C2444"/>
      <c r="D2444"/>
      <c r="E2444"/>
      <c r="F2444" s="855"/>
    </row>
    <row r="2445" spans="1:6" x14ac:dyDescent="0.2">
      <c r="A2445" s="368"/>
      <c r="B2445"/>
      <c r="C2445"/>
      <c r="D2445"/>
      <c r="E2445"/>
      <c r="F2445" s="855"/>
    </row>
    <row r="2446" spans="1:6" x14ac:dyDescent="0.2">
      <c r="A2446" s="368"/>
      <c r="B2446"/>
      <c r="C2446"/>
      <c r="D2446"/>
      <c r="E2446"/>
      <c r="F2446" s="855"/>
    </row>
    <row r="2447" spans="1:6" x14ac:dyDescent="0.2">
      <c r="A2447" s="368"/>
      <c r="B2447"/>
      <c r="C2447"/>
      <c r="D2447"/>
      <c r="E2447"/>
      <c r="F2447" s="855"/>
    </row>
    <row r="2448" spans="1:6" x14ac:dyDescent="0.2">
      <c r="A2448" s="368"/>
      <c r="B2448"/>
      <c r="C2448"/>
      <c r="D2448"/>
      <c r="E2448"/>
      <c r="F2448" s="855"/>
    </row>
    <row r="2449" spans="1:6" x14ac:dyDescent="0.2">
      <c r="A2449" s="368"/>
      <c r="B2449"/>
      <c r="C2449"/>
      <c r="D2449"/>
      <c r="E2449"/>
      <c r="F2449" s="855"/>
    </row>
    <row r="2450" spans="1:6" x14ac:dyDescent="0.2">
      <c r="A2450" s="368"/>
      <c r="B2450"/>
      <c r="C2450"/>
      <c r="D2450"/>
      <c r="E2450"/>
      <c r="F2450" s="855"/>
    </row>
    <row r="2451" spans="1:6" x14ac:dyDescent="0.2">
      <c r="A2451" s="368"/>
      <c r="B2451"/>
      <c r="C2451"/>
      <c r="D2451"/>
      <c r="E2451"/>
      <c r="F2451" s="855"/>
    </row>
    <row r="2452" spans="1:6" x14ac:dyDescent="0.2">
      <c r="A2452" s="368"/>
      <c r="B2452"/>
      <c r="C2452"/>
      <c r="D2452"/>
      <c r="E2452"/>
      <c r="F2452" s="855"/>
    </row>
    <row r="2453" spans="1:6" x14ac:dyDescent="0.2">
      <c r="A2453" s="368"/>
      <c r="B2453"/>
      <c r="C2453"/>
      <c r="D2453"/>
      <c r="E2453"/>
      <c r="F2453" s="855"/>
    </row>
    <row r="2454" spans="1:6" x14ac:dyDescent="0.2">
      <c r="A2454" s="368"/>
      <c r="B2454"/>
      <c r="C2454"/>
      <c r="D2454"/>
      <c r="E2454"/>
      <c r="F2454" s="855"/>
    </row>
    <row r="2455" spans="1:6" x14ac:dyDescent="0.2">
      <c r="A2455" s="368"/>
      <c r="B2455"/>
      <c r="C2455"/>
      <c r="D2455"/>
      <c r="E2455"/>
      <c r="F2455" s="855"/>
    </row>
    <row r="2456" spans="1:6" x14ac:dyDescent="0.2">
      <c r="A2456" s="368"/>
      <c r="B2456"/>
      <c r="C2456"/>
      <c r="D2456"/>
      <c r="E2456"/>
      <c r="F2456" s="855"/>
    </row>
    <row r="2457" spans="1:6" x14ac:dyDescent="0.2">
      <c r="A2457" s="368"/>
      <c r="B2457"/>
      <c r="C2457"/>
      <c r="D2457"/>
      <c r="E2457"/>
      <c r="F2457" s="855"/>
    </row>
    <row r="2458" spans="1:6" x14ac:dyDescent="0.2">
      <c r="A2458" s="368"/>
      <c r="B2458"/>
      <c r="C2458"/>
      <c r="D2458"/>
      <c r="E2458"/>
      <c r="F2458" s="855"/>
    </row>
    <row r="2459" spans="1:6" x14ac:dyDescent="0.2">
      <c r="A2459" s="368"/>
      <c r="B2459"/>
      <c r="C2459"/>
      <c r="D2459"/>
      <c r="E2459"/>
      <c r="F2459" s="855"/>
    </row>
    <row r="2460" spans="1:6" x14ac:dyDescent="0.2">
      <c r="A2460" s="368"/>
      <c r="B2460"/>
      <c r="C2460"/>
      <c r="D2460"/>
      <c r="E2460"/>
      <c r="F2460" s="855"/>
    </row>
    <row r="2461" spans="1:6" x14ac:dyDescent="0.2">
      <c r="A2461" s="368"/>
      <c r="B2461"/>
      <c r="C2461"/>
      <c r="D2461"/>
      <c r="E2461"/>
      <c r="F2461" s="855"/>
    </row>
    <row r="2462" spans="1:6" x14ac:dyDescent="0.2">
      <c r="A2462" s="368"/>
      <c r="B2462"/>
      <c r="C2462"/>
      <c r="D2462"/>
      <c r="E2462"/>
      <c r="F2462" s="855"/>
    </row>
    <row r="2463" spans="1:6" x14ac:dyDescent="0.2">
      <c r="A2463" s="368"/>
      <c r="B2463"/>
      <c r="C2463"/>
      <c r="D2463"/>
      <c r="E2463"/>
      <c r="F2463" s="855"/>
    </row>
    <row r="2464" spans="1:6" x14ac:dyDescent="0.2">
      <c r="A2464" s="368"/>
      <c r="B2464"/>
      <c r="C2464"/>
      <c r="D2464"/>
      <c r="E2464"/>
      <c r="F2464" s="855"/>
    </row>
    <row r="2465" spans="1:6" x14ac:dyDescent="0.2">
      <c r="A2465" s="368"/>
      <c r="B2465"/>
      <c r="C2465"/>
      <c r="D2465"/>
      <c r="E2465"/>
      <c r="F2465" s="855"/>
    </row>
    <row r="2466" spans="1:6" x14ac:dyDescent="0.2">
      <c r="A2466" s="368"/>
      <c r="B2466"/>
      <c r="C2466"/>
      <c r="D2466"/>
      <c r="E2466"/>
      <c r="F2466" s="855"/>
    </row>
    <row r="2467" spans="1:6" x14ac:dyDescent="0.2">
      <c r="A2467" s="368"/>
      <c r="B2467"/>
      <c r="C2467"/>
      <c r="D2467"/>
      <c r="E2467"/>
      <c r="F2467" s="855"/>
    </row>
    <row r="2468" spans="1:6" x14ac:dyDescent="0.2">
      <c r="A2468" s="368"/>
      <c r="B2468"/>
      <c r="C2468"/>
      <c r="D2468"/>
      <c r="E2468"/>
      <c r="F2468" s="855"/>
    </row>
    <row r="2469" spans="1:6" x14ac:dyDescent="0.2">
      <c r="A2469" s="368"/>
      <c r="B2469"/>
      <c r="C2469"/>
      <c r="D2469"/>
      <c r="E2469"/>
      <c r="F2469" s="855"/>
    </row>
    <row r="2470" spans="1:6" x14ac:dyDescent="0.2">
      <c r="A2470" s="368"/>
      <c r="B2470"/>
      <c r="C2470"/>
      <c r="D2470"/>
      <c r="E2470"/>
      <c r="F2470" s="855"/>
    </row>
    <row r="2471" spans="1:6" x14ac:dyDescent="0.2">
      <c r="A2471" s="368"/>
      <c r="B2471"/>
      <c r="C2471"/>
      <c r="D2471"/>
      <c r="E2471"/>
      <c r="F2471" s="855"/>
    </row>
    <row r="2472" spans="1:6" x14ac:dyDescent="0.2">
      <c r="A2472" s="368"/>
      <c r="B2472"/>
      <c r="C2472"/>
      <c r="D2472"/>
      <c r="E2472"/>
      <c r="F2472" s="855"/>
    </row>
    <row r="2473" spans="1:6" x14ac:dyDescent="0.2">
      <c r="A2473" s="368"/>
      <c r="B2473"/>
      <c r="C2473"/>
      <c r="D2473"/>
      <c r="E2473"/>
      <c r="F2473" s="855"/>
    </row>
    <row r="2474" spans="1:6" x14ac:dyDescent="0.2">
      <c r="A2474" s="368"/>
      <c r="B2474"/>
      <c r="C2474"/>
      <c r="D2474"/>
      <c r="E2474"/>
      <c r="F2474" s="855"/>
    </row>
    <row r="2475" spans="1:6" x14ac:dyDescent="0.2">
      <c r="A2475" s="368"/>
      <c r="B2475"/>
      <c r="C2475"/>
      <c r="D2475"/>
      <c r="E2475"/>
      <c r="F2475" s="855"/>
    </row>
    <row r="2476" spans="1:6" x14ac:dyDescent="0.2">
      <c r="A2476" s="368"/>
      <c r="B2476"/>
      <c r="C2476"/>
      <c r="D2476"/>
      <c r="E2476"/>
      <c r="F2476" s="855"/>
    </row>
    <row r="2477" spans="1:6" x14ac:dyDescent="0.2">
      <c r="A2477" s="368"/>
      <c r="B2477"/>
      <c r="C2477"/>
      <c r="D2477"/>
      <c r="E2477"/>
      <c r="F2477" s="855"/>
    </row>
    <row r="2478" spans="1:6" x14ac:dyDescent="0.2">
      <c r="A2478" s="368"/>
      <c r="B2478"/>
      <c r="C2478"/>
      <c r="D2478"/>
      <c r="E2478"/>
      <c r="F2478" s="855"/>
    </row>
    <row r="2479" spans="1:6" x14ac:dyDescent="0.2">
      <c r="A2479" s="368"/>
      <c r="B2479"/>
      <c r="C2479"/>
      <c r="D2479"/>
      <c r="E2479"/>
      <c r="F2479" s="855"/>
    </row>
    <row r="2480" spans="1:6" x14ac:dyDescent="0.2">
      <c r="A2480" s="368"/>
      <c r="B2480"/>
      <c r="C2480"/>
      <c r="D2480"/>
      <c r="E2480"/>
      <c r="F2480" s="855"/>
    </row>
    <row r="2481" spans="1:6" x14ac:dyDescent="0.2">
      <c r="A2481" s="368"/>
      <c r="B2481"/>
      <c r="C2481"/>
      <c r="D2481"/>
      <c r="E2481"/>
      <c r="F2481" s="855"/>
    </row>
    <row r="2482" spans="1:6" x14ac:dyDescent="0.2">
      <c r="A2482" s="368"/>
      <c r="B2482"/>
      <c r="C2482"/>
      <c r="D2482"/>
      <c r="E2482"/>
      <c r="F2482" s="855"/>
    </row>
    <row r="2483" spans="1:6" x14ac:dyDescent="0.2">
      <c r="A2483" s="368"/>
      <c r="B2483"/>
      <c r="C2483"/>
      <c r="D2483"/>
      <c r="E2483"/>
      <c r="F2483" s="855"/>
    </row>
    <row r="2484" spans="1:6" x14ac:dyDescent="0.2">
      <c r="A2484" s="368"/>
      <c r="B2484"/>
      <c r="C2484"/>
      <c r="D2484"/>
      <c r="E2484"/>
      <c r="F2484" s="855"/>
    </row>
    <row r="2485" spans="1:6" x14ac:dyDescent="0.2">
      <c r="A2485" s="368"/>
      <c r="B2485"/>
      <c r="C2485"/>
      <c r="D2485"/>
      <c r="E2485"/>
      <c r="F2485" s="855"/>
    </row>
    <row r="2486" spans="1:6" x14ac:dyDescent="0.2">
      <c r="A2486" s="368"/>
      <c r="B2486"/>
      <c r="C2486"/>
      <c r="D2486"/>
      <c r="E2486"/>
      <c r="F2486" s="855"/>
    </row>
    <row r="2487" spans="1:6" x14ac:dyDescent="0.2">
      <c r="A2487" s="368"/>
      <c r="B2487"/>
      <c r="C2487"/>
      <c r="D2487"/>
      <c r="E2487"/>
      <c r="F2487" s="855"/>
    </row>
    <row r="2488" spans="1:6" x14ac:dyDescent="0.2">
      <c r="A2488" s="368"/>
      <c r="B2488"/>
      <c r="C2488"/>
      <c r="D2488"/>
      <c r="E2488"/>
      <c r="F2488" s="855"/>
    </row>
    <row r="2489" spans="1:6" x14ac:dyDescent="0.2">
      <c r="A2489" s="368"/>
      <c r="B2489"/>
      <c r="C2489"/>
      <c r="D2489"/>
      <c r="E2489"/>
      <c r="F2489" s="855"/>
    </row>
    <row r="2490" spans="1:6" x14ac:dyDescent="0.2">
      <c r="A2490" s="368"/>
      <c r="B2490"/>
      <c r="C2490"/>
      <c r="D2490"/>
      <c r="E2490"/>
      <c r="F2490" s="855"/>
    </row>
    <row r="2491" spans="1:6" x14ac:dyDescent="0.2">
      <c r="A2491" s="368"/>
      <c r="B2491"/>
      <c r="C2491"/>
      <c r="D2491"/>
      <c r="E2491"/>
      <c r="F2491" s="855"/>
    </row>
    <row r="2492" spans="1:6" x14ac:dyDescent="0.2">
      <c r="A2492" s="368"/>
      <c r="B2492"/>
      <c r="C2492"/>
      <c r="D2492"/>
      <c r="E2492"/>
      <c r="F2492" s="855"/>
    </row>
    <row r="2493" spans="1:6" x14ac:dyDescent="0.2">
      <c r="A2493" s="368"/>
      <c r="B2493"/>
      <c r="C2493"/>
      <c r="D2493"/>
      <c r="E2493"/>
      <c r="F2493" s="855"/>
    </row>
    <row r="2494" spans="1:6" x14ac:dyDescent="0.2">
      <c r="A2494" s="368"/>
      <c r="B2494"/>
      <c r="C2494"/>
      <c r="D2494"/>
      <c r="E2494"/>
      <c r="F2494" s="855"/>
    </row>
    <row r="2495" spans="1:6" x14ac:dyDescent="0.2">
      <c r="A2495" s="368"/>
      <c r="B2495"/>
      <c r="C2495"/>
      <c r="D2495"/>
      <c r="E2495"/>
      <c r="F2495" s="855"/>
    </row>
    <row r="2496" spans="1:6" x14ac:dyDescent="0.2">
      <c r="A2496" s="368"/>
      <c r="B2496"/>
      <c r="C2496"/>
      <c r="D2496"/>
      <c r="E2496"/>
      <c r="F2496" s="855"/>
    </row>
    <row r="2497" spans="1:6" x14ac:dyDescent="0.2">
      <c r="A2497" s="368"/>
      <c r="B2497"/>
      <c r="C2497"/>
      <c r="D2497"/>
      <c r="E2497"/>
      <c r="F2497" s="855"/>
    </row>
    <row r="2498" spans="1:6" x14ac:dyDescent="0.2">
      <c r="A2498" s="368"/>
      <c r="B2498"/>
      <c r="C2498"/>
      <c r="D2498"/>
      <c r="E2498"/>
      <c r="F2498" s="855"/>
    </row>
    <row r="2499" spans="1:6" x14ac:dyDescent="0.2">
      <c r="A2499" s="368"/>
      <c r="B2499"/>
      <c r="C2499"/>
      <c r="D2499"/>
      <c r="E2499"/>
      <c r="F2499" s="855"/>
    </row>
    <row r="2500" spans="1:6" x14ac:dyDescent="0.2">
      <c r="A2500" s="368"/>
      <c r="B2500"/>
      <c r="C2500"/>
      <c r="D2500"/>
      <c r="E2500"/>
      <c r="F2500" s="855"/>
    </row>
    <row r="2501" spans="1:6" x14ac:dyDescent="0.2">
      <c r="A2501" s="368"/>
      <c r="B2501"/>
      <c r="C2501"/>
      <c r="D2501"/>
      <c r="E2501"/>
      <c r="F2501" s="855"/>
    </row>
    <row r="2502" spans="1:6" x14ac:dyDescent="0.2">
      <c r="A2502" s="368"/>
      <c r="B2502"/>
      <c r="C2502"/>
      <c r="D2502"/>
      <c r="E2502"/>
      <c r="F2502" s="855"/>
    </row>
    <row r="2503" spans="1:6" x14ac:dyDescent="0.2">
      <c r="A2503" s="368"/>
      <c r="B2503"/>
      <c r="C2503"/>
      <c r="D2503"/>
      <c r="E2503"/>
      <c r="F2503" s="855"/>
    </row>
    <row r="2504" spans="1:6" x14ac:dyDescent="0.2">
      <c r="A2504" s="368"/>
      <c r="B2504"/>
      <c r="C2504"/>
      <c r="D2504"/>
      <c r="E2504"/>
      <c r="F2504" s="855"/>
    </row>
    <row r="2505" spans="1:6" x14ac:dyDescent="0.2">
      <c r="A2505" s="368"/>
      <c r="B2505"/>
      <c r="C2505"/>
      <c r="D2505"/>
      <c r="E2505"/>
      <c r="F2505" s="855"/>
    </row>
    <row r="2506" spans="1:6" x14ac:dyDescent="0.2">
      <c r="A2506" s="368"/>
      <c r="B2506"/>
      <c r="C2506"/>
      <c r="D2506"/>
      <c r="E2506"/>
      <c r="F2506" s="855"/>
    </row>
    <row r="2507" spans="1:6" x14ac:dyDescent="0.2">
      <c r="A2507" s="368"/>
      <c r="B2507"/>
      <c r="C2507"/>
      <c r="D2507"/>
      <c r="E2507"/>
      <c r="F2507" s="855"/>
    </row>
    <row r="2508" spans="1:6" x14ac:dyDescent="0.2">
      <c r="A2508" s="368"/>
      <c r="B2508"/>
      <c r="C2508"/>
      <c r="D2508"/>
      <c r="E2508"/>
      <c r="F2508" s="855"/>
    </row>
    <row r="2509" spans="1:6" x14ac:dyDescent="0.2">
      <c r="A2509" s="368"/>
      <c r="B2509"/>
      <c r="C2509"/>
      <c r="D2509"/>
      <c r="E2509"/>
      <c r="F2509" s="855"/>
    </row>
    <row r="2510" spans="1:6" x14ac:dyDescent="0.2">
      <c r="A2510" s="368"/>
      <c r="B2510"/>
      <c r="C2510"/>
      <c r="D2510"/>
      <c r="E2510"/>
      <c r="F2510" s="855"/>
    </row>
    <row r="2511" spans="1:6" x14ac:dyDescent="0.2">
      <c r="A2511" s="368"/>
      <c r="B2511"/>
      <c r="C2511"/>
      <c r="D2511"/>
      <c r="E2511"/>
      <c r="F2511" s="855"/>
    </row>
    <row r="2512" spans="1:6" x14ac:dyDescent="0.2">
      <c r="A2512" s="368"/>
      <c r="B2512"/>
      <c r="C2512"/>
      <c r="D2512"/>
      <c r="E2512"/>
      <c r="F2512" s="855"/>
    </row>
    <row r="2513" spans="1:6" x14ac:dyDescent="0.2">
      <c r="A2513" s="368"/>
      <c r="B2513"/>
      <c r="C2513"/>
      <c r="D2513"/>
      <c r="E2513"/>
      <c r="F2513" s="855"/>
    </row>
    <row r="2514" spans="1:6" x14ac:dyDescent="0.2">
      <c r="A2514" s="368"/>
      <c r="B2514"/>
      <c r="C2514"/>
      <c r="D2514"/>
      <c r="E2514"/>
      <c r="F2514" s="855"/>
    </row>
    <row r="2515" spans="1:6" x14ac:dyDescent="0.2">
      <c r="A2515" s="368"/>
      <c r="B2515"/>
      <c r="C2515"/>
      <c r="D2515"/>
      <c r="E2515"/>
      <c r="F2515" s="855"/>
    </row>
    <row r="2516" spans="1:6" x14ac:dyDescent="0.2">
      <c r="A2516" s="368"/>
      <c r="B2516"/>
      <c r="C2516"/>
      <c r="D2516"/>
      <c r="E2516"/>
      <c r="F2516" s="855"/>
    </row>
    <row r="2517" spans="1:6" x14ac:dyDescent="0.2">
      <c r="A2517" s="368"/>
      <c r="B2517"/>
      <c r="C2517"/>
      <c r="D2517"/>
      <c r="E2517"/>
      <c r="F2517" s="855"/>
    </row>
    <row r="2518" spans="1:6" x14ac:dyDescent="0.2">
      <c r="A2518" s="368"/>
      <c r="B2518"/>
      <c r="C2518"/>
      <c r="D2518"/>
      <c r="E2518"/>
      <c r="F2518" s="855"/>
    </row>
    <row r="2519" spans="1:6" x14ac:dyDescent="0.2">
      <c r="A2519" s="368"/>
      <c r="B2519"/>
      <c r="C2519"/>
      <c r="D2519"/>
      <c r="E2519"/>
      <c r="F2519" s="855"/>
    </row>
    <row r="2520" spans="1:6" x14ac:dyDescent="0.2">
      <c r="A2520" s="368"/>
      <c r="B2520"/>
      <c r="C2520"/>
      <c r="D2520"/>
      <c r="E2520"/>
      <c r="F2520" s="855"/>
    </row>
    <row r="2521" spans="1:6" x14ac:dyDescent="0.2">
      <c r="A2521" s="368"/>
      <c r="B2521"/>
      <c r="C2521"/>
      <c r="D2521"/>
      <c r="E2521"/>
      <c r="F2521" s="855"/>
    </row>
    <row r="2522" spans="1:6" x14ac:dyDescent="0.2">
      <c r="A2522" s="368"/>
      <c r="B2522"/>
      <c r="C2522"/>
      <c r="D2522"/>
      <c r="E2522"/>
      <c r="F2522" s="855"/>
    </row>
    <row r="2523" spans="1:6" x14ac:dyDescent="0.2">
      <c r="A2523" s="368"/>
      <c r="B2523"/>
      <c r="C2523"/>
      <c r="D2523"/>
      <c r="E2523"/>
      <c r="F2523" s="855"/>
    </row>
    <row r="2524" spans="1:6" x14ac:dyDescent="0.2">
      <c r="A2524" s="368"/>
      <c r="B2524"/>
      <c r="C2524"/>
      <c r="D2524"/>
      <c r="E2524"/>
      <c r="F2524" s="855"/>
    </row>
    <row r="2525" spans="1:6" x14ac:dyDescent="0.2">
      <c r="A2525" s="368"/>
      <c r="B2525"/>
      <c r="C2525"/>
      <c r="D2525"/>
      <c r="E2525"/>
      <c r="F2525" s="855"/>
    </row>
    <row r="2526" spans="1:6" x14ac:dyDescent="0.2">
      <c r="A2526" s="368"/>
      <c r="B2526"/>
      <c r="C2526"/>
      <c r="D2526"/>
      <c r="E2526"/>
      <c r="F2526" s="855"/>
    </row>
    <row r="2527" spans="1:6" x14ac:dyDescent="0.2">
      <c r="A2527" s="368"/>
      <c r="B2527"/>
      <c r="C2527"/>
      <c r="D2527"/>
      <c r="E2527"/>
      <c r="F2527" s="855"/>
    </row>
    <row r="2528" spans="1:6" x14ac:dyDescent="0.2">
      <c r="A2528" s="368"/>
      <c r="B2528"/>
      <c r="C2528"/>
      <c r="D2528"/>
      <c r="E2528"/>
      <c r="F2528" s="855"/>
    </row>
    <row r="2529" spans="1:6" x14ac:dyDescent="0.2">
      <c r="A2529" s="368"/>
      <c r="B2529"/>
      <c r="C2529"/>
      <c r="D2529"/>
      <c r="E2529"/>
      <c r="F2529" s="855"/>
    </row>
    <row r="2530" spans="1:6" x14ac:dyDescent="0.2">
      <c r="A2530" s="368"/>
      <c r="B2530"/>
      <c r="C2530"/>
      <c r="D2530"/>
      <c r="E2530"/>
      <c r="F2530" s="855"/>
    </row>
    <row r="2531" spans="1:6" x14ac:dyDescent="0.2">
      <c r="A2531" s="368"/>
      <c r="B2531"/>
      <c r="C2531"/>
      <c r="D2531"/>
      <c r="E2531"/>
      <c r="F2531" s="855"/>
    </row>
    <row r="2532" spans="1:6" x14ac:dyDescent="0.2">
      <c r="A2532" s="368"/>
      <c r="B2532"/>
      <c r="C2532"/>
      <c r="D2532"/>
      <c r="E2532"/>
      <c r="F2532" s="855"/>
    </row>
    <row r="2533" spans="1:6" x14ac:dyDescent="0.2">
      <c r="A2533" s="368"/>
      <c r="B2533"/>
      <c r="C2533"/>
      <c r="D2533"/>
      <c r="E2533"/>
      <c r="F2533" s="855"/>
    </row>
    <row r="2534" spans="1:6" x14ac:dyDescent="0.2">
      <c r="A2534" s="368"/>
      <c r="B2534"/>
      <c r="C2534"/>
      <c r="D2534"/>
      <c r="E2534"/>
      <c r="F2534" s="855"/>
    </row>
    <row r="2535" spans="1:6" x14ac:dyDescent="0.2">
      <c r="A2535" s="368"/>
      <c r="B2535"/>
      <c r="C2535"/>
      <c r="D2535"/>
      <c r="E2535"/>
      <c r="F2535" s="855"/>
    </row>
    <row r="2536" spans="1:6" x14ac:dyDescent="0.2">
      <c r="A2536" s="368"/>
      <c r="B2536"/>
      <c r="C2536"/>
      <c r="D2536"/>
      <c r="E2536"/>
      <c r="F2536" s="855"/>
    </row>
    <row r="2537" spans="1:6" x14ac:dyDescent="0.2">
      <c r="A2537" s="368"/>
      <c r="B2537"/>
      <c r="C2537"/>
      <c r="D2537"/>
      <c r="E2537"/>
      <c r="F2537" s="855"/>
    </row>
    <row r="2538" spans="1:6" x14ac:dyDescent="0.2">
      <c r="A2538" s="368"/>
      <c r="B2538"/>
      <c r="C2538"/>
      <c r="D2538"/>
      <c r="E2538"/>
      <c r="F2538" s="855"/>
    </row>
    <row r="2539" spans="1:6" x14ac:dyDescent="0.2">
      <c r="A2539" s="368"/>
      <c r="B2539"/>
      <c r="C2539"/>
      <c r="D2539"/>
      <c r="E2539"/>
      <c r="F2539" s="855"/>
    </row>
    <row r="2540" spans="1:6" x14ac:dyDescent="0.2">
      <c r="A2540" s="368"/>
      <c r="B2540"/>
      <c r="C2540"/>
      <c r="D2540"/>
      <c r="E2540"/>
      <c r="F2540" s="855"/>
    </row>
    <row r="2541" spans="1:6" x14ac:dyDescent="0.2">
      <c r="A2541" s="368"/>
      <c r="B2541"/>
      <c r="C2541"/>
      <c r="D2541"/>
      <c r="E2541"/>
      <c r="F2541" s="855"/>
    </row>
    <row r="2542" spans="1:6" x14ac:dyDescent="0.2">
      <c r="A2542" s="368"/>
      <c r="B2542"/>
      <c r="C2542"/>
      <c r="D2542"/>
      <c r="E2542"/>
      <c r="F2542" s="855"/>
    </row>
    <row r="2543" spans="1:6" x14ac:dyDescent="0.2">
      <c r="A2543" s="368"/>
      <c r="B2543"/>
      <c r="C2543"/>
      <c r="D2543"/>
      <c r="E2543"/>
      <c r="F2543" s="855"/>
    </row>
    <row r="2544" spans="1:6" x14ac:dyDescent="0.2">
      <c r="A2544" s="368"/>
      <c r="B2544"/>
      <c r="C2544"/>
      <c r="D2544"/>
      <c r="E2544"/>
      <c r="F2544" s="855"/>
    </row>
    <row r="2545" spans="1:6" x14ac:dyDescent="0.2">
      <c r="A2545" s="368"/>
      <c r="B2545"/>
      <c r="C2545"/>
      <c r="D2545"/>
      <c r="E2545"/>
      <c r="F2545" s="855"/>
    </row>
    <row r="2546" spans="1:6" x14ac:dyDescent="0.2">
      <c r="A2546" s="368"/>
      <c r="B2546"/>
      <c r="C2546"/>
      <c r="D2546"/>
      <c r="E2546"/>
      <c r="F2546" s="855"/>
    </row>
    <row r="2547" spans="1:6" x14ac:dyDescent="0.2">
      <c r="A2547" s="368"/>
      <c r="B2547"/>
      <c r="C2547"/>
      <c r="D2547"/>
      <c r="E2547"/>
      <c r="F2547" s="855"/>
    </row>
    <row r="2548" spans="1:6" x14ac:dyDescent="0.2">
      <c r="A2548" s="368"/>
      <c r="B2548"/>
      <c r="C2548"/>
      <c r="D2548"/>
      <c r="E2548"/>
      <c r="F2548" s="855"/>
    </row>
    <row r="2549" spans="1:6" x14ac:dyDescent="0.2">
      <c r="A2549" s="368"/>
      <c r="B2549"/>
      <c r="C2549"/>
      <c r="D2549"/>
      <c r="E2549"/>
      <c r="F2549" s="855"/>
    </row>
    <row r="2550" spans="1:6" x14ac:dyDescent="0.2">
      <c r="A2550" s="368"/>
      <c r="B2550"/>
      <c r="C2550"/>
      <c r="D2550"/>
      <c r="E2550"/>
      <c r="F2550" s="855"/>
    </row>
    <row r="2551" spans="1:6" x14ac:dyDescent="0.2">
      <c r="A2551" s="368"/>
      <c r="B2551"/>
      <c r="C2551"/>
      <c r="D2551"/>
      <c r="E2551"/>
      <c r="F2551" s="855"/>
    </row>
    <row r="2552" spans="1:6" x14ac:dyDescent="0.2">
      <c r="A2552" s="368"/>
      <c r="B2552"/>
      <c r="C2552"/>
      <c r="D2552"/>
      <c r="E2552"/>
      <c r="F2552" s="855"/>
    </row>
    <row r="2553" spans="1:6" x14ac:dyDescent="0.2">
      <c r="A2553" s="368"/>
      <c r="B2553"/>
      <c r="C2553"/>
      <c r="D2553"/>
      <c r="E2553"/>
      <c r="F2553" s="855"/>
    </row>
    <row r="2554" spans="1:6" x14ac:dyDescent="0.2">
      <c r="A2554" s="368"/>
      <c r="B2554"/>
      <c r="C2554"/>
      <c r="D2554"/>
      <c r="E2554"/>
      <c r="F2554" s="855"/>
    </row>
    <row r="2555" spans="1:6" x14ac:dyDescent="0.2">
      <c r="A2555" s="368"/>
      <c r="B2555"/>
      <c r="C2555"/>
      <c r="D2555"/>
      <c r="E2555"/>
      <c r="F2555" s="855"/>
    </row>
    <row r="2556" spans="1:6" x14ac:dyDescent="0.2">
      <c r="A2556" s="368"/>
      <c r="B2556"/>
      <c r="C2556"/>
      <c r="D2556"/>
      <c r="E2556"/>
      <c r="F2556" s="855"/>
    </row>
    <row r="2557" spans="1:6" x14ac:dyDescent="0.2">
      <c r="A2557" s="368"/>
      <c r="B2557"/>
      <c r="C2557"/>
      <c r="D2557"/>
      <c r="E2557"/>
      <c r="F2557" s="855"/>
    </row>
    <row r="2558" spans="1:6" x14ac:dyDescent="0.2">
      <c r="A2558" s="368"/>
      <c r="B2558"/>
      <c r="C2558"/>
      <c r="D2558"/>
      <c r="E2558"/>
      <c r="F2558" s="855"/>
    </row>
    <row r="2559" spans="1:6" x14ac:dyDescent="0.2">
      <c r="A2559" s="368"/>
      <c r="B2559"/>
      <c r="C2559"/>
      <c r="D2559"/>
      <c r="E2559"/>
      <c r="F2559" s="855"/>
    </row>
    <row r="2560" spans="1:6" x14ac:dyDescent="0.2">
      <c r="A2560" s="368"/>
      <c r="B2560"/>
      <c r="C2560"/>
      <c r="D2560"/>
      <c r="E2560"/>
      <c r="F2560" s="855"/>
    </row>
    <row r="2561" spans="1:6" x14ac:dyDescent="0.2">
      <c r="A2561" s="368"/>
      <c r="B2561"/>
      <c r="C2561"/>
      <c r="D2561"/>
      <c r="E2561"/>
      <c r="F2561" s="855"/>
    </row>
    <row r="2562" spans="1:6" x14ac:dyDescent="0.2">
      <c r="A2562" s="368"/>
      <c r="B2562"/>
      <c r="C2562"/>
      <c r="D2562"/>
      <c r="E2562"/>
      <c r="F2562" s="855"/>
    </row>
    <row r="2563" spans="1:6" x14ac:dyDescent="0.2">
      <c r="A2563" s="368"/>
      <c r="B2563"/>
      <c r="C2563"/>
      <c r="D2563"/>
      <c r="E2563"/>
      <c r="F2563" s="855"/>
    </row>
    <row r="2564" spans="1:6" x14ac:dyDescent="0.2">
      <c r="A2564" s="368"/>
      <c r="B2564"/>
      <c r="C2564"/>
      <c r="D2564"/>
      <c r="E2564"/>
      <c r="F2564" s="855"/>
    </row>
    <row r="2565" spans="1:6" x14ac:dyDescent="0.2">
      <c r="A2565" s="368"/>
      <c r="B2565"/>
      <c r="C2565"/>
      <c r="D2565"/>
      <c r="E2565"/>
      <c r="F2565" s="855"/>
    </row>
    <row r="2566" spans="1:6" x14ac:dyDescent="0.2">
      <c r="A2566" s="368"/>
      <c r="B2566"/>
      <c r="C2566"/>
      <c r="D2566"/>
      <c r="E2566"/>
      <c r="F2566" s="855"/>
    </row>
    <row r="2567" spans="1:6" x14ac:dyDescent="0.2">
      <c r="A2567" s="368"/>
      <c r="B2567"/>
      <c r="C2567"/>
      <c r="D2567"/>
      <c r="E2567"/>
      <c r="F2567" s="855"/>
    </row>
    <row r="2568" spans="1:6" x14ac:dyDescent="0.2">
      <c r="A2568" s="368"/>
      <c r="B2568"/>
      <c r="C2568"/>
      <c r="D2568"/>
      <c r="E2568"/>
      <c r="F2568" s="855"/>
    </row>
    <row r="2569" spans="1:6" x14ac:dyDescent="0.2">
      <c r="A2569" s="368"/>
      <c r="B2569"/>
      <c r="C2569"/>
      <c r="D2569"/>
      <c r="E2569"/>
      <c r="F2569" s="855"/>
    </row>
    <row r="2570" spans="1:6" x14ac:dyDescent="0.2">
      <c r="A2570" s="368"/>
      <c r="B2570"/>
      <c r="C2570"/>
      <c r="D2570"/>
      <c r="E2570"/>
      <c r="F2570" s="855"/>
    </row>
    <row r="2571" spans="1:6" x14ac:dyDescent="0.2">
      <c r="A2571" s="368"/>
      <c r="B2571"/>
      <c r="C2571"/>
      <c r="D2571"/>
      <c r="E2571"/>
      <c r="F2571" s="855"/>
    </row>
    <row r="2572" spans="1:6" x14ac:dyDescent="0.2">
      <c r="A2572" s="368"/>
      <c r="B2572"/>
      <c r="C2572"/>
      <c r="D2572"/>
      <c r="E2572"/>
      <c r="F2572" s="855"/>
    </row>
    <row r="2573" spans="1:6" x14ac:dyDescent="0.2">
      <c r="A2573" s="368"/>
      <c r="B2573"/>
      <c r="C2573"/>
      <c r="D2573"/>
      <c r="E2573"/>
      <c r="F2573" s="855"/>
    </row>
    <row r="2574" spans="1:6" x14ac:dyDescent="0.2">
      <c r="A2574" s="368"/>
      <c r="B2574"/>
      <c r="C2574"/>
      <c r="D2574"/>
      <c r="E2574"/>
      <c r="F2574" s="855"/>
    </row>
    <row r="2575" spans="1:6" x14ac:dyDescent="0.2">
      <c r="A2575" s="368"/>
      <c r="B2575"/>
      <c r="C2575"/>
      <c r="D2575"/>
      <c r="E2575"/>
      <c r="F2575" s="855"/>
    </row>
    <row r="2576" spans="1:6" x14ac:dyDescent="0.2">
      <c r="A2576" s="368"/>
      <c r="B2576"/>
      <c r="C2576"/>
      <c r="D2576"/>
      <c r="E2576"/>
      <c r="F2576" s="855"/>
    </row>
    <row r="2577" spans="1:6" x14ac:dyDescent="0.2">
      <c r="A2577" s="368"/>
      <c r="B2577"/>
      <c r="C2577"/>
      <c r="D2577"/>
      <c r="E2577"/>
      <c r="F2577" s="855"/>
    </row>
    <row r="2578" spans="1:6" x14ac:dyDescent="0.2">
      <c r="A2578" s="368"/>
      <c r="B2578"/>
      <c r="C2578"/>
      <c r="D2578"/>
      <c r="E2578"/>
      <c r="F2578" s="855"/>
    </row>
    <row r="2579" spans="1:6" x14ac:dyDescent="0.2">
      <c r="A2579" s="368"/>
      <c r="B2579"/>
      <c r="C2579"/>
      <c r="D2579"/>
      <c r="E2579"/>
      <c r="F2579" s="855"/>
    </row>
    <row r="2580" spans="1:6" x14ac:dyDescent="0.2">
      <c r="A2580" s="368"/>
      <c r="B2580"/>
      <c r="C2580"/>
      <c r="D2580"/>
      <c r="E2580"/>
      <c r="F2580" s="855"/>
    </row>
    <row r="2581" spans="1:6" x14ac:dyDescent="0.2">
      <c r="A2581" s="368"/>
      <c r="B2581"/>
      <c r="C2581"/>
      <c r="D2581"/>
      <c r="E2581"/>
      <c r="F2581" s="855"/>
    </row>
    <row r="2582" spans="1:6" x14ac:dyDescent="0.2">
      <c r="A2582" s="368"/>
      <c r="B2582"/>
      <c r="C2582"/>
      <c r="D2582"/>
      <c r="E2582"/>
      <c r="F2582" s="855"/>
    </row>
    <row r="2583" spans="1:6" x14ac:dyDescent="0.2">
      <c r="A2583" s="368"/>
      <c r="B2583"/>
      <c r="C2583"/>
      <c r="D2583"/>
      <c r="E2583"/>
      <c r="F2583" s="855"/>
    </row>
    <row r="2584" spans="1:6" x14ac:dyDescent="0.2">
      <c r="A2584" s="368"/>
      <c r="B2584"/>
      <c r="C2584"/>
      <c r="D2584"/>
      <c r="E2584"/>
      <c r="F2584" s="855"/>
    </row>
    <row r="2585" spans="1:6" x14ac:dyDescent="0.2">
      <c r="A2585" s="368"/>
      <c r="B2585"/>
      <c r="C2585"/>
      <c r="D2585"/>
      <c r="E2585"/>
      <c r="F2585" s="855"/>
    </row>
    <row r="2586" spans="1:6" x14ac:dyDescent="0.2">
      <c r="A2586" s="368"/>
      <c r="B2586"/>
      <c r="C2586"/>
      <c r="D2586"/>
      <c r="E2586"/>
      <c r="F2586" s="855"/>
    </row>
    <row r="2587" spans="1:6" x14ac:dyDescent="0.2">
      <c r="A2587" s="368"/>
      <c r="B2587"/>
      <c r="C2587"/>
      <c r="D2587"/>
      <c r="E2587"/>
      <c r="F2587" s="855"/>
    </row>
    <row r="2588" spans="1:6" x14ac:dyDescent="0.2">
      <c r="A2588" s="368"/>
      <c r="B2588"/>
      <c r="C2588"/>
      <c r="D2588"/>
      <c r="E2588"/>
      <c r="F2588" s="855"/>
    </row>
    <row r="2589" spans="1:6" x14ac:dyDescent="0.2">
      <c r="A2589" s="368"/>
      <c r="B2589"/>
      <c r="C2589"/>
      <c r="D2589"/>
      <c r="E2589"/>
      <c r="F2589" s="855"/>
    </row>
    <row r="2590" spans="1:6" x14ac:dyDescent="0.2">
      <c r="A2590" s="368"/>
      <c r="B2590"/>
      <c r="C2590"/>
      <c r="D2590"/>
      <c r="E2590"/>
      <c r="F2590" s="855"/>
    </row>
    <row r="2591" spans="1:6" x14ac:dyDescent="0.2">
      <c r="A2591" s="368"/>
      <c r="B2591"/>
      <c r="C2591"/>
      <c r="D2591"/>
      <c r="E2591"/>
      <c r="F2591" s="855"/>
    </row>
    <row r="2592" spans="1:6" x14ac:dyDescent="0.2">
      <c r="A2592" s="368"/>
      <c r="B2592"/>
      <c r="C2592"/>
      <c r="D2592"/>
      <c r="E2592"/>
      <c r="F2592" s="855"/>
    </row>
    <row r="2593" spans="1:6" x14ac:dyDescent="0.2">
      <c r="A2593" s="368"/>
      <c r="B2593"/>
      <c r="C2593"/>
      <c r="D2593"/>
      <c r="E2593"/>
      <c r="F2593" s="855"/>
    </row>
    <row r="2594" spans="1:6" x14ac:dyDescent="0.2">
      <c r="A2594" s="368"/>
      <c r="B2594"/>
      <c r="C2594"/>
      <c r="D2594"/>
      <c r="E2594"/>
      <c r="F2594" s="855"/>
    </row>
    <row r="2595" spans="1:6" x14ac:dyDescent="0.2">
      <c r="A2595" s="368"/>
      <c r="B2595"/>
      <c r="C2595"/>
      <c r="D2595"/>
      <c r="E2595"/>
      <c r="F2595" s="855"/>
    </row>
    <row r="2596" spans="1:6" x14ac:dyDescent="0.2">
      <c r="A2596" s="368"/>
      <c r="B2596"/>
      <c r="C2596"/>
      <c r="D2596"/>
      <c r="E2596"/>
      <c r="F2596" s="855"/>
    </row>
    <row r="2597" spans="1:6" x14ac:dyDescent="0.2">
      <c r="A2597" s="368"/>
      <c r="B2597"/>
      <c r="C2597"/>
      <c r="D2597"/>
      <c r="E2597"/>
      <c r="F2597" s="855"/>
    </row>
    <row r="2598" spans="1:6" x14ac:dyDescent="0.2">
      <c r="A2598" s="368"/>
      <c r="B2598"/>
      <c r="C2598"/>
      <c r="D2598"/>
      <c r="E2598"/>
      <c r="F2598" s="855"/>
    </row>
    <row r="2599" spans="1:6" x14ac:dyDescent="0.2">
      <c r="A2599" s="368"/>
      <c r="B2599"/>
      <c r="C2599"/>
      <c r="D2599"/>
      <c r="E2599"/>
      <c r="F2599" s="855"/>
    </row>
    <row r="2600" spans="1:6" x14ac:dyDescent="0.2">
      <c r="A2600" s="368"/>
      <c r="B2600"/>
      <c r="C2600"/>
      <c r="D2600"/>
      <c r="E2600"/>
      <c r="F2600" s="855"/>
    </row>
    <row r="2601" spans="1:6" x14ac:dyDescent="0.2">
      <c r="A2601" s="368"/>
      <c r="B2601"/>
      <c r="C2601"/>
      <c r="D2601"/>
      <c r="E2601"/>
      <c r="F2601" s="855"/>
    </row>
    <row r="2602" spans="1:6" x14ac:dyDescent="0.2">
      <c r="A2602" s="368"/>
      <c r="B2602"/>
      <c r="C2602"/>
      <c r="D2602"/>
      <c r="E2602"/>
      <c r="F2602" s="855"/>
    </row>
    <row r="2603" spans="1:6" x14ac:dyDescent="0.2">
      <c r="A2603" s="368"/>
      <c r="B2603"/>
      <c r="C2603"/>
      <c r="D2603"/>
      <c r="E2603"/>
      <c r="F2603" s="855"/>
    </row>
    <row r="2604" spans="1:6" x14ac:dyDescent="0.2">
      <c r="A2604" s="368"/>
      <c r="B2604"/>
      <c r="C2604"/>
      <c r="D2604"/>
      <c r="E2604"/>
      <c r="F2604" s="855"/>
    </row>
    <row r="2605" spans="1:6" x14ac:dyDescent="0.2">
      <c r="A2605" s="368"/>
      <c r="B2605"/>
      <c r="C2605"/>
      <c r="D2605"/>
      <c r="E2605"/>
      <c r="F2605" s="855"/>
    </row>
    <row r="2606" spans="1:6" x14ac:dyDescent="0.2">
      <c r="A2606" s="368"/>
      <c r="B2606"/>
      <c r="C2606"/>
      <c r="D2606"/>
      <c r="E2606"/>
      <c r="F2606" s="855"/>
    </row>
    <row r="2607" spans="1:6" x14ac:dyDescent="0.2">
      <c r="A2607" s="368"/>
      <c r="B2607"/>
      <c r="C2607"/>
      <c r="D2607"/>
      <c r="E2607"/>
      <c r="F2607" s="855"/>
    </row>
    <row r="2608" spans="1:6" x14ac:dyDescent="0.2">
      <c r="A2608" s="368"/>
      <c r="B2608"/>
      <c r="C2608"/>
      <c r="D2608"/>
      <c r="E2608"/>
      <c r="F2608" s="855"/>
    </row>
    <row r="2609" spans="1:6" x14ac:dyDescent="0.2">
      <c r="A2609" s="368"/>
      <c r="B2609"/>
      <c r="C2609"/>
      <c r="D2609"/>
      <c r="E2609"/>
      <c r="F2609" s="855"/>
    </row>
    <row r="2610" spans="1:6" x14ac:dyDescent="0.2">
      <c r="A2610" s="368"/>
      <c r="B2610"/>
      <c r="C2610"/>
      <c r="D2610"/>
      <c r="E2610"/>
      <c r="F2610" s="855"/>
    </row>
    <row r="2611" spans="1:6" x14ac:dyDescent="0.2">
      <c r="A2611" s="368"/>
      <c r="B2611"/>
      <c r="C2611"/>
      <c r="D2611"/>
      <c r="E2611"/>
      <c r="F2611" s="855"/>
    </row>
    <row r="2612" spans="1:6" x14ac:dyDescent="0.2">
      <c r="A2612" s="368"/>
      <c r="B2612"/>
      <c r="C2612"/>
      <c r="D2612"/>
      <c r="E2612"/>
      <c r="F2612" s="855"/>
    </row>
    <row r="2613" spans="1:6" x14ac:dyDescent="0.2">
      <c r="A2613" s="368"/>
      <c r="B2613"/>
      <c r="C2613"/>
      <c r="D2613"/>
      <c r="E2613"/>
      <c r="F2613" s="855"/>
    </row>
    <row r="2614" spans="1:6" x14ac:dyDescent="0.2">
      <c r="A2614" s="368"/>
      <c r="B2614"/>
      <c r="C2614"/>
      <c r="D2614"/>
      <c r="E2614"/>
      <c r="F2614" s="855"/>
    </row>
    <row r="2615" spans="1:6" x14ac:dyDescent="0.2">
      <c r="A2615" s="368"/>
      <c r="B2615"/>
      <c r="C2615"/>
      <c r="D2615"/>
      <c r="E2615"/>
      <c r="F2615" s="855"/>
    </row>
    <row r="2616" spans="1:6" x14ac:dyDescent="0.2">
      <c r="A2616" s="368"/>
      <c r="B2616"/>
      <c r="C2616"/>
      <c r="D2616"/>
      <c r="E2616"/>
      <c r="F2616" s="855"/>
    </row>
    <row r="2617" spans="1:6" x14ac:dyDescent="0.2">
      <c r="A2617" s="368"/>
      <c r="B2617"/>
      <c r="C2617"/>
      <c r="D2617"/>
      <c r="E2617"/>
      <c r="F2617" s="855"/>
    </row>
    <row r="2618" spans="1:6" x14ac:dyDescent="0.2">
      <c r="A2618" s="368"/>
      <c r="B2618"/>
      <c r="C2618"/>
      <c r="D2618"/>
      <c r="E2618"/>
      <c r="F2618" s="855"/>
    </row>
    <row r="2619" spans="1:6" x14ac:dyDescent="0.2">
      <c r="A2619" s="368"/>
      <c r="B2619"/>
      <c r="C2619"/>
      <c r="D2619"/>
      <c r="E2619"/>
      <c r="F2619" s="855"/>
    </row>
    <row r="2620" spans="1:6" x14ac:dyDescent="0.2">
      <c r="A2620" s="368"/>
      <c r="B2620"/>
      <c r="C2620"/>
      <c r="D2620"/>
      <c r="E2620"/>
      <c r="F2620" s="855"/>
    </row>
    <row r="2621" spans="1:6" x14ac:dyDescent="0.2">
      <c r="A2621" s="368"/>
      <c r="B2621"/>
      <c r="C2621"/>
      <c r="D2621"/>
      <c r="E2621"/>
      <c r="F2621" s="855"/>
    </row>
    <row r="2622" spans="1:6" x14ac:dyDescent="0.2">
      <c r="A2622" s="368"/>
      <c r="B2622"/>
      <c r="C2622"/>
      <c r="D2622"/>
      <c r="E2622"/>
      <c r="F2622" s="855"/>
    </row>
    <row r="2623" spans="1:6" x14ac:dyDescent="0.2">
      <c r="A2623" s="368"/>
      <c r="B2623"/>
      <c r="C2623"/>
      <c r="D2623"/>
      <c r="E2623"/>
      <c r="F2623" s="855"/>
    </row>
    <row r="2624" spans="1:6" x14ac:dyDescent="0.2">
      <c r="A2624" s="368"/>
      <c r="B2624"/>
      <c r="C2624"/>
      <c r="D2624"/>
      <c r="E2624"/>
      <c r="F2624" s="855"/>
    </row>
    <row r="2625" spans="1:6" x14ac:dyDescent="0.2">
      <c r="A2625" s="368"/>
      <c r="B2625"/>
      <c r="C2625"/>
      <c r="D2625"/>
      <c r="E2625"/>
      <c r="F2625" s="855"/>
    </row>
    <row r="2626" spans="1:6" x14ac:dyDescent="0.2">
      <c r="A2626" s="368"/>
      <c r="B2626"/>
      <c r="C2626"/>
      <c r="D2626"/>
      <c r="E2626"/>
      <c r="F2626" s="855"/>
    </row>
    <row r="2627" spans="1:6" x14ac:dyDescent="0.2">
      <c r="A2627" s="368"/>
      <c r="B2627"/>
      <c r="C2627"/>
      <c r="D2627"/>
      <c r="E2627"/>
      <c r="F2627" s="855"/>
    </row>
    <row r="2628" spans="1:6" x14ac:dyDescent="0.2">
      <c r="A2628" s="368"/>
      <c r="B2628"/>
      <c r="C2628"/>
      <c r="D2628"/>
      <c r="E2628"/>
      <c r="F2628" s="855"/>
    </row>
    <row r="2629" spans="1:6" x14ac:dyDescent="0.2">
      <c r="A2629" s="368"/>
      <c r="B2629"/>
      <c r="C2629"/>
      <c r="D2629"/>
      <c r="E2629"/>
      <c r="F2629" s="855"/>
    </row>
    <row r="2630" spans="1:6" x14ac:dyDescent="0.2">
      <c r="A2630" s="368"/>
      <c r="B2630"/>
      <c r="C2630"/>
      <c r="D2630"/>
      <c r="E2630"/>
      <c r="F2630" s="855"/>
    </row>
    <row r="2631" spans="1:6" x14ac:dyDescent="0.2">
      <c r="A2631" s="368"/>
      <c r="B2631"/>
      <c r="C2631"/>
      <c r="D2631"/>
      <c r="E2631"/>
      <c r="F2631" s="855"/>
    </row>
    <row r="2632" spans="1:6" x14ac:dyDescent="0.2">
      <c r="A2632" s="368"/>
      <c r="B2632"/>
      <c r="C2632"/>
      <c r="D2632"/>
      <c r="E2632"/>
      <c r="F2632" s="855"/>
    </row>
    <row r="2633" spans="1:6" x14ac:dyDescent="0.2">
      <c r="A2633" s="368"/>
      <c r="B2633"/>
      <c r="C2633"/>
      <c r="D2633"/>
      <c r="E2633"/>
      <c r="F2633" s="855"/>
    </row>
    <row r="2634" spans="1:6" x14ac:dyDescent="0.2">
      <c r="A2634" s="368"/>
      <c r="B2634"/>
      <c r="C2634"/>
      <c r="D2634"/>
      <c r="E2634"/>
      <c r="F2634" s="855"/>
    </row>
    <row r="2635" spans="1:6" x14ac:dyDescent="0.2">
      <c r="A2635" s="368"/>
      <c r="B2635"/>
      <c r="C2635"/>
      <c r="D2635"/>
      <c r="E2635"/>
      <c r="F2635" s="855"/>
    </row>
    <row r="2636" spans="1:6" x14ac:dyDescent="0.2">
      <c r="A2636" s="368"/>
      <c r="B2636"/>
      <c r="C2636"/>
      <c r="D2636"/>
      <c r="E2636"/>
      <c r="F2636" s="855"/>
    </row>
    <row r="2637" spans="1:6" x14ac:dyDescent="0.2">
      <c r="A2637" s="368"/>
      <c r="B2637"/>
      <c r="C2637"/>
      <c r="D2637"/>
      <c r="E2637"/>
      <c r="F2637" s="855"/>
    </row>
  </sheetData>
  <sheetProtection password="9C8D" sheet="1" objects="1" scenarios="1"/>
  <mergeCells count="5">
    <mergeCell ref="A1:F1"/>
    <mergeCell ref="A2:F2"/>
    <mergeCell ref="A3:F3"/>
    <mergeCell ref="E5:F5"/>
    <mergeCell ref="A732:E732"/>
  </mergeCells>
  <pageMargins left="0.511811024" right="0.511811024" top="0.78740157499999996" bottom="0.78740157499999996" header="0.31496062000000002" footer="0.31496062000000002"/>
  <pageSetup paperSize="9" orientation="portrait" verticalDpi="0"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indowProtection="1" showGridLines="0" workbookViewId="0">
      <selection sqref="A1:F1"/>
    </sheetView>
  </sheetViews>
  <sheetFormatPr defaultRowHeight="16.5" x14ac:dyDescent="0.3"/>
  <cols>
    <col min="1" max="1" width="14.28515625" style="857" customWidth="1"/>
    <col min="2" max="2" width="15.140625" style="857" bestFit="1" customWidth="1"/>
    <col min="3" max="3" width="21.28515625" style="857" customWidth="1"/>
    <col min="4" max="4" width="21.5703125" style="857" customWidth="1"/>
    <col min="5" max="5" width="22.85546875" style="857" customWidth="1"/>
    <col min="6" max="6" width="18.85546875" style="857" customWidth="1"/>
    <col min="7" max="16384" width="9.140625" style="857"/>
  </cols>
  <sheetData>
    <row r="1" spans="1:7" x14ac:dyDescent="0.3">
      <c r="A1" s="1433" t="s">
        <v>753</v>
      </c>
      <c r="B1" s="1433"/>
      <c r="C1" s="1433"/>
      <c r="D1" s="1433"/>
      <c r="E1" s="1433"/>
      <c r="F1" s="1433"/>
    </row>
    <row r="2" spans="1:7" ht="18" x14ac:dyDescent="0.3">
      <c r="A2" s="1440" t="s">
        <v>743</v>
      </c>
      <c r="B2" s="1440"/>
      <c r="C2" s="1440"/>
      <c r="D2" s="1440"/>
      <c r="E2" s="1440"/>
      <c r="F2" s="1440"/>
      <c r="G2" s="856"/>
    </row>
    <row r="3" spans="1:7" x14ac:dyDescent="0.3">
      <c r="A3" s="1441" t="s">
        <v>744</v>
      </c>
      <c r="B3" s="1442"/>
      <c r="C3" s="1442"/>
      <c r="D3" s="1442"/>
      <c r="E3" s="1442"/>
      <c r="F3" s="1442"/>
    </row>
    <row r="4" spans="1:7" x14ac:dyDescent="0.3">
      <c r="A4" s="1443"/>
      <c r="B4" s="1443"/>
      <c r="C4" s="1443"/>
      <c r="D4" s="1443"/>
      <c r="E4" s="1443"/>
      <c r="F4" s="1443"/>
    </row>
    <row r="5" spans="1:7" ht="17.25" x14ac:dyDescent="0.35">
      <c r="A5" s="1444" t="s">
        <v>1</v>
      </c>
      <c r="B5" s="1444"/>
      <c r="C5" s="1444"/>
      <c r="D5" s="1444"/>
      <c r="E5" s="1444"/>
      <c r="F5" s="1444"/>
    </row>
    <row r="6" spans="1:7" ht="48" customHeight="1" x14ac:dyDescent="0.3">
      <c r="A6" s="858" t="s">
        <v>745</v>
      </c>
      <c r="B6" s="859" t="s">
        <v>746</v>
      </c>
      <c r="C6" s="859" t="s">
        <v>747</v>
      </c>
      <c r="D6" s="859" t="s">
        <v>748</v>
      </c>
      <c r="E6" s="859" t="s">
        <v>749</v>
      </c>
      <c r="F6" s="859" t="s">
        <v>750</v>
      </c>
    </row>
    <row r="7" spans="1:7" x14ac:dyDescent="0.3">
      <c r="A7" s="860" t="s">
        <v>168</v>
      </c>
      <c r="B7" s="861">
        <v>2084932</v>
      </c>
      <c r="C7" s="862">
        <f>ROUND(B7/$B$18*100,1)</f>
        <v>4.4000000000000004</v>
      </c>
      <c r="D7" s="861">
        <v>110665</v>
      </c>
      <c r="E7" s="863">
        <f>ROUND(D7/$B$18*100,1)</f>
        <v>0.2</v>
      </c>
      <c r="F7" s="863">
        <f>ROUND(D7/B7*100,1)</f>
        <v>5.3</v>
      </c>
    </row>
    <row r="8" spans="1:7" x14ac:dyDescent="0.3">
      <c r="A8" s="860" t="s">
        <v>172</v>
      </c>
      <c r="B8" s="864">
        <f>9797671-523</f>
        <v>9797148</v>
      </c>
      <c r="C8" s="862">
        <f t="shared" ref="C8:C18" si="0">ROUND(B8/$B$18*100,1)</f>
        <v>20.5</v>
      </c>
      <c r="D8" s="864">
        <f>285678-523</f>
        <v>285155</v>
      </c>
      <c r="E8" s="863">
        <f t="shared" ref="E8:E17" si="1">ROUND(D8/$B$18*100,1)</f>
        <v>0.6</v>
      </c>
      <c r="F8" s="863">
        <f t="shared" ref="F8:F18" si="2">ROUND(D8/B8*100,1)</f>
        <v>2.9</v>
      </c>
    </row>
    <row r="9" spans="1:7" x14ac:dyDescent="0.3">
      <c r="A9" s="860" t="s">
        <v>174</v>
      </c>
      <c r="B9" s="861">
        <v>7810350</v>
      </c>
      <c r="C9" s="862">
        <f t="shared" si="0"/>
        <v>16.3</v>
      </c>
      <c r="D9" s="861">
        <v>386975</v>
      </c>
      <c r="E9" s="863">
        <f t="shared" si="1"/>
        <v>0.8</v>
      </c>
      <c r="F9" s="863">
        <f t="shared" si="2"/>
        <v>5</v>
      </c>
    </row>
    <row r="10" spans="1:7" x14ac:dyDescent="0.3">
      <c r="A10" s="860" t="s">
        <v>175</v>
      </c>
      <c r="B10" s="861">
        <v>571474</v>
      </c>
      <c r="C10" s="862">
        <f t="shared" si="0"/>
        <v>1.2</v>
      </c>
      <c r="D10" s="861">
        <v>16130</v>
      </c>
      <c r="E10" s="863">
        <f t="shared" si="1"/>
        <v>0</v>
      </c>
      <c r="F10" s="863">
        <f t="shared" si="2"/>
        <v>2.8</v>
      </c>
    </row>
    <row r="11" spans="1:7" x14ac:dyDescent="0.3">
      <c r="A11" s="860" t="s">
        <v>176</v>
      </c>
      <c r="B11" s="861">
        <v>5772516</v>
      </c>
      <c r="C11" s="862">
        <f t="shared" si="0"/>
        <v>12.1</v>
      </c>
      <c r="D11" s="861">
        <v>182793</v>
      </c>
      <c r="E11" s="863">
        <f t="shared" si="1"/>
        <v>0.4</v>
      </c>
      <c r="F11" s="863">
        <f t="shared" si="2"/>
        <v>3.2</v>
      </c>
    </row>
    <row r="12" spans="1:7" x14ac:dyDescent="0.3">
      <c r="A12" s="860" t="s">
        <v>177</v>
      </c>
      <c r="B12" s="861">
        <v>2531629</v>
      </c>
      <c r="C12" s="862">
        <f t="shared" si="0"/>
        <v>5.3</v>
      </c>
      <c r="D12" s="861">
        <v>85691</v>
      </c>
      <c r="E12" s="863">
        <f t="shared" si="1"/>
        <v>0.2</v>
      </c>
      <c r="F12" s="863">
        <f t="shared" si="2"/>
        <v>3.4</v>
      </c>
    </row>
    <row r="13" spans="1:7" x14ac:dyDescent="0.3">
      <c r="A13" s="860" t="s">
        <v>178</v>
      </c>
      <c r="B13" s="861">
        <v>2439235</v>
      </c>
      <c r="C13" s="862">
        <f t="shared" si="0"/>
        <v>5.0999999999999996</v>
      </c>
      <c r="D13" s="861">
        <v>58599</v>
      </c>
      <c r="E13" s="863">
        <f t="shared" si="1"/>
        <v>0.1</v>
      </c>
      <c r="F13" s="863">
        <f t="shared" si="2"/>
        <v>2.4</v>
      </c>
    </row>
    <row r="14" spans="1:7" x14ac:dyDescent="0.3">
      <c r="A14" s="860" t="s">
        <v>179</v>
      </c>
      <c r="B14" s="861">
        <v>7823376</v>
      </c>
      <c r="C14" s="862">
        <f t="shared" si="0"/>
        <v>16.3</v>
      </c>
      <c r="D14" s="861">
        <v>227182</v>
      </c>
      <c r="E14" s="863">
        <f t="shared" si="1"/>
        <v>0.5</v>
      </c>
      <c r="F14" s="863">
        <f t="shared" si="2"/>
        <v>2.9</v>
      </c>
    </row>
    <row r="15" spans="1:7" x14ac:dyDescent="0.3">
      <c r="A15" s="860" t="s">
        <v>180</v>
      </c>
      <c r="B15" s="861">
        <v>3712717</v>
      </c>
      <c r="C15" s="862">
        <f t="shared" si="0"/>
        <v>7.8</v>
      </c>
      <c r="D15" s="861">
        <v>92561</v>
      </c>
      <c r="E15" s="863">
        <f t="shared" si="1"/>
        <v>0.2</v>
      </c>
      <c r="F15" s="863">
        <f t="shared" si="2"/>
        <v>2.5</v>
      </c>
    </row>
    <row r="16" spans="1:7" x14ac:dyDescent="0.3">
      <c r="A16" s="860" t="s">
        <v>181</v>
      </c>
      <c r="B16" s="861">
        <v>3314490</v>
      </c>
      <c r="C16" s="862">
        <f t="shared" si="0"/>
        <v>6.9</v>
      </c>
      <c r="D16" s="861">
        <v>94526</v>
      </c>
      <c r="E16" s="863">
        <f t="shared" si="1"/>
        <v>0.2</v>
      </c>
      <c r="F16" s="863">
        <f t="shared" si="2"/>
        <v>2.9</v>
      </c>
    </row>
    <row r="17" spans="1:6" x14ac:dyDescent="0.3">
      <c r="A17" s="860" t="s">
        <v>182</v>
      </c>
      <c r="B17" s="861">
        <v>2003609</v>
      </c>
      <c r="C17" s="862">
        <f t="shared" si="0"/>
        <v>4.2</v>
      </c>
      <c r="D17" s="861">
        <v>73330</v>
      </c>
      <c r="E17" s="863">
        <f t="shared" si="1"/>
        <v>0.2</v>
      </c>
      <c r="F17" s="863">
        <f t="shared" si="2"/>
        <v>3.7</v>
      </c>
    </row>
    <row r="18" spans="1:6" ht="18" x14ac:dyDescent="0.35">
      <c r="A18" s="865" t="s">
        <v>29</v>
      </c>
      <c r="B18" s="866">
        <f>SUM(B7:B17)</f>
        <v>47861476</v>
      </c>
      <c r="C18" s="867">
        <f t="shared" si="0"/>
        <v>100</v>
      </c>
      <c r="D18" s="866">
        <f>SUM(D7:D17)</f>
        <v>1613607</v>
      </c>
      <c r="E18" s="868">
        <f>SUM(E7:E17)</f>
        <v>3.4000000000000008</v>
      </c>
      <c r="F18" s="865">
        <f t="shared" si="2"/>
        <v>3.4</v>
      </c>
    </row>
    <row r="19" spans="1:6" x14ac:dyDescent="0.3">
      <c r="A19" s="1438" t="s">
        <v>751</v>
      </c>
      <c r="B19" s="1438"/>
      <c r="C19" s="1438"/>
      <c r="D19" s="1438"/>
      <c r="E19" s="1438"/>
      <c r="F19" s="1438"/>
    </row>
    <row r="20" spans="1:6" ht="45" customHeight="1" x14ac:dyDescent="0.3">
      <c r="A20" s="1439" t="s">
        <v>752</v>
      </c>
      <c r="B20" s="1439"/>
      <c r="C20" s="1439"/>
      <c r="D20" s="1439"/>
      <c r="E20" s="1439"/>
      <c r="F20" s="1439"/>
    </row>
  </sheetData>
  <sheetProtection password="9C8D" sheet="1" objects="1" scenarios="1"/>
  <mergeCells count="7">
    <mergeCell ref="A19:F19"/>
    <mergeCell ref="A20:F20"/>
    <mergeCell ref="A1:F1"/>
    <mergeCell ref="A2:F2"/>
    <mergeCell ref="A3:F3"/>
    <mergeCell ref="A4:F4"/>
    <mergeCell ref="A5:F5"/>
  </mergeCells>
  <pageMargins left="0.511811024" right="0.511811024" top="0.78740157499999996" bottom="0.78740157499999996" header="0.31496062000000002" footer="0.31496062000000002"/>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indowProtection="1" showGridLines="0" workbookViewId="0">
      <selection sqref="A1:F1"/>
    </sheetView>
  </sheetViews>
  <sheetFormatPr defaultRowHeight="16.5" x14ac:dyDescent="0.3"/>
  <cols>
    <col min="1" max="1" width="18.85546875" style="857" bestFit="1" customWidth="1"/>
    <col min="2" max="2" width="13.42578125" style="857" bestFit="1" customWidth="1"/>
    <col min="3" max="3" width="21.28515625" style="857" customWidth="1"/>
    <col min="4" max="4" width="24" style="857" customWidth="1"/>
    <col min="5" max="5" width="25.140625" style="857" customWidth="1"/>
    <col min="6" max="6" width="20.42578125" style="857" customWidth="1"/>
    <col min="7" max="16384" width="9.140625" style="857"/>
  </cols>
  <sheetData>
    <row r="1" spans="1:6" x14ac:dyDescent="0.3">
      <c r="A1" s="1433" t="s">
        <v>758</v>
      </c>
      <c r="B1" s="1433"/>
      <c r="C1" s="1433"/>
      <c r="D1" s="1433"/>
      <c r="E1" s="1433"/>
      <c r="F1" s="1433"/>
    </row>
    <row r="2" spans="1:6" ht="20.25" x14ac:dyDescent="0.3">
      <c r="A2" s="1440" t="s">
        <v>754</v>
      </c>
      <c r="B2" s="1440"/>
      <c r="C2" s="1440"/>
      <c r="D2" s="1440"/>
      <c r="E2" s="1440"/>
      <c r="F2" s="1440"/>
    </row>
    <row r="3" spans="1:6" ht="18" x14ac:dyDescent="0.3">
      <c r="A3" s="1445" t="str">
        <f>+'[12]FNE - UF Empreendimento'!A3:F3</f>
        <v>Posição: 31.12.2015</v>
      </c>
      <c r="B3" s="1446"/>
      <c r="C3" s="1446"/>
      <c r="D3" s="1446"/>
      <c r="E3" s="1446"/>
      <c r="F3" s="1446"/>
    </row>
    <row r="4" spans="1:6" x14ac:dyDescent="0.3">
      <c r="A4" s="1447"/>
      <c r="B4" s="1447"/>
      <c r="C4" s="1447"/>
      <c r="D4" s="1447"/>
      <c r="E4" s="1447"/>
      <c r="F4" s="1447"/>
    </row>
    <row r="5" spans="1:6" ht="15.75" customHeight="1" x14ac:dyDescent="0.3">
      <c r="A5" s="1448" t="s">
        <v>1</v>
      </c>
      <c r="B5" s="1448"/>
      <c r="C5" s="1448"/>
      <c r="D5" s="1448"/>
      <c r="E5" s="1448"/>
      <c r="F5" s="1448"/>
    </row>
    <row r="6" spans="1:6" ht="46.5" customHeight="1" x14ac:dyDescent="0.3">
      <c r="A6" s="869" t="s">
        <v>135</v>
      </c>
      <c r="B6" s="870" t="s">
        <v>746</v>
      </c>
      <c r="C6" s="870" t="s">
        <v>747</v>
      </c>
      <c r="D6" s="870" t="s">
        <v>748</v>
      </c>
      <c r="E6" s="870" t="s">
        <v>749</v>
      </c>
      <c r="F6" s="870" t="s">
        <v>755</v>
      </c>
    </row>
    <row r="7" spans="1:6" x14ac:dyDescent="0.3">
      <c r="A7" s="871" t="s">
        <v>138</v>
      </c>
      <c r="B7" s="872">
        <f>19033831+197</f>
        <v>19034028</v>
      </c>
      <c r="C7" s="873">
        <f>ROUND(B7/$B$13*100,1)</f>
        <v>39.799999999999997</v>
      </c>
      <c r="D7" s="874">
        <v>958548</v>
      </c>
      <c r="E7" s="873">
        <f>ROUND(D7/$B$13*100,1)</f>
        <v>2</v>
      </c>
      <c r="F7" s="873">
        <f t="shared" ref="F7:F13" si="0">ROUND(D7/B7*100,1)</f>
        <v>5</v>
      </c>
    </row>
    <row r="8" spans="1:6" x14ac:dyDescent="0.3">
      <c r="A8" s="871" t="s">
        <v>139</v>
      </c>
      <c r="B8" s="872">
        <f>993276-522</f>
        <v>992754</v>
      </c>
      <c r="C8" s="873">
        <f t="shared" ref="C8:C12" si="1">ROUND(B8/$B$13*100,1)</f>
        <v>2.1</v>
      </c>
      <c r="D8" s="872">
        <f>79454-523</f>
        <v>78931</v>
      </c>
      <c r="E8" s="873">
        <f t="shared" ref="E8:E12" si="2">ROUND(D8/$B$13*100,1)</f>
        <v>0.2</v>
      </c>
      <c r="F8" s="873">
        <f t="shared" si="0"/>
        <v>8</v>
      </c>
    </row>
    <row r="9" spans="1:6" x14ac:dyDescent="0.3">
      <c r="A9" s="871" t="s">
        <v>302</v>
      </c>
      <c r="B9" s="872">
        <f>12839366+242064</f>
        <v>13081430</v>
      </c>
      <c r="C9" s="873">
        <f t="shared" si="1"/>
        <v>27.3</v>
      </c>
      <c r="D9" s="874">
        <v>180837</v>
      </c>
      <c r="E9" s="873">
        <f t="shared" si="2"/>
        <v>0.4</v>
      </c>
      <c r="F9" s="873">
        <f t="shared" si="0"/>
        <v>1.4</v>
      </c>
    </row>
    <row r="10" spans="1:6" x14ac:dyDescent="0.3">
      <c r="A10" s="871" t="s">
        <v>141</v>
      </c>
      <c r="B10" s="874">
        <v>4951147</v>
      </c>
      <c r="C10" s="873">
        <f t="shared" si="1"/>
        <v>10.3</v>
      </c>
      <c r="D10" s="874">
        <v>0</v>
      </c>
      <c r="E10" s="873">
        <f t="shared" si="2"/>
        <v>0</v>
      </c>
      <c r="F10" s="875">
        <f t="shared" si="0"/>
        <v>0</v>
      </c>
    </row>
    <row r="11" spans="1:6" x14ac:dyDescent="0.3">
      <c r="A11" s="876" t="s">
        <v>191</v>
      </c>
      <c r="B11" s="872">
        <f>9956313-242262</f>
        <v>9714051</v>
      </c>
      <c r="C11" s="873">
        <f t="shared" si="1"/>
        <v>20.3</v>
      </c>
      <c r="D11" s="874">
        <v>374369</v>
      </c>
      <c r="E11" s="873">
        <f t="shared" si="2"/>
        <v>0.8</v>
      </c>
      <c r="F11" s="873">
        <f t="shared" si="0"/>
        <v>3.9</v>
      </c>
    </row>
    <row r="12" spans="1:6" x14ac:dyDescent="0.3">
      <c r="A12" s="876" t="s">
        <v>756</v>
      </c>
      <c r="B12" s="877">
        <v>88066</v>
      </c>
      <c r="C12" s="873">
        <f t="shared" si="1"/>
        <v>0.2</v>
      </c>
      <c r="D12" s="874">
        <v>20922</v>
      </c>
      <c r="E12" s="873">
        <f t="shared" si="2"/>
        <v>0</v>
      </c>
      <c r="F12" s="873">
        <f t="shared" si="0"/>
        <v>23.8</v>
      </c>
    </row>
    <row r="13" spans="1:6" x14ac:dyDescent="0.3">
      <c r="A13" s="878" t="s">
        <v>29</v>
      </c>
      <c r="B13" s="879">
        <f>SUM(B7:B12)</f>
        <v>47861476</v>
      </c>
      <c r="C13" s="880">
        <f>SUM(C7:C12)</f>
        <v>100</v>
      </c>
      <c r="D13" s="879">
        <f>SUM(D7:D12)</f>
        <v>1613607</v>
      </c>
      <c r="E13" s="880">
        <f>SUM(E7:E12)</f>
        <v>3.4000000000000004</v>
      </c>
      <c r="F13" s="880">
        <f t="shared" si="0"/>
        <v>3.4</v>
      </c>
    </row>
    <row r="14" spans="1:6" x14ac:dyDescent="0.3">
      <c r="A14" s="1438" t="s">
        <v>751</v>
      </c>
      <c r="B14" s="1438"/>
      <c r="C14" s="1438"/>
      <c r="D14" s="1438"/>
      <c r="E14" s="1438"/>
      <c r="F14" s="1438"/>
    </row>
    <row r="15" spans="1:6" ht="45" customHeight="1" x14ac:dyDescent="0.3">
      <c r="A15" s="1439" t="s">
        <v>757</v>
      </c>
      <c r="B15" s="1439"/>
      <c r="C15" s="1439"/>
      <c r="D15" s="1439"/>
      <c r="E15" s="1439"/>
      <c r="F15" s="1439"/>
    </row>
    <row r="17" spans="2:6" x14ac:dyDescent="0.3">
      <c r="B17" s="881">
        <f>+B13-'[12]FNE - UF Empreendimento'!B18</f>
        <v>0</v>
      </c>
      <c r="C17" s="881">
        <f>+C13-'[12]FNE - UF Empreendimento'!C18</f>
        <v>0</v>
      </c>
      <c r="D17" s="881">
        <f>+D13-'[12]FNE - UF Empreendimento'!D18</f>
        <v>0</v>
      </c>
      <c r="E17" s="881">
        <f>+E13-'[12]FNE - UF Empreendimento'!E18</f>
        <v>0</v>
      </c>
      <c r="F17" s="881">
        <f>+F13-'[12]FNE - UF Empreendimento'!F18</f>
        <v>0</v>
      </c>
    </row>
  </sheetData>
  <sheetProtection password="9C8D" sheet="1" objects="1" scenarios="1"/>
  <mergeCells count="7">
    <mergeCell ref="A15:F15"/>
    <mergeCell ref="A1:F1"/>
    <mergeCell ref="A2:F2"/>
    <mergeCell ref="A3:F3"/>
    <mergeCell ref="A4:F4"/>
    <mergeCell ref="A5:F5"/>
    <mergeCell ref="A14:F14"/>
  </mergeCells>
  <pageMargins left="0.511811024" right="0.511811024" top="0.78740157499999996" bottom="0.78740157499999996" header="0.31496062000000002" footer="0.3149606200000000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indowProtection="1" showGridLines="0" workbookViewId="0">
      <selection sqref="A1:F1"/>
    </sheetView>
  </sheetViews>
  <sheetFormatPr defaultRowHeight="16.5" x14ac:dyDescent="0.3"/>
  <cols>
    <col min="1" max="1" width="23.42578125" style="857" bestFit="1" customWidth="1"/>
    <col min="2" max="2" width="13.42578125" style="857" bestFit="1" customWidth="1"/>
    <col min="3" max="3" width="19.140625" style="857" customWidth="1"/>
    <col min="4" max="4" width="23.42578125" style="857" customWidth="1"/>
    <col min="5" max="5" width="22.7109375" style="857" customWidth="1"/>
    <col min="6" max="6" width="19.7109375" style="857" customWidth="1"/>
    <col min="7" max="16384" width="9.140625" style="857"/>
  </cols>
  <sheetData>
    <row r="1" spans="1:6" x14ac:dyDescent="0.3">
      <c r="A1" s="1433" t="s">
        <v>764</v>
      </c>
      <c r="B1" s="1433"/>
      <c r="C1" s="1433"/>
      <c r="D1" s="1433"/>
      <c r="E1" s="1433"/>
      <c r="F1" s="1433"/>
    </row>
    <row r="2" spans="1:6" ht="20.25" x14ac:dyDescent="0.3">
      <c r="A2" s="1440" t="s">
        <v>759</v>
      </c>
      <c r="B2" s="1440"/>
      <c r="C2" s="1440"/>
      <c r="D2" s="1440"/>
      <c r="E2" s="1440"/>
      <c r="F2" s="1440"/>
    </row>
    <row r="3" spans="1:6" ht="18" x14ac:dyDescent="0.3">
      <c r="A3" s="1445" t="str">
        <f>+'[12]FNE - UF Empreendimento'!A3:F3</f>
        <v>Posição: 31.12.2015</v>
      </c>
      <c r="B3" s="1446"/>
      <c r="C3" s="1446"/>
      <c r="D3" s="1446"/>
      <c r="E3" s="1446"/>
      <c r="F3" s="1446"/>
    </row>
    <row r="4" spans="1:6" x14ac:dyDescent="0.3">
      <c r="A4" s="1447"/>
      <c r="B4" s="1447"/>
      <c r="C4" s="1447"/>
      <c r="D4" s="1447"/>
      <c r="E4" s="1447"/>
      <c r="F4" s="1447"/>
    </row>
    <row r="5" spans="1:6" x14ac:dyDescent="0.3">
      <c r="A5" s="1448" t="s">
        <v>1</v>
      </c>
      <c r="B5" s="1448"/>
      <c r="C5" s="1448"/>
      <c r="D5" s="1448"/>
      <c r="E5" s="1448"/>
      <c r="F5" s="1448"/>
    </row>
    <row r="6" spans="1:6" ht="51" customHeight="1" x14ac:dyDescent="0.3">
      <c r="A6" s="859" t="s">
        <v>216</v>
      </c>
      <c r="B6" s="859" t="s">
        <v>746</v>
      </c>
      <c r="C6" s="859" t="s">
        <v>747</v>
      </c>
      <c r="D6" s="859" t="s">
        <v>748</v>
      </c>
      <c r="E6" s="859" t="s">
        <v>749</v>
      </c>
      <c r="F6" s="859" t="s">
        <v>760</v>
      </c>
    </row>
    <row r="7" spans="1:6" x14ac:dyDescent="0.3">
      <c r="A7" s="871" t="s">
        <v>551</v>
      </c>
      <c r="B7" s="882">
        <v>212923</v>
      </c>
      <c r="C7" s="883">
        <f>ROUND(B7/$B$13*100,1)</f>
        <v>0.4</v>
      </c>
      <c r="D7" s="882">
        <v>35129</v>
      </c>
      <c r="E7" s="884">
        <f>ROUND(D7/$B$13*100,1)</f>
        <v>0.1</v>
      </c>
      <c r="F7" s="884">
        <f t="shared" ref="F7:F12" si="0">ROUND(D7/B7*100,1)</f>
        <v>16.5</v>
      </c>
    </row>
    <row r="8" spans="1:6" x14ac:dyDescent="0.3">
      <c r="A8" s="871" t="s">
        <v>761</v>
      </c>
      <c r="B8" s="882">
        <v>11108598</v>
      </c>
      <c r="C8" s="883">
        <f t="shared" ref="C8:C11" si="1">ROUND(B8/$B$13*100,1)</f>
        <v>23.2</v>
      </c>
      <c r="D8" s="882">
        <v>537092</v>
      </c>
      <c r="E8" s="885">
        <f>ROUND(D8/$B$13*100,1)+0.1</f>
        <v>1.2000000000000002</v>
      </c>
      <c r="F8" s="884">
        <f t="shared" si="0"/>
        <v>4.8</v>
      </c>
    </row>
    <row r="9" spans="1:6" x14ac:dyDescent="0.3">
      <c r="A9" s="871" t="s">
        <v>150</v>
      </c>
      <c r="B9" s="882">
        <v>6874051</v>
      </c>
      <c r="C9" s="883">
        <f t="shared" si="1"/>
        <v>14.4</v>
      </c>
      <c r="D9" s="882">
        <v>353849</v>
      </c>
      <c r="E9" s="884">
        <f t="shared" ref="E9:E12" si="2">ROUND(D9/$B$13*100,1)</f>
        <v>0.7</v>
      </c>
      <c r="F9" s="884">
        <f t="shared" si="0"/>
        <v>5.0999999999999996</v>
      </c>
    </row>
    <row r="10" spans="1:6" x14ac:dyDescent="0.3">
      <c r="A10" s="871" t="s">
        <v>762</v>
      </c>
      <c r="B10" s="882">
        <v>2223842</v>
      </c>
      <c r="C10" s="883">
        <f t="shared" si="1"/>
        <v>4.5999999999999996</v>
      </c>
      <c r="D10" s="882">
        <v>67795</v>
      </c>
      <c r="E10" s="884">
        <f t="shared" si="2"/>
        <v>0.1</v>
      </c>
      <c r="F10" s="884">
        <f t="shared" si="0"/>
        <v>3</v>
      </c>
    </row>
    <row r="11" spans="1:6" x14ac:dyDescent="0.3">
      <c r="A11" s="871" t="s">
        <v>152</v>
      </c>
      <c r="B11" s="886">
        <f>6750640-523</f>
        <v>6750117</v>
      </c>
      <c r="C11" s="883">
        <f t="shared" si="1"/>
        <v>14.1</v>
      </c>
      <c r="D11" s="886">
        <f>282585-523</f>
        <v>282062</v>
      </c>
      <c r="E11" s="884">
        <f t="shared" si="2"/>
        <v>0.6</v>
      </c>
      <c r="F11" s="884">
        <f t="shared" si="0"/>
        <v>4.2</v>
      </c>
    </row>
    <row r="12" spans="1:6" x14ac:dyDescent="0.3">
      <c r="A12" s="876" t="s">
        <v>153</v>
      </c>
      <c r="B12" s="882">
        <f>20691945</f>
        <v>20691945</v>
      </c>
      <c r="C12" s="885">
        <f>ROUND(B12/$B$13*100,1)+0.1</f>
        <v>43.300000000000004</v>
      </c>
      <c r="D12" s="882">
        <f>337680</f>
        <v>337680</v>
      </c>
      <c r="E12" s="884">
        <f t="shared" si="2"/>
        <v>0.7</v>
      </c>
      <c r="F12" s="884">
        <f t="shared" si="0"/>
        <v>1.6</v>
      </c>
    </row>
    <row r="13" spans="1:6" x14ac:dyDescent="0.3">
      <c r="A13" s="887" t="s">
        <v>29</v>
      </c>
      <c r="B13" s="879">
        <f>SUM(B7:B12)</f>
        <v>47861476</v>
      </c>
      <c r="C13" s="880">
        <f>SUM(C7:C12)</f>
        <v>100</v>
      </c>
      <c r="D13" s="879">
        <f>SUM(D7:D12)</f>
        <v>1613607</v>
      </c>
      <c r="E13" s="880">
        <f>SUM(E7:E12)</f>
        <v>3.4000000000000004</v>
      </c>
      <c r="F13" s="880">
        <f>ROUND(D13/B13*100,1)</f>
        <v>3.4</v>
      </c>
    </row>
    <row r="14" spans="1:6" x14ac:dyDescent="0.3">
      <c r="A14" s="1438" t="s">
        <v>751</v>
      </c>
      <c r="B14" s="1438"/>
      <c r="C14" s="1438"/>
      <c r="D14" s="1438"/>
      <c r="E14" s="1438"/>
      <c r="F14" s="1438"/>
    </row>
    <row r="15" spans="1:6" ht="42.75" customHeight="1" x14ac:dyDescent="0.3">
      <c r="A15" s="1439" t="s">
        <v>763</v>
      </c>
      <c r="B15" s="1439"/>
      <c r="C15" s="1439"/>
      <c r="D15" s="1439"/>
      <c r="E15" s="1439"/>
      <c r="F15" s="1439"/>
    </row>
    <row r="16" spans="1:6" x14ac:dyDescent="0.3">
      <c r="B16" s="881">
        <f>+B13-'[12]FNE - UF Empreendimento'!B18</f>
        <v>0</v>
      </c>
      <c r="C16" s="881">
        <f>+C13-'[12]FNE - UF Empreendimento'!C18</f>
        <v>0</v>
      </c>
      <c r="D16" s="881">
        <f>+D13-'[12]FNE - UF Empreendimento'!D18</f>
        <v>0</v>
      </c>
      <c r="E16" s="881">
        <f>+E13-'[12]FNE - UF Empreendimento'!E18</f>
        <v>0</v>
      </c>
      <c r="F16" s="881">
        <f>+F13-'[12]FNE - UF Empreendimento'!F18</f>
        <v>0</v>
      </c>
    </row>
  </sheetData>
  <sheetProtection password="9C8D" sheet="1" objects="1" scenarios="1"/>
  <mergeCells count="7">
    <mergeCell ref="A15:F15"/>
    <mergeCell ref="A1:F1"/>
    <mergeCell ref="A2:F2"/>
    <mergeCell ref="A3:F3"/>
    <mergeCell ref="A4:F4"/>
    <mergeCell ref="A5:F5"/>
    <mergeCell ref="A14:F14"/>
  </mergeCells>
  <pageMargins left="0.511811024" right="0.511811024" top="0.78740157499999996" bottom="0.78740157499999996" header="0.31496062000000002" footer="0.3149606200000000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windowProtection="1" showGridLines="0" workbookViewId="0">
      <selection sqref="A1:F1"/>
    </sheetView>
  </sheetViews>
  <sheetFormatPr defaultRowHeight="15" x14ac:dyDescent="0.25"/>
  <cols>
    <col min="1" max="1" width="36.140625" style="888" bestFit="1" customWidth="1"/>
    <col min="2" max="2" width="19.7109375" style="888" customWidth="1"/>
    <col min="3" max="3" width="25" style="888" customWidth="1"/>
    <col min="4" max="4" width="22.140625" style="888" customWidth="1"/>
    <col min="5" max="5" width="22.7109375" style="888" customWidth="1"/>
    <col min="6" max="6" width="19.42578125" style="888" customWidth="1"/>
    <col min="7" max="16384" width="9.140625" style="888"/>
  </cols>
  <sheetData>
    <row r="1" spans="1:6" ht="15.75" x14ac:dyDescent="0.25">
      <c r="A1" s="1433" t="s">
        <v>785</v>
      </c>
      <c r="B1" s="1433"/>
      <c r="C1" s="1433"/>
      <c r="D1" s="1433"/>
      <c r="E1" s="1433"/>
      <c r="F1" s="1433"/>
    </row>
    <row r="2" spans="1:6" ht="18" x14ac:dyDescent="0.25">
      <c r="A2" s="1440" t="s">
        <v>765</v>
      </c>
      <c r="B2" s="1440"/>
      <c r="C2" s="1440"/>
      <c r="D2" s="1440"/>
      <c r="E2" s="1440"/>
      <c r="F2" s="1440"/>
    </row>
    <row r="3" spans="1:6" ht="16.5" x14ac:dyDescent="0.3">
      <c r="A3" s="1441" t="str">
        <f>+'[12]FNE - UF Empreendimento'!A3:F3</f>
        <v>Posição: 31.12.2015</v>
      </c>
      <c r="B3" s="1442"/>
      <c r="C3" s="1442"/>
      <c r="D3" s="1442"/>
      <c r="E3" s="1442"/>
      <c r="F3" s="1442"/>
    </row>
    <row r="4" spans="1:6" ht="16.5" x14ac:dyDescent="0.3">
      <c r="A4" s="1443"/>
      <c r="B4" s="1443"/>
      <c r="C4" s="1443"/>
      <c r="D4" s="1443"/>
      <c r="E4" s="1443"/>
      <c r="F4" s="1443"/>
    </row>
    <row r="5" spans="1:6" ht="16.5" x14ac:dyDescent="0.35">
      <c r="A5" s="1444" t="s">
        <v>1</v>
      </c>
      <c r="B5" s="1444"/>
      <c r="C5" s="1444"/>
      <c r="D5" s="1444"/>
      <c r="E5" s="1444"/>
      <c r="F5" s="1444"/>
    </row>
    <row r="6" spans="1:6" ht="34.5" x14ac:dyDescent="0.25">
      <c r="A6" s="858" t="s">
        <v>248</v>
      </c>
      <c r="B6" s="859" t="s">
        <v>746</v>
      </c>
      <c r="C6" s="859" t="s">
        <v>747</v>
      </c>
      <c r="D6" s="859" t="s">
        <v>748</v>
      </c>
      <c r="E6" s="859" t="s">
        <v>749</v>
      </c>
      <c r="F6" s="859" t="s">
        <v>750</v>
      </c>
    </row>
    <row r="7" spans="1:6" x14ac:dyDescent="0.25">
      <c r="A7" s="888" t="s">
        <v>766</v>
      </c>
      <c r="B7" s="889">
        <v>1279</v>
      </c>
      <c r="C7" s="890">
        <f>ROUND(B7/$B$49*100,1)</f>
        <v>0</v>
      </c>
      <c r="D7" s="889">
        <v>397</v>
      </c>
      <c r="E7" s="890">
        <f>ROUND(D7/$B$49*100,1)</f>
        <v>0</v>
      </c>
      <c r="F7" s="890">
        <f>ROUND(D7/B7*100,1)</f>
        <v>31</v>
      </c>
    </row>
    <row r="8" spans="1:6" x14ac:dyDescent="0.25">
      <c r="A8" s="888" t="s">
        <v>767</v>
      </c>
      <c r="B8" s="889">
        <v>11085</v>
      </c>
      <c r="C8" s="890">
        <f t="shared" ref="C8:C48" si="0">ROUND(B8/$B$49*100,1)</f>
        <v>0.1</v>
      </c>
      <c r="D8" s="889">
        <v>6490</v>
      </c>
      <c r="E8" s="890">
        <f t="shared" ref="E8:E48" si="1">ROUND(D8/$B$49*100,1)</f>
        <v>0.1</v>
      </c>
      <c r="F8" s="890">
        <f t="shared" ref="F8:F48" si="2">ROUND(D8/B8*100,1)</f>
        <v>58.5</v>
      </c>
    </row>
    <row r="9" spans="1:6" x14ac:dyDescent="0.25">
      <c r="A9" s="888" t="s">
        <v>768</v>
      </c>
      <c r="B9" s="889">
        <v>6780</v>
      </c>
      <c r="C9" s="890">
        <f t="shared" si="0"/>
        <v>0.1</v>
      </c>
      <c r="D9" s="889">
        <v>2344</v>
      </c>
      <c r="E9" s="890">
        <f t="shared" si="1"/>
        <v>0</v>
      </c>
      <c r="F9" s="890">
        <f t="shared" si="2"/>
        <v>34.6</v>
      </c>
    </row>
    <row r="10" spans="1:6" x14ac:dyDescent="0.25">
      <c r="A10" s="888" t="s">
        <v>769</v>
      </c>
      <c r="B10" s="889">
        <v>291</v>
      </c>
      <c r="C10" s="890">
        <f t="shared" si="0"/>
        <v>0</v>
      </c>
      <c r="D10" s="889">
        <v>75</v>
      </c>
      <c r="E10" s="890">
        <f t="shared" si="1"/>
        <v>0</v>
      </c>
      <c r="F10" s="890">
        <f t="shared" si="2"/>
        <v>25.8</v>
      </c>
    </row>
    <row r="11" spans="1:6" x14ac:dyDescent="0.25">
      <c r="A11" s="888" t="s">
        <v>527</v>
      </c>
      <c r="B11" s="889">
        <v>37</v>
      </c>
      <c r="C11" s="890">
        <f t="shared" si="0"/>
        <v>0</v>
      </c>
      <c r="D11" s="889">
        <v>2</v>
      </c>
      <c r="E11" s="890">
        <f t="shared" si="1"/>
        <v>0</v>
      </c>
      <c r="F11" s="890">
        <f t="shared" si="2"/>
        <v>5.4</v>
      </c>
    </row>
    <row r="12" spans="1:6" x14ac:dyDescent="0.25">
      <c r="A12" s="888" t="s">
        <v>514</v>
      </c>
      <c r="B12" s="889">
        <v>30245</v>
      </c>
      <c r="C12" s="890">
        <f t="shared" si="0"/>
        <v>0.4</v>
      </c>
      <c r="D12" s="889">
        <v>481</v>
      </c>
      <c r="E12" s="890">
        <f t="shared" si="1"/>
        <v>0</v>
      </c>
      <c r="F12" s="890">
        <f t="shared" si="2"/>
        <v>1.6</v>
      </c>
    </row>
    <row r="13" spans="1:6" x14ac:dyDescent="0.25">
      <c r="A13" s="888" t="s">
        <v>523</v>
      </c>
      <c r="B13" s="889">
        <v>780</v>
      </c>
      <c r="C13" s="890">
        <f t="shared" si="0"/>
        <v>0</v>
      </c>
      <c r="D13" s="889">
        <v>17</v>
      </c>
      <c r="E13" s="890">
        <f t="shared" si="1"/>
        <v>0</v>
      </c>
      <c r="F13" s="890">
        <f t="shared" si="2"/>
        <v>2.2000000000000002</v>
      </c>
    </row>
    <row r="14" spans="1:6" x14ac:dyDescent="0.25">
      <c r="A14" s="888" t="s">
        <v>770</v>
      </c>
      <c r="B14" s="889">
        <v>306</v>
      </c>
      <c r="C14" s="890">
        <f t="shared" si="0"/>
        <v>0</v>
      </c>
      <c r="D14" s="889">
        <v>1</v>
      </c>
      <c r="E14" s="890">
        <f t="shared" si="1"/>
        <v>0</v>
      </c>
      <c r="F14" s="890">
        <f t="shared" si="2"/>
        <v>0.3</v>
      </c>
    </row>
    <row r="15" spans="1:6" x14ac:dyDescent="0.25">
      <c r="A15" s="888" t="s">
        <v>509</v>
      </c>
      <c r="B15" s="889">
        <v>571</v>
      </c>
      <c r="C15" s="890">
        <f t="shared" si="0"/>
        <v>0</v>
      </c>
      <c r="D15" s="889">
        <v>6</v>
      </c>
      <c r="E15" s="890">
        <f t="shared" si="1"/>
        <v>0</v>
      </c>
      <c r="F15" s="890">
        <f t="shared" si="2"/>
        <v>1.1000000000000001</v>
      </c>
    </row>
    <row r="16" spans="1:6" x14ac:dyDescent="0.25">
      <c r="A16" s="888" t="s">
        <v>771</v>
      </c>
      <c r="B16" s="889">
        <v>4</v>
      </c>
      <c r="C16" s="890">
        <f t="shared" si="0"/>
        <v>0</v>
      </c>
      <c r="D16" s="889">
        <v>0</v>
      </c>
      <c r="E16" s="890">
        <f t="shared" si="1"/>
        <v>0</v>
      </c>
      <c r="F16" s="890">
        <f t="shared" si="2"/>
        <v>0</v>
      </c>
    </row>
    <row r="17" spans="1:6" x14ac:dyDescent="0.25">
      <c r="A17" s="888" t="s">
        <v>513</v>
      </c>
      <c r="B17" s="889">
        <v>578</v>
      </c>
      <c r="C17" s="890">
        <f t="shared" si="0"/>
        <v>0</v>
      </c>
      <c r="D17" s="889">
        <v>30</v>
      </c>
      <c r="E17" s="890">
        <f t="shared" si="1"/>
        <v>0</v>
      </c>
      <c r="F17" s="890">
        <f t="shared" si="2"/>
        <v>5.2</v>
      </c>
    </row>
    <row r="18" spans="1:6" x14ac:dyDescent="0.25">
      <c r="A18" s="888" t="s">
        <v>510</v>
      </c>
      <c r="B18" s="889">
        <v>18810</v>
      </c>
      <c r="C18" s="890">
        <f t="shared" si="0"/>
        <v>0.2</v>
      </c>
      <c r="D18" s="889">
        <v>780</v>
      </c>
      <c r="E18" s="890">
        <f t="shared" si="1"/>
        <v>0</v>
      </c>
      <c r="F18" s="890">
        <f t="shared" si="2"/>
        <v>4.0999999999999996</v>
      </c>
    </row>
    <row r="19" spans="1:6" x14ac:dyDescent="0.25">
      <c r="A19" s="888" t="s">
        <v>518</v>
      </c>
      <c r="B19" s="889">
        <v>1280</v>
      </c>
      <c r="C19" s="890">
        <f t="shared" si="0"/>
        <v>0</v>
      </c>
      <c r="D19" s="889">
        <v>33</v>
      </c>
      <c r="E19" s="890">
        <f t="shared" si="1"/>
        <v>0</v>
      </c>
      <c r="F19" s="890">
        <f t="shared" si="2"/>
        <v>2.6</v>
      </c>
    </row>
    <row r="20" spans="1:6" x14ac:dyDescent="0.25">
      <c r="A20" s="888" t="s">
        <v>515</v>
      </c>
      <c r="B20" s="889">
        <v>1650</v>
      </c>
      <c r="C20" s="890">
        <f t="shared" si="0"/>
        <v>0</v>
      </c>
      <c r="D20" s="889">
        <v>69</v>
      </c>
      <c r="E20" s="890">
        <f t="shared" si="1"/>
        <v>0</v>
      </c>
      <c r="F20" s="890">
        <f t="shared" si="2"/>
        <v>4.2</v>
      </c>
    </row>
    <row r="21" spans="1:6" x14ac:dyDescent="0.25">
      <c r="A21" s="888" t="s">
        <v>528</v>
      </c>
      <c r="B21" s="889">
        <v>447</v>
      </c>
      <c r="C21" s="890">
        <f t="shared" si="0"/>
        <v>0</v>
      </c>
      <c r="D21" s="889">
        <v>30</v>
      </c>
      <c r="E21" s="890">
        <f t="shared" si="1"/>
        <v>0</v>
      </c>
      <c r="F21" s="890">
        <f t="shared" si="2"/>
        <v>6.7</v>
      </c>
    </row>
    <row r="22" spans="1:6" x14ac:dyDescent="0.25">
      <c r="A22" s="888" t="s">
        <v>772</v>
      </c>
      <c r="B22" s="889">
        <v>4887</v>
      </c>
      <c r="C22" s="890">
        <f t="shared" si="0"/>
        <v>0.1</v>
      </c>
      <c r="D22" s="889">
        <v>1602</v>
      </c>
      <c r="E22" s="890">
        <f t="shared" si="1"/>
        <v>0</v>
      </c>
      <c r="F22" s="890">
        <f t="shared" si="2"/>
        <v>32.799999999999997</v>
      </c>
    </row>
    <row r="23" spans="1:6" x14ac:dyDescent="0.25">
      <c r="A23" s="888" t="s">
        <v>517</v>
      </c>
      <c r="B23" s="889">
        <v>11908</v>
      </c>
      <c r="C23" s="890">
        <f t="shared" si="0"/>
        <v>0.2</v>
      </c>
      <c r="D23" s="889">
        <v>487</v>
      </c>
      <c r="E23" s="890">
        <f t="shared" si="1"/>
        <v>0</v>
      </c>
      <c r="F23" s="890">
        <f t="shared" si="2"/>
        <v>4.0999999999999996</v>
      </c>
    </row>
    <row r="24" spans="1:6" x14ac:dyDescent="0.25">
      <c r="A24" s="888" t="s">
        <v>489</v>
      </c>
      <c r="B24" s="889">
        <v>807435</v>
      </c>
      <c r="C24" s="890">
        <f t="shared" si="0"/>
        <v>10.3</v>
      </c>
      <c r="D24" s="889">
        <v>94875</v>
      </c>
      <c r="E24" s="890">
        <f t="shared" si="1"/>
        <v>1.2</v>
      </c>
      <c r="F24" s="890">
        <f t="shared" si="2"/>
        <v>11.8</v>
      </c>
    </row>
    <row r="25" spans="1:6" x14ac:dyDescent="0.25">
      <c r="A25" s="888" t="s">
        <v>496</v>
      </c>
      <c r="B25" s="889">
        <v>1122647</v>
      </c>
      <c r="C25" s="890">
        <f t="shared" si="0"/>
        <v>14.3</v>
      </c>
      <c r="D25" s="889">
        <v>54562</v>
      </c>
      <c r="E25" s="890">
        <f t="shared" si="1"/>
        <v>0.7</v>
      </c>
      <c r="F25" s="890">
        <f t="shared" si="2"/>
        <v>4.9000000000000004</v>
      </c>
    </row>
    <row r="26" spans="1:6" x14ac:dyDescent="0.25">
      <c r="A26" s="888" t="s">
        <v>773</v>
      </c>
      <c r="B26" s="889">
        <v>108268</v>
      </c>
      <c r="C26" s="890">
        <f t="shared" si="0"/>
        <v>1.4</v>
      </c>
      <c r="D26" s="889">
        <v>18553</v>
      </c>
      <c r="E26" s="890">
        <f t="shared" si="1"/>
        <v>0.2</v>
      </c>
      <c r="F26" s="890">
        <f t="shared" si="2"/>
        <v>17.100000000000001</v>
      </c>
    </row>
    <row r="27" spans="1:6" x14ac:dyDescent="0.25">
      <c r="A27" s="888" t="s">
        <v>774</v>
      </c>
      <c r="B27" s="889">
        <v>59894</v>
      </c>
      <c r="C27" s="890">
        <f t="shared" si="0"/>
        <v>0.8</v>
      </c>
      <c r="D27" s="889">
        <v>14942</v>
      </c>
      <c r="E27" s="890">
        <f t="shared" si="1"/>
        <v>0.2</v>
      </c>
      <c r="F27" s="890">
        <f t="shared" si="2"/>
        <v>24.9</v>
      </c>
    </row>
    <row r="28" spans="1:6" x14ac:dyDescent="0.25">
      <c r="A28" s="888" t="s">
        <v>775</v>
      </c>
      <c r="B28" s="889">
        <v>2093</v>
      </c>
      <c r="C28" s="890">
        <f t="shared" si="0"/>
        <v>0</v>
      </c>
      <c r="D28" s="889">
        <v>294</v>
      </c>
      <c r="E28" s="890">
        <f t="shared" si="1"/>
        <v>0</v>
      </c>
      <c r="F28" s="890">
        <f t="shared" si="2"/>
        <v>14</v>
      </c>
    </row>
    <row r="29" spans="1:6" x14ac:dyDescent="0.25">
      <c r="A29" s="888" t="s">
        <v>504</v>
      </c>
      <c r="B29" s="889">
        <v>7732</v>
      </c>
      <c r="C29" s="890">
        <f t="shared" si="0"/>
        <v>0.1</v>
      </c>
      <c r="D29" s="889">
        <v>1734</v>
      </c>
      <c r="E29" s="890">
        <f t="shared" si="1"/>
        <v>0</v>
      </c>
      <c r="F29" s="890">
        <f t="shared" si="2"/>
        <v>22.4</v>
      </c>
    </row>
    <row r="30" spans="1:6" x14ac:dyDescent="0.25">
      <c r="A30" s="888" t="s">
        <v>519</v>
      </c>
      <c r="B30" s="889">
        <v>3405</v>
      </c>
      <c r="C30" s="891">
        <f>ROUND(B30/$B$49*100,1)+0.1</f>
        <v>0.1</v>
      </c>
      <c r="D30" s="889">
        <v>109</v>
      </c>
      <c r="E30" s="890">
        <f t="shared" si="1"/>
        <v>0</v>
      </c>
      <c r="F30" s="890">
        <f t="shared" si="2"/>
        <v>3.2</v>
      </c>
    </row>
    <row r="31" spans="1:6" x14ac:dyDescent="0.25">
      <c r="A31" s="888" t="s">
        <v>490</v>
      </c>
      <c r="B31" s="889">
        <v>57295</v>
      </c>
      <c r="C31" s="890">
        <f t="shared" si="0"/>
        <v>0.7</v>
      </c>
      <c r="D31" s="889">
        <v>4722</v>
      </c>
      <c r="E31" s="890">
        <f t="shared" si="1"/>
        <v>0.1</v>
      </c>
      <c r="F31" s="890">
        <f t="shared" si="2"/>
        <v>8.1999999999999993</v>
      </c>
    </row>
    <row r="32" spans="1:6" x14ac:dyDescent="0.25">
      <c r="A32" s="888" t="s">
        <v>491</v>
      </c>
      <c r="B32" s="889">
        <v>438470</v>
      </c>
      <c r="C32" s="890">
        <f t="shared" si="0"/>
        <v>5.6</v>
      </c>
      <c r="D32" s="889">
        <v>8909</v>
      </c>
      <c r="E32" s="891">
        <f>ROUND(D32/$B$49*100,1)+0.1</f>
        <v>0.2</v>
      </c>
      <c r="F32" s="890">
        <f t="shared" si="2"/>
        <v>2</v>
      </c>
    </row>
    <row r="33" spans="1:6" x14ac:dyDescent="0.25">
      <c r="A33" s="888" t="s">
        <v>776</v>
      </c>
      <c r="B33" s="889">
        <v>1</v>
      </c>
      <c r="C33" s="890">
        <f t="shared" si="0"/>
        <v>0</v>
      </c>
      <c r="D33" s="889">
        <v>0</v>
      </c>
      <c r="E33" s="890">
        <f t="shared" si="1"/>
        <v>0</v>
      </c>
      <c r="F33" s="890">
        <f t="shared" si="2"/>
        <v>0</v>
      </c>
    </row>
    <row r="34" spans="1:6" x14ac:dyDescent="0.25">
      <c r="A34" s="888" t="s">
        <v>777</v>
      </c>
      <c r="B34" s="889">
        <v>53</v>
      </c>
      <c r="C34" s="890">
        <f t="shared" si="0"/>
        <v>0</v>
      </c>
      <c r="D34" s="889">
        <v>3</v>
      </c>
      <c r="E34" s="890">
        <f t="shared" si="1"/>
        <v>0</v>
      </c>
      <c r="F34" s="890">
        <f t="shared" si="2"/>
        <v>5.7</v>
      </c>
    </row>
    <row r="35" spans="1:6" x14ac:dyDescent="0.25">
      <c r="A35" s="888" t="s">
        <v>778</v>
      </c>
      <c r="B35" s="889">
        <v>26862</v>
      </c>
      <c r="C35" s="890">
        <f t="shared" si="0"/>
        <v>0.3</v>
      </c>
      <c r="D35" s="889">
        <v>888</v>
      </c>
      <c r="E35" s="890">
        <f t="shared" si="1"/>
        <v>0</v>
      </c>
      <c r="F35" s="890">
        <f t="shared" si="2"/>
        <v>3.3</v>
      </c>
    </row>
    <row r="36" spans="1:6" x14ac:dyDescent="0.25">
      <c r="A36" s="888" t="s">
        <v>779</v>
      </c>
      <c r="B36" s="889">
        <v>123908</v>
      </c>
      <c r="C36" s="890">
        <f t="shared" si="0"/>
        <v>1.6</v>
      </c>
      <c r="D36" s="889">
        <v>9599</v>
      </c>
      <c r="E36" s="890">
        <f t="shared" si="1"/>
        <v>0.1</v>
      </c>
      <c r="F36" s="890">
        <f t="shared" si="2"/>
        <v>7.7</v>
      </c>
    </row>
    <row r="37" spans="1:6" x14ac:dyDescent="0.25">
      <c r="A37" s="888" t="s">
        <v>780</v>
      </c>
      <c r="B37" s="889">
        <v>3882</v>
      </c>
      <c r="C37" s="891">
        <f>ROUND(B37/$B$49*100,1)+0.1</f>
        <v>0.1</v>
      </c>
      <c r="D37" s="889">
        <v>1014</v>
      </c>
      <c r="E37" s="890">
        <f t="shared" si="1"/>
        <v>0</v>
      </c>
      <c r="F37" s="890">
        <f t="shared" si="2"/>
        <v>26.1</v>
      </c>
    </row>
    <row r="38" spans="1:6" x14ac:dyDescent="0.25">
      <c r="A38" s="888" t="s">
        <v>525</v>
      </c>
      <c r="B38" s="889">
        <v>252</v>
      </c>
      <c r="C38" s="890">
        <f t="shared" si="0"/>
        <v>0</v>
      </c>
      <c r="D38" s="889">
        <v>0</v>
      </c>
      <c r="E38" s="890">
        <f t="shared" si="1"/>
        <v>0</v>
      </c>
      <c r="F38" s="890">
        <f t="shared" si="2"/>
        <v>0</v>
      </c>
    </row>
    <row r="39" spans="1:6" x14ac:dyDescent="0.25">
      <c r="A39" s="888" t="s">
        <v>520</v>
      </c>
      <c r="B39" s="889">
        <v>1596</v>
      </c>
      <c r="C39" s="890">
        <f t="shared" si="0"/>
        <v>0</v>
      </c>
      <c r="D39" s="889">
        <v>82</v>
      </c>
      <c r="E39" s="890">
        <f t="shared" si="1"/>
        <v>0</v>
      </c>
      <c r="F39" s="890">
        <f t="shared" si="2"/>
        <v>5.0999999999999996</v>
      </c>
    </row>
    <row r="40" spans="1:6" x14ac:dyDescent="0.25">
      <c r="A40" s="888" t="s">
        <v>492</v>
      </c>
      <c r="B40" s="892">
        <f>1231230-1</f>
        <v>1231229</v>
      </c>
      <c r="C40" s="890">
        <f t="shared" si="0"/>
        <v>15.7</v>
      </c>
      <c r="D40" s="889">
        <f>11565</f>
        <v>11565</v>
      </c>
      <c r="E40" s="891">
        <f>ROUND(D40/$B$49*100,1)+0.1</f>
        <v>0.2</v>
      </c>
      <c r="F40" s="890">
        <f t="shared" si="2"/>
        <v>0.9</v>
      </c>
    </row>
    <row r="41" spans="1:6" x14ac:dyDescent="0.25">
      <c r="A41" s="888" t="s">
        <v>501</v>
      </c>
      <c r="B41" s="889">
        <v>230406</v>
      </c>
      <c r="C41" s="890">
        <f t="shared" si="0"/>
        <v>2.9</v>
      </c>
      <c r="D41" s="892">
        <f>33827+1</f>
        <v>33828</v>
      </c>
      <c r="E41" s="890">
        <f t="shared" si="1"/>
        <v>0.4</v>
      </c>
      <c r="F41" s="890">
        <f t="shared" si="2"/>
        <v>14.7</v>
      </c>
    </row>
    <row r="42" spans="1:6" x14ac:dyDescent="0.25">
      <c r="A42" s="888" t="s">
        <v>522</v>
      </c>
      <c r="B42" s="889">
        <v>7065</v>
      </c>
      <c r="C42" s="890">
        <f t="shared" si="0"/>
        <v>0.1</v>
      </c>
      <c r="D42" s="889">
        <v>60</v>
      </c>
      <c r="E42" s="890">
        <f t="shared" si="1"/>
        <v>0</v>
      </c>
      <c r="F42" s="890">
        <f t="shared" si="2"/>
        <v>0.8</v>
      </c>
    </row>
    <row r="43" spans="1:6" x14ac:dyDescent="0.25">
      <c r="A43" s="888" t="s">
        <v>781</v>
      </c>
      <c r="B43" s="889">
        <v>893</v>
      </c>
      <c r="C43" s="890">
        <f t="shared" si="0"/>
        <v>0</v>
      </c>
      <c r="D43" s="889">
        <v>17</v>
      </c>
      <c r="E43" s="890">
        <f t="shared" si="1"/>
        <v>0</v>
      </c>
      <c r="F43" s="890">
        <f t="shared" si="2"/>
        <v>1.9</v>
      </c>
    </row>
    <row r="44" spans="1:6" x14ac:dyDescent="0.25">
      <c r="A44" s="888" t="s">
        <v>782</v>
      </c>
      <c r="B44" s="889">
        <v>6863</v>
      </c>
      <c r="C44" s="890">
        <f t="shared" si="0"/>
        <v>0.1</v>
      </c>
      <c r="D44" s="889">
        <v>759</v>
      </c>
      <c r="E44" s="890">
        <f t="shared" si="1"/>
        <v>0</v>
      </c>
      <c r="F44" s="890">
        <f t="shared" si="2"/>
        <v>11.1</v>
      </c>
    </row>
    <row r="45" spans="1:6" x14ac:dyDescent="0.25">
      <c r="A45" s="888" t="s">
        <v>516</v>
      </c>
      <c r="B45" s="889">
        <v>3323</v>
      </c>
      <c r="C45" s="891">
        <f>ROUND(B45/$B$49*100,1)+0.1</f>
        <v>0.1</v>
      </c>
      <c r="D45" s="889">
        <v>148</v>
      </c>
      <c r="E45" s="890">
        <f t="shared" si="1"/>
        <v>0</v>
      </c>
      <c r="F45" s="890">
        <f t="shared" si="2"/>
        <v>4.5</v>
      </c>
    </row>
    <row r="46" spans="1:6" x14ac:dyDescent="0.25">
      <c r="A46" s="888" t="s">
        <v>493</v>
      </c>
      <c r="B46" s="892">
        <f>1245283-1</f>
        <v>1245282</v>
      </c>
      <c r="C46" s="890">
        <f t="shared" si="0"/>
        <v>15.9</v>
      </c>
      <c r="D46" s="892">
        <f>43278+1</f>
        <v>43279</v>
      </c>
      <c r="E46" s="890">
        <f t="shared" si="1"/>
        <v>0.6</v>
      </c>
      <c r="F46" s="890">
        <f t="shared" si="2"/>
        <v>3.5</v>
      </c>
    </row>
    <row r="47" spans="1:6" x14ac:dyDescent="0.25">
      <c r="A47" s="888" t="s">
        <v>783</v>
      </c>
      <c r="B47" s="892">
        <f>1598726-1</f>
        <v>1598725</v>
      </c>
      <c r="C47" s="890">
        <f t="shared" si="0"/>
        <v>20.399999999999999</v>
      </c>
      <c r="D47" s="889">
        <v>8229</v>
      </c>
      <c r="E47" s="890">
        <f t="shared" si="1"/>
        <v>0.1</v>
      </c>
      <c r="F47" s="890">
        <f t="shared" si="2"/>
        <v>0.5</v>
      </c>
    </row>
    <row r="48" spans="1:6" x14ac:dyDescent="0.25">
      <c r="A48" s="888" t="s">
        <v>784</v>
      </c>
      <c r="B48" s="889">
        <v>654259</v>
      </c>
      <c r="C48" s="890">
        <f t="shared" si="0"/>
        <v>8.4</v>
      </c>
      <c r="D48" s="889">
        <v>2819</v>
      </c>
      <c r="E48" s="890">
        <f t="shared" si="1"/>
        <v>0</v>
      </c>
      <c r="F48" s="890">
        <f t="shared" si="2"/>
        <v>0.4</v>
      </c>
    </row>
    <row r="49" spans="1:6" ht="16.5" x14ac:dyDescent="0.3">
      <c r="A49" s="893" t="s">
        <v>29</v>
      </c>
      <c r="B49" s="894">
        <f>SUM(B7:B48)</f>
        <v>7832776</v>
      </c>
      <c r="C49" s="895">
        <f>SUM(C7:C48)</f>
        <v>100.00000000000003</v>
      </c>
      <c r="D49" s="894">
        <f>SUM(D7:D48)</f>
        <v>323834</v>
      </c>
      <c r="E49" s="895">
        <f>SUM(E7:E48)</f>
        <v>4.1000000000000005</v>
      </c>
      <c r="F49" s="893">
        <f>ROUND(D49/B49*100,1)</f>
        <v>4.0999999999999996</v>
      </c>
    </row>
    <row r="50" spans="1:6" x14ac:dyDescent="0.25">
      <c r="A50" s="1438" t="s">
        <v>751</v>
      </c>
      <c r="B50" s="1438"/>
      <c r="C50" s="1438"/>
      <c r="D50" s="1438"/>
      <c r="E50" s="1438"/>
      <c r="F50" s="1438"/>
    </row>
    <row r="51" spans="1:6" x14ac:dyDescent="0.25">
      <c r="A51" s="1439" t="s">
        <v>752</v>
      </c>
      <c r="B51" s="1439"/>
      <c r="C51" s="1439"/>
      <c r="D51" s="1439"/>
      <c r="E51" s="1439"/>
      <c r="F51" s="1439"/>
    </row>
  </sheetData>
  <sheetProtection password="9C8D" sheet="1" objects="1" scenarios="1"/>
  <mergeCells count="7">
    <mergeCell ref="A50:F50"/>
    <mergeCell ref="A51:F51"/>
    <mergeCell ref="A1:F1"/>
    <mergeCell ref="A2:F2"/>
    <mergeCell ref="A3:F3"/>
    <mergeCell ref="A4:F4"/>
    <mergeCell ref="A5:F5"/>
  </mergeCells>
  <pageMargins left="0.511811024" right="0.511811024" top="0.78740157499999996" bottom="0.78740157499999996" header="0.31496062000000002" footer="0.31496062000000002"/>
  <pageSetup paperSize="9" orientation="portrait" verticalDpi="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indowProtection="1" showGridLines="0" workbookViewId="0">
      <selection sqref="A1:F1"/>
    </sheetView>
  </sheetViews>
  <sheetFormatPr defaultRowHeight="16.5" x14ac:dyDescent="0.3"/>
  <cols>
    <col min="1" max="1" width="22.5703125" style="857" bestFit="1" customWidth="1"/>
    <col min="2" max="2" width="13.42578125" style="857" bestFit="1" customWidth="1"/>
    <col min="3" max="3" width="18.140625" style="857" customWidth="1"/>
    <col min="4" max="4" width="21" style="857" customWidth="1"/>
    <col min="5" max="5" width="24.85546875" style="857" customWidth="1"/>
    <col min="6" max="6" width="19.7109375" style="857" customWidth="1"/>
    <col min="7" max="16384" width="9.140625" style="857"/>
  </cols>
  <sheetData>
    <row r="1" spans="1:6" x14ac:dyDescent="0.3">
      <c r="A1" s="1433" t="s">
        <v>794</v>
      </c>
      <c r="B1" s="1433"/>
      <c r="C1" s="1433"/>
      <c r="D1" s="1433"/>
      <c r="E1" s="1433"/>
      <c r="F1" s="1433"/>
    </row>
    <row r="2" spans="1:6" ht="18" x14ac:dyDescent="0.35">
      <c r="A2" s="1450" t="s">
        <v>786</v>
      </c>
      <c r="B2" s="1450"/>
      <c r="C2" s="1450"/>
      <c r="D2" s="1450"/>
      <c r="E2" s="1450"/>
      <c r="F2" s="1450"/>
    </row>
    <row r="3" spans="1:6" ht="18" x14ac:dyDescent="0.35">
      <c r="A3" s="1451" t="str">
        <f>+'[12]FNE - UF Empreendimento'!A3:F3</f>
        <v>Posição: 31.12.2015</v>
      </c>
      <c r="B3" s="1450"/>
      <c r="C3" s="1450"/>
      <c r="D3" s="1450"/>
      <c r="E3" s="1450"/>
      <c r="F3" s="1450"/>
    </row>
    <row r="4" spans="1:6" x14ac:dyDescent="0.3">
      <c r="A4" s="1452"/>
      <c r="B4" s="1452"/>
      <c r="C4" s="1452"/>
      <c r="D4" s="1452"/>
      <c r="E4" s="1452"/>
      <c r="F4" s="1452"/>
    </row>
    <row r="5" spans="1:6" x14ac:dyDescent="0.3">
      <c r="A5" s="1453" t="s">
        <v>1</v>
      </c>
      <c r="B5" s="1453"/>
      <c r="C5" s="1453"/>
      <c r="D5" s="1453"/>
      <c r="E5" s="1453"/>
      <c r="F5" s="1453"/>
    </row>
    <row r="6" spans="1:6" ht="34.5" x14ac:dyDescent="0.3">
      <c r="A6" s="859" t="s">
        <v>787</v>
      </c>
      <c r="B6" s="859" t="s">
        <v>746</v>
      </c>
      <c r="C6" s="859" t="s">
        <v>747</v>
      </c>
      <c r="D6" s="859" t="s">
        <v>748</v>
      </c>
      <c r="E6" s="859" t="s">
        <v>749</v>
      </c>
      <c r="F6" s="859" t="s">
        <v>788</v>
      </c>
    </row>
    <row r="7" spans="1:6" ht="17.25" thickBot="1" x14ac:dyDescent="0.35">
      <c r="A7" s="896" t="s">
        <v>789</v>
      </c>
      <c r="B7" s="897">
        <f>927837-523+9603</f>
        <v>936917</v>
      </c>
      <c r="C7" s="898">
        <f>ROUND(B7/$B$10*100,1)</f>
        <v>2</v>
      </c>
      <c r="D7" s="897">
        <f>12788-523</f>
        <v>12265</v>
      </c>
      <c r="E7" s="898">
        <f>ROUND(D7/$B$10*100,1)</f>
        <v>0</v>
      </c>
      <c r="F7" s="899">
        <f>ROUND(($D7/($B7))*100,1)</f>
        <v>1.3</v>
      </c>
    </row>
    <row r="8" spans="1:6" ht="17.25" thickBot="1" x14ac:dyDescent="0.35">
      <c r="A8" s="896" t="s">
        <v>790</v>
      </c>
      <c r="B8" s="900">
        <v>7926612</v>
      </c>
      <c r="C8" s="898">
        <f>ROUND(B8/$B$10*100,1)</f>
        <v>16.600000000000001</v>
      </c>
      <c r="D8" s="901">
        <v>401713</v>
      </c>
      <c r="E8" s="898">
        <f>ROUND(D8/$B$10*100,1)</f>
        <v>0.8</v>
      </c>
      <c r="F8" s="899">
        <f>ROUND(($D8/($B8))*100,1)</f>
        <v>5.0999999999999996</v>
      </c>
    </row>
    <row r="9" spans="1:6" ht="17.25" thickBot="1" x14ac:dyDescent="0.35">
      <c r="A9" s="896" t="s">
        <v>791</v>
      </c>
      <c r="B9" s="897">
        <f>39007550-9603</f>
        <v>38997947</v>
      </c>
      <c r="C9" s="898">
        <f>ROUND(B9/$B$10*100,1)</f>
        <v>81.5</v>
      </c>
      <c r="D9" s="901">
        <v>1199629</v>
      </c>
      <c r="E9" s="902">
        <f>ROUND(D9/$B$10*100,1)+0.1</f>
        <v>2.6</v>
      </c>
      <c r="F9" s="899">
        <f>ROUND(($D9/($B9))*100,1)</f>
        <v>3.1</v>
      </c>
    </row>
    <row r="10" spans="1:6" x14ac:dyDescent="0.3">
      <c r="A10" s="903" t="s">
        <v>29</v>
      </c>
      <c r="B10" s="904">
        <f>SUM(B7:B9)</f>
        <v>47861476</v>
      </c>
      <c r="C10" s="905">
        <f>ROUND(B10/$B$10*100,1)</f>
        <v>100</v>
      </c>
      <c r="D10" s="904">
        <f>SUM(D7:D9)</f>
        <v>1613607</v>
      </c>
      <c r="E10" s="905">
        <f>SUM(E7:E9)</f>
        <v>3.4000000000000004</v>
      </c>
      <c r="F10" s="905">
        <f>ROUND(($D10/($B10))*100,1)</f>
        <v>3.4</v>
      </c>
    </row>
    <row r="11" spans="1:6" ht="17.25" x14ac:dyDescent="0.35">
      <c r="A11" s="1449" t="s">
        <v>792</v>
      </c>
      <c r="B11" s="1449"/>
      <c r="C11" s="1449"/>
      <c r="D11" s="1449"/>
      <c r="E11" s="1449"/>
      <c r="F11" s="1449"/>
    </row>
    <row r="12" spans="1:6" ht="47.25" customHeight="1" x14ac:dyDescent="0.3">
      <c r="A12" s="1439" t="s">
        <v>793</v>
      </c>
      <c r="B12" s="1439"/>
      <c r="C12" s="1439"/>
      <c r="D12" s="1439"/>
      <c r="E12" s="1439"/>
      <c r="F12" s="1439"/>
    </row>
    <row r="14" spans="1:6" x14ac:dyDescent="0.3">
      <c r="B14" s="881">
        <f>+B10-'[12]FNE - UF Empreendimento'!B18</f>
        <v>0</v>
      </c>
      <c r="C14" s="881">
        <f>+C10-'[12]FNE - UF Empreendimento'!C18</f>
        <v>0</v>
      </c>
      <c r="D14" s="881">
        <f>+D10-'[12]FNE - UF Empreendimento'!D18</f>
        <v>0</v>
      </c>
      <c r="E14" s="881">
        <f>+E10-'[12]FNE - UF Empreendimento'!E18</f>
        <v>0</v>
      </c>
      <c r="F14" s="881">
        <f>+F10-'[12]FNE - UF Empreendimento'!F18</f>
        <v>0</v>
      </c>
    </row>
  </sheetData>
  <sheetProtection password="9C8D" sheet="1" objects="1" scenarios="1"/>
  <mergeCells count="7">
    <mergeCell ref="A11:F11"/>
    <mergeCell ref="A12:F12"/>
    <mergeCell ref="A1:F1"/>
    <mergeCell ref="A2:F2"/>
    <mergeCell ref="A3:F3"/>
    <mergeCell ref="A4:F4"/>
    <mergeCell ref="A5:F5"/>
  </mergeCells>
  <pageMargins left="0.511811024" right="0.511811024" top="0.78740157499999996" bottom="0.78740157499999996" header="0.31496062000000002" footer="0.31496062000000002"/>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indowProtection="1" showGridLines="0" workbookViewId="0">
      <selection sqref="A1:F1"/>
    </sheetView>
  </sheetViews>
  <sheetFormatPr defaultRowHeight="16.5" x14ac:dyDescent="0.3"/>
  <cols>
    <col min="1" max="1" width="18.5703125" style="857" customWidth="1"/>
    <col min="2" max="2" width="18" style="857" customWidth="1"/>
    <col min="3" max="3" width="20.7109375" style="857" customWidth="1"/>
    <col min="4" max="4" width="22.28515625" style="857" customWidth="1"/>
    <col min="5" max="5" width="21.5703125" style="857" customWidth="1"/>
    <col min="6" max="6" width="21.85546875" style="857" customWidth="1"/>
    <col min="7" max="16384" width="9.140625" style="857"/>
  </cols>
  <sheetData>
    <row r="1" spans="1:6" x14ac:dyDescent="0.3">
      <c r="A1" s="1433" t="s">
        <v>812</v>
      </c>
      <c r="B1" s="1433"/>
      <c r="C1" s="1433"/>
      <c r="D1" s="1433"/>
      <c r="E1" s="1433"/>
      <c r="F1" s="1433"/>
    </row>
    <row r="2" spans="1:6" ht="18" x14ac:dyDescent="0.35">
      <c r="A2" s="1450" t="s">
        <v>795</v>
      </c>
      <c r="B2" s="1450"/>
      <c r="C2" s="1450"/>
      <c r="D2" s="1450"/>
      <c r="E2" s="1450"/>
      <c r="F2" s="1450"/>
    </row>
    <row r="3" spans="1:6" x14ac:dyDescent="0.3">
      <c r="A3" s="1441" t="str">
        <f>+'[12]FNE - UF Empreendimento'!A3:F3</f>
        <v>Posição: 31.12.2015</v>
      </c>
      <c r="B3" s="1442"/>
      <c r="C3" s="1442"/>
      <c r="D3" s="1442"/>
      <c r="E3" s="1442"/>
      <c r="F3" s="1442"/>
    </row>
    <row r="4" spans="1:6" x14ac:dyDescent="0.3">
      <c r="A4" s="1443"/>
      <c r="B4" s="1443"/>
      <c r="C4" s="1443"/>
      <c r="D4" s="1443"/>
      <c r="E4" s="1443"/>
      <c r="F4" s="1443"/>
    </row>
    <row r="5" spans="1:6" ht="17.25" x14ac:dyDescent="0.35">
      <c r="A5" s="1444" t="s">
        <v>1</v>
      </c>
      <c r="B5" s="1444"/>
      <c r="C5" s="1444"/>
      <c r="D5" s="1444"/>
      <c r="E5" s="1444"/>
      <c r="F5" s="1444"/>
    </row>
    <row r="6" spans="1:6" ht="35.25" customHeight="1" x14ac:dyDescent="0.3">
      <c r="A6" s="859" t="s">
        <v>796</v>
      </c>
      <c r="B6" s="859" t="s">
        <v>746</v>
      </c>
      <c r="C6" s="859" t="s">
        <v>797</v>
      </c>
      <c r="D6" s="859" t="s">
        <v>798</v>
      </c>
      <c r="E6" s="859" t="s">
        <v>799</v>
      </c>
      <c r="F6" s="859" t="s">
        <v>800</v>
      </c>
    </row>
    <row r="7" spans="1:6" x14ac:dyDescent="0.3">
      <c r="A7" s="906" t="s">
        <v>801</v>
      </c>
      <c r="B7" s="907">
        <f>9670310-522</f>
        <v>9669788</v>
      </c>
      <c r="C7" s="908">
        <f>ROUND(B7/$B$16*100,1)</f>
        <v>20.2</v>
      </c>
      <c r="D7" s="907">
        <f>11129-522</f>
        <v>10607</v>
      </c>
      <c r="E7" s="909">
        <f>ROUND(D7/$B$16*100,1)</f>
        <v>0</v>
      </c>
      <c r="F7" s="906">
        <f>ROUND(D7/B7*100,1)</f>
        <v>0.1</v>
      </c>
    </row>
    <row r="8" spans="1:6" x14ac:dyDescent="0.3">
      <c r="A8" s="906" t="s">
        <v>802</v>
      </c>
      <c r="B8" s="910">
        <v>18064873</v>
      </c>
      <c r="C8" s="908">
        <f>ROUND(B8/$B$16*100,1)</f>
        <v>37.700000000000003</v>
      </c>
      <c r="D8" s="910">
        <v>31025</v>
      </c>
      <c r="E8" s="909">
        <f t="shared" ref="E8:E14" si="0">ROUND(D8/$B$16*100,1)</f>
        <v>0.1</v>
      </c>
      <c r="F8" s="906">
        <f t="shared" ref="F8:F16" si="1">ROUND(D8/B8*100,1)</f>
        <v>0.2</v>
      </c>
    </row>
    <row r="9" spans="1:6" x14ac:dyDescent="0.3">
      <c r="A9" s="906" t="s">
        <v>803</v>
      </c>
      <c r="B9" s="910">
        <v>9653936</v>
      </c>
      <c r="C9" s="908">
        <f t="shared" ref="C9:C15" si="2">ROUND(B9/$B$16*100,1)</f>
        <v>20.2</v>
      </c>
      <c r="D9" s="910">
        <v>33314</v>
      </c>
      <c r="E9" s="909">
        <f t="shared" si="0"/>
        <v>0.1</v>
      </c>
      <c r="F9" s="906">
        <f t="shared" si="1"/>
        <v>0.3</v>
      </c>
    </row>
    <row r="10" spans="1:6" x14ac:dyDescent="0.3">
      <c r="A10" s="906" t="s">
        <v>804</v>
      </c>
      <c r="B10" s="910">
        <v>2298527</v>
      </c>
      <c r="C10" s="908">
        <f t="shared" si="2"/>
        <v>4.8</v>
      </c>
      <c r="D10" s="910">
        <v>53471</v>
      </c>
      <c r="E10" s="909">
        <f t="shared" si="0"/>
        <v>0.1</v>
      </c>
      <c r="F10" s="906">
        <f t="shared" si="1"/>
        <v>2.2999999999999998</v>
      </c>
    </row>
    <row r="11" spans="1:6" x14ac:dyDescent="0.3">
      <c r="A11" s="906" t="s">
        <v>805</v>
      </c>
      <c r="B11" s="910">
        <v>649487</v>
      </c>
      <c r="C11" s="908">
        <f t="shared" si="2"/>
        <v>1.4</v>
      </c>
      <c r="D11" s="910">
        <v>56047</v>
      </c>
      <c r="E11" s="909">
        <f t="shared" si="0"/>
        <v>0.1</v>
      </c>
      <c r="F11" s="906">
        <f t="shared" si="1"/>
        <v>8.6</v>
      </c>
    </row>
    <row r="12" spans="1:6" x14ac:dyDescent="0.3">
      <c r="A12" s="906" t="s">
        <v>806</v>
      </c>
      <c r="B12" s="910">
        <v>738226</v>
      </c>
      <c r="C12" s="908">
        <f t="shared" si="2"/>
        <v>1.5</v>
      </c>
      <c r="D12" s="910">
        <v>70873</v>
      </c>
      <c r="E12" s="909">
        <f t="shared" si="0"/>
        <v>0.1</v>
      </c>
      <c r="F12" s="906">
        <f t="shared" si="1"/>
        <v>9.6</v>
      </c>
    </row>
    <row r="13" spans="1:6" x14ac:dyDescent="0.3">
      <c r="A13" s="906" t="s">
        <v>807</v>
      </c>
      <c r="B13" s="910">
        <v>460853</v>
      </c>
      <c r="C13" s="908">
        <f t="shared" si="2"/>
        <v>1</v>
      </c>
      <c r="D13" s="910">
        <v>48435</v>
      </c>
      <c r="E13" s="909">
        <f t="shared" si="0"/>
        <v>0.1</v>
      </c>
      <c r="F13" s="906">
        <f t="shared" si="1"/>
        <v>10.5</v>
      </c>
    </row>
    <row r="14" spans="1:6" x14ac:dyDescent="0.3">
      <c r="A14" s="906" t="s">
        <v>808</v>
      </c>
      <c r="B14" s="910">
        <v>827939</v>
      </c>
      <c r="C14" s="908">
        <f t="shared" si="2"/>
        <v>1.7</v>
      </c>
      <c r="D14" s="910">
        <v>50975</v>
      </c>
      <c r="E14" s="909">
        <f t="shared" si="0"/>
        <v>0.1</v>
      </c>
      <c r="F14" s="906">
        <f t="shared" si="1"/>
        <v>6.2</v>
      </c>
    </row>
    <row r="15" spans="1:6" x14ac:dyDescent="0.3">
      <c r="A15" s="906" t="s">
        <v>809</v>
      </c>
      <c r="B15" s="910">
        <v>5497847</v>
      </c>
      <c r="C15" s="908">
        <f t="shared" si="2"/>
        <v>11.5</v>
      </c>
      <c r="D15" s="910">
        <v>1258860</v>
      </c>
      <c r="E15" s="911">
        <f>ROUND(D15/$B$16*100,1)+0.1</f>
        <v>2.7</v>
      </c>
      <c r="F15" s="906">
        <f t="shared" si="1"/>
        <v>22.9</v>
      </c>
    </row>
    <row r="16" spans="1:6" ht="18" x14ac:dyDescent="0.35">
      <c r="A16" s="912" t="s">
        <v>29</v>
      </c>
      <c r="B16" s="913">
        <f>SUM(B7:B15)</f>
        <v>47861476</v>
      </c>
      <c r="C16" s="914">
        <f>SUM(C7:C15)</f>
        <v>100.00000000000001</v>
      </c>
      <c r="D16" s="913">
        <f>SUM(D7:D15)</f>
        <v>1613607</v>
      </c>
      <c r="E16" s="915">
        <f>SUM(E7:E15)</f>
        <v>3.4000000000000004</v>
      </c>
      <c r="F16" s="915">
        <f t="shared" si="1"/>
        <v>3.4</v>
      </c>
    </row>
    <row r="17" spans="1:6" ht="15" customHeight="1" x14ac:dyDescent="0.35">
      <c r="A17" s="916" t="s">
        <v>810</v>
      </c>
    </row>
    <row r="18" spans="1:6" ht="50.25" customHeight="1" x14ac:dyDescent="0.3">
      <c r="A18" s="1439" t="s">
        <v>811</v>
      </c>
      <c r="B18" s="1439"/>
      <c r="C18" s="1439"/>
      <c r="D18" s="1439"/>
      <c r="E18" s="1439"/>
      <c r="F18" s="1439"/>
    </row>
    <row r="20" spans="1:6" x14ac:dyDescent="0.3">
      <c r="B20" s="917">
        <f>+B16-'[12]FNE - UF Empreendimento'!B18</f>
        <v>0</v>
      </c>
      <c r="C20" s="917">
        <f>+C16-'[12]FNE - UF Empreendimento'!C18</f>
        <v>0</v>
      </c>
      <c r="D20" s="917">
        <f>+D16-'[12]FNE - UF Empreendimento'!D18</f>
        <v>0</v>
      </c>
      <c r="E20" s="917">
        <f>+E16-'[12]FNE - UF Empreendimento'!E18</f>
        <v>0</v>
      </c>
      <c r="F20" s="917">
        <f>+F16-'[12]FNE - UF Empreendimento'!F18</f>
        <v>0</v>
      </c>
    </row>
  </sheetData>
  <sheetProtection password="9C8D" sheet="1" objects="1" scenarios="1"/>
  <mergeCells count="6">
    <mergeCell ref="A18:F18"/>
    <mergeCell ref="A1:F1"/>
    <mergeCell ref="A2:F2"/>
    <mergeCell ref="A3:F3"/>
    <mergeCell ref="A4:F4"/>
    <mergeCell ref="A5:F5"/>
  </mergeCells>
  <pageMargins left="0.511811024" right="0.511811024" top="0.78740157499999996" bottom="0.78740157499999996" header="0.31496062000000002" footer="0.3149606200000000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indowProtection="1" showGridLines="0" workbookViewId="0">
      <selection sqref="A1:C1"/>
    </sheetView>
  </sheetViews>
  <sheetFormatPr defaultRowHeight="16.5" x14ac:dyDescent="0.3"/>
  <cols>
    <col min="1" max="1" width="80.5703125" style="857" customWidth="1"/>
    <col min="2" max="2" width="16.85546875" style="857" customWidth="1"/>
    <col min="3" max="3" width="19.140625" style="857" customWidth="1"/>
    <col min="4" max="16384" width="9.140625" style="857"/>
  </cols>
  <sheetData>
    <row r="1" spans="1:6" x14ac:dyDescent="0.3">
      <c r="A1" s="1433" t="s">
        <v>831</v>
      </c>
      <c r="B1" s="1433"/>
      <c r="C1" s="1433"/>
      <c r="D1" s="933"/>
      <c r="E1" s="933"/>
      <c r="F1" s="933"/>
    </row>
    <row r="2" spans="1:6" ht="18" x14ac:dyDescent="0.35">
      <c r="A2" s="1454" t="s">
        <v>813</v>
      </c>
      <c r="B2" s="1454"/>
      <c r="C2" s="1454"/>
    </row>
    <row r="3" spans="1:6" ht="18" x14ac:dyDescent="0.35">
      <c r="A3" s="1454" t="s">
        <v>814</v>
      </c>
      <c r="B3" s="1454"/>
      <c r="C3" s="1454"/>
    </row>
    <row r="4" spans="1:6" x14ac:dyDescent="0.3">
      <c r="A4" s="1443"/>
      <c r="B4" s="1443"/>
      <c r="C4" s="1443"/>
    </row>
    <row r="5" spans="1:6" ht="17.25" x14ac:dyDescent="0.35">
      <c r="A5" s="1455" t="s">
        <v>1</v>
      </c>
      <c r="B5" s="1455"/>
      <c r="C5" s="1455"/>
    </row>
    <row r="6" spans="1:6" ht="24" customHeight="1" x14ac:dyDescent="0.3">
      <c r="A6" s="918" t="s">
        <v>815</v>
      </c>
      <c r="B6" s="919" t="s">
        <v>816</v>
      </c>
      <c r="C6" s="919" t="s">
        <v>817</v>
      </c>
    </row>
    <row r="7" spans="1:6" x14ac:dyDescent="0.3">
      <c r="A7" s="920" t="s">
        <v>818</v>
      </c>
      <c r="B7" s="921">
        <f>SUM(B8:B9)</f>
        <v>661711</v>
      </c>
      <c r="C7" s="921">
        <f>SUM(C8:C9)</f>
        <v>797207</v>
      </c>
    </row>
    <row r="8" spans="1:6" x14ac:dyDescent="0.3">
      <c r="A8" s="922" t="s">
        <v>819</v>
      </c>
      <c r="B8" s="923">
        <v>425993</v>
      </c>
      <c r="C8" s="923">
        <v>534647</v>
      </c>
    </row>
    <row r="9" spans="1:6" x14ac:dyDescent="0.3">
      <c r="A9" s="922" t="s">
        <v>820</v>
      </c>
      <c r="B9" s="923">
        <v>235718</v>
      </c>
      <c r="C9" s="923">
        <v>262560</v>
      </c>
    </row>
    <row r="10" spans="1:6" x14ac:dyDescent="0.3">
      <c r="A10" s="920" t="s">
        <v>821</v>
      </c>
      <c r="B10" s="921">
        <f>+B11+B13</f>
        <v>784839</v>
      </c>
      <c r="C10" s="921">
        <f>+C11+C13</f>
        <v>620639</v>
      </c>
    </row>
    <row r="11" spans="1:6" x14ac:dyDescent="0.3">
      <c r="A11" s="924" t="s">
        <v>822</v>
      </c>
      <c r="B11" s="925">
        <f>SUM(B12)</f>
        <v>0</v>
      </c>
      <c r="C11" s="926">
        <f>SUM(C12)</f>
        <v>5</v>
      </c>
    </row>
    <row r="12" spans="1:6" x14ac:dyDescent="0.3">
      <c r="A12" s="927" t="s">
        <v>823</v>
      </c>
      <c r="B12" s="928">
        <v>0</v>
      </c>
      <c r="C12" s="929">
        <v>5</v>
      </c>
    </row>
    <row r="13" spans="1:6" x14ac:dyDescent="0.3">
      <c r="A13" s="924" t="s">
        <v>824</v>
      </c>
      <c r="B13" s="921">
        <f>+B14+B17</f>
        <v>784839</v>
      </c>
      <c r="C13" s="921">
        <f>+C14+C17</f>
        <v>620634</v>
      </c>
    </row>
    <row r="14" spans="1:6" x14ac:dyDescent="0.3">
      <c r="A14" s="930" t="s">
        <v>823</v>
      </c>
      <c r="B14" s="923">
        <f>SUM(B15:B16)</f>
        <v>293887</v>
      </c>
      <c r="C14" s="923">
        <f>SUM(C15:C16)</f>
        <v>268782</v>
      </c>
    </row>
    <row r="15" spans="1:6" x14ac:dyDescent="0.3">
      <c r="A15" s="930" t="s">
        <v>825</v>
      </c>
      <c r="B15" s="923">
        <v>305630</v>
      </c>
      <c r="C15" s="923">
        <v>280314</v>
      </c>
    </row>
    <row r="16" spans="1:6" x14ac:dyDescent="0.3">
      <c r="A16" s="930" t="s">
        <v>826</v>
      </c>
      <c r="B16" s="923">
        <v>-11743</v>
      </c>
      <c r="C16" s="923">
        <v>-11532</v>
      </c>
    </row>
    <row r="17" spans="1:3" x14ac:dyDescent="0.3">
      <c r="A17" s="930" t="s">
        <v>827</v>
      </c>
      <c r="B17" s="923">
        <f>SUM(B18:B19)</f>
        <v>490952</v>
      </c>
      <c r="C17" s="923">
        <f>SUM(C18:C19)</f>
        <v>351852</v>
      </c>
    </row>
    <row r="18" spans="1:3" x14ac:dyDescent="0.3">
      <c r="A18" s="930" t="s">
        <v>825</v>
      </c>
      <c r="B18" s="923">
        <v>458976</v>
      </c>
      <c r="C18" s="923">
        <v>355242</v>
      </c>
    </row>
    <row r="19" spans="1:3" x14ac:dyDescent="0.3">
      <c r="A19" s="930" t="s">
        <v>828</v>
      </c>
      <c r="B19" s="923">
        <v>31976</v>
      </c>
      <c r="C19" s="923">
        <v>-3390</v>
      </c>
    </row>
    <row r="20" spans="1:3" x14ac:dyDescent="0.3">
      <c r="A20" s="920" t="s">
        <v>829</v>
      </c>
      <c r="B20" s="921">
        <f>SUM(B21:B22)</f>
        <v>756916</v>
      </c>
      <c r="C20" s="921">
        <f>SUM(C21:C22)</f>
        <v>756135</v>
      </c>
    </row>
    <row r="21" spans="1:3" x14ac:dyDescent="0.3">
      <c r="A21" s="922" t="s">
        <v>819</v>
      </c>
      <c r="B21" s="923">
        <v>355228</v>
      </c>
      <c r="C21" s="923">
        <v>377441</v>
      </c>
    </row>
    <row r="22" spans="1:3" x14ac:dyDescent="0.3">
      <c r="A22" s="922" t="s">
        <v>820</v>
      </c>
      <c r="B22" s="923">
        <v>401688</v>
      </c>
      <c r="C22" s="923">
        <v>378694</v>
      </c>
    </row>
    <row r="23" spans="1:3" x14ac:dyDescent="0.3">
      <c r="A23" s="920" t="s">
        <v>830</v>
      </c>
      <c r="B23" s="921">
        <f>SUM(B24:B25)</f>
        <v>689634</v>
      </c>
      <c r="C23" s="921">
        <f>SUM(C24:C25)</f>
        <v>661711</v>
      </c>
    </row>
    <row r="24" spans="1:3" x14ac:dyDescent="0.3">
      <c r="A24" s="922" t="s">
        <v>819</v>
      </c>
      <c r="B24" s="923">
        <f>+B8+B12+B14-B21</f>
        <v>364652</v>
      </c>
      <c r="C24" s="923">
        <f>+C8+C12+C14-C21</f>
        <v>425993</v>
      </c>
    </row>
    <row r="25" spans="1:3" ht="17.25" thickBot="1" x14ac:dyDescent="0.35">
      <c r="A25" s="931" t="s">
        <v>820</v>
      </c>
      <c r="B25" s="932">
        <f>+B9+B17-B22</f>
        <v>324982</v>
      </c>
      <c r="C25" s="932">
        <f>+C9+C17-C22</f>
        <v>235718</v>
      </c>
    </row>
  </sheetData>
  <sheetProtection password="9C8D" sheet="1" objects="1" scenarios="1"/>
  <mergeCells count="5">
    <mergeCell ref="A2:C2"/>
    <mergeCell ref="A3:C3"/>
    <mergeCell ref="A4:C4"/>
    <mergeCell ref="A5:C5"/>
    <mergeCell ref="A1:C1"/>
  </mergeCells>
  <pageMargins left="0.511811024" right="0.511811024" top="0.78740157499999996" bottom="0.78740157499999996" header="0.31496062000000002" footer="0.31496062000000002"/>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indowProtection="1" showGridLines="0" workbookViewId="0">
      <selection sqref="A1:C1"/>
    </sheetView>
  </sheetViews>
  <sheetFormatPr defaultRowHeight="16.5" x14ac:dyDescent="0.3"/>
  <cols>
    <col min="1" max="1" width="76" style="857" bestFit="1" customWidth="1"/>
    <col min="2" max="2" width="13.7109375" style="857" bestFit="1" customWidth="1"/>
    <col min="3" max="3" width="14.28515625" style="857" bestFit="1" customWidth="1"/>
    <col min="4" max="16384" width="9.140625" style="857"/>
  </cols>
  <sheetData>
    <row r="1" spans="1:3" x14ac:dyDescent="0.3">
      <c r="A1" s="1433" t="s">
        <v>862</v>
      </c>
      <c r="B1" s="1433"/>
      <c r="C1" s="1433"/>
    </row>
    <row r="2" spans="1:3" ht="18" x14ac:dyDescent="0.35">
      <c r="A2" s="1454" t="s">
        <v>832</v>
      </c>
      <c r="B2" s="1454"/>
      <c r="C2" s="1454"/>
    </row>
    <row r="3" spans="1:3" ht="18" x14ac:dyDescent="0.35">
      <c r="A3" s="1454" t="s">
        <v>574</v>
      </c>
      <c r="B3" s="1454"/>
      <c r="C3" s="1454"/>
    </row>
    <row r="4" spans="1:3" ht="18" x14ac:dyDescent="0.35">
      <c r="A4" s="1454"/>
      <c r="B4" s="1454"/>
      <c r="C4" s="1454"/>
    </row>
    <row r="5" spans="1:3" x14ac:dyDescent="0.3">
      <c r="A5" s="1456" t="s">
        <v>1</v>
      </c>
      <c r="B5" s="1456"/>
      <c r="C5" s="1456"/>
    </row>
    <row r="6" spans="1:3" ht="29.25" customHeight="1" x14ac:dyDescent="0.3">
      <c r="A6" s="934" t="s">
        <v>221</v>
      </c>
      <c r="B6" s="934" t="s">
        <v>833</v>
      </c>
      <c r="C6" s="934" t="s">
        <v>834</v>
      </c>
    </row>
    <row r="7" spans="1:3" x14ac:dyDescent="0.3">
      <c r="A7" s="935"/>
      <c r="B7" s="935"/>
      <c r="C7" s="936"/>
    </row>
    <row r="8" spans="1:3" x14ac:dyDescent="0.3">
      <c r="A8" s="937" t="s">
        <v>835</v>
      </c>
      <c r="B8" s="938">
        <v>7790704.7768000001</v>
      </c>
      <c r="C8" s="938">
        <v>7790705</v>
      </c>
    </row>
    <row r="9" spans="1:3" x14ac:dyDescent="0.3">
      <c r="A9" s="939"/>
      <c r="B9" s="938"/>
      <c r="C9" s="938"/>
    </row>
    <row r="10" spans="1:3" x14ac:dyDescent="0.3">
      <c r="A10" s="940" t="s">
        <v>836</v>
      </c>
      <c r="B10" s="941">
        <f>SUM(B11:B18)</f>
        <v>17109841.787583739</v>
      </c>
      <c r="C10" s="941">
        <f>SUM(C11:C18)</f>
        <v>17690105</v>
      </c>
    </row>
    <row r="11" spans="1:3" x14ac:dyDescent="0.3">
      <c r="A11" s="942" t="s">
        <v>837</v>
      </c>
      <c r="B11" s="943">
        <v>6432000</v>
      </c>
      <c r="C11" s="943">
        <v>6394782</v>
      </c>
    </row>
    <row r="12" spans="1:3" x14ac:dyDescent="0.3">
      <c r="A12" s="942" t="s">
        <v>838</v>
      </c>
      <c r="B12" s="943">
        <v>8963294.0456809923</v>
      </c>
      <c r="C12" s="943">
        <v>9486806</v>
      </c>
    </row>
    <row r="13" spans="1:3" x14ac:dyDescent="0.3">
      <c r="A13" s="942" t="s">
        <v>839</v>
      </c>
      <c r="B13" s="943">
        <v>49351</v>
      </c>
      <c r="C13" s="943">
        <v>77231</v>
      </c>
    </row>
    <row r="14" spans="1:3" x14ac:dyDescent="0.3">
      <c r="A14" s="942" t="s">
        <v>840</v>
      </c>
      <c r="B14" s="943">
        <v>1104370.6210866382</v>
      </c>
      <c r="C14" s="943">
        <v>1122202</v>
      </c>
    </row>
    <row r="15" spans="1:3" x14ac:dyDescent="0.3">
      <c r="A15" s="942" t="s">
        <v>841</v>
      </c>
      <c r="B15" s="943">
        <v>428997.69918762153</v>
      </c>
      <c r="C15" s="943">
        <v>412048</v>
      </c>
    </row>
    <row r="16" spans="1:3" x14ac:dyDescent="0.3">
      <c r="A16" s="942" t="s">
        <v>842</v>
      </c>
      <c r="B16" s="943">
        <v>126408.45039331209</v>
      </c>
      <c r="C16" s="943">
        <v>190183</v>
      </c>
    </row>
    <row r="17" spans="1:3" x14ac:dyDescent="0.3">
      <c r="A17" s="942" t="s">
        <v>843</v>
      </c>
      <c r="B17" s="943">
        <v>5419.9712351741837</v>
      </c>
      <c r="C17" s="943">
        <v>6846</v>
      </c>
    </row>
    <row r="18" spans="1:3" x14ac:dyDescent="0.3">
      <c r="A18" s="942" t="s">
        <v>844</v>
      </c>
      <c r="B18" s="944">
        <v>0</v>
      </c>
      <c r="C18" s="944">
        <v>7</v>
      </c>
    </row>
    <row r="19" spans="1:3" x14ac:dyDescent="0.3">
      <c r="A19" s="945"/>
      <c r="B19" s="946"/>
      <c r="C19" s="943"/>
    </row>
    <row r="20" spans="1:3" x14ac:dyDescent="0.3">
      <c r="A20" s="940" t="s">
        <v>845</v>
      </c>
      <c r="B20" s="938">
        <f>SUM(B21:B35)</f>
        <v>-14062353.720650811</v>
      </c>
      <c r="C20" s="938">
        <f>SUM(C21:C35)</f>
        <v>-14156470</v>
      </c>
    </row>
    <row r="21" spans="1:3" x14ac:dyDescent="0.3">
      <c r="A21" s="947" t="s">
        <v>846</v>
      </c>
      <c r="B21" s="946">
        <f>-11186862+10648</f>
        <v>-11176214</v>
      </c>
      <c r="C21" s="946">
        <f>-11186862+19067</f>
        <v>-11167795</v>
      </c>
    </row>
    <row r="22" spans="1:3" x14ac:dyDescent="0.3">
      <c r="A22" s="947" t="s">
        <v>847</v>
      </c>
      <c r="B22" s="943">
        <v>-1286400</v>
      </c>
      <c r="C22" s="943">
        <v>-1278956</v>
      </c>
    </row>
    <row r="23" spans="1:3" x14ac:dyDescent="0.3">
      <c r="A23" s="947" t="s">
        <v>848</v>
      </c>
      <c r="B23" s="943">
        <v>-1226763.4230294735</v>
      </c>
      <c r="C23" s="943">
        <v>-1206889</v>
      </c>
    </row>
    <row r="24" spans="1:3" x14ac:dyDescent="0.3">
      <c r="A24" s="947" t="s">
        <v>849</v>
      </c>
      <c r="B24" s="943">
        <v>-3500.2976213384263</v>
      </c>
      <c r="C24" s="943">
        <v>-3465</v>
      </c>
    </row>
    <row r="25" spans="1:3" x14ac:dyDescent="0.3">
      <c r="A25" s="947" t="s">
        <v>850</v>
      </c>
      <c r="B25" s="943">
        <v>0</v>
      </c>
      <c r="C25" s="943">
        <v>-5230</v>
      </c>
    </row>
    <row r="26" spans="1:3" x14ac:dyDescent="0.3">
      <c r="A26" s="947" t="s">
        <v>851</v>
      </c>
      <c r="B26" s="943">
        <v>-309388</v>
      </c>
      <c r="C26" s="943">
        <v>-321030</v>
      </c>
    </row>
    <row r="27" spans="1:3" x14ac:dyDescent="0.3">
      <c r="A27" s="947" t="s">
        <v>852</v>
      </c>
      <c r="B27" s="943">
        <v>-89</v>
      </c>
      <c r="C27" s="943">
        <v>-105</v>
      </c>
    </row>
    <row r="28" spans="1:3" x14ac:dyDescent="0.3">
      <c r="A28" s="947" t="s">
        <v>853</v>
      </c>
      <c r="B28" s="943">
        <v>0</v>
      </c>
      <c r="C28" s="943">
        <v>-14857</v>
      </c>
    </row>
    <row r="29" spans="1:3" x14ac:dyDescent="0.3">
      <c r="A29" s="947" t="s">
        <v>854</v>
      </c>
      <c r="B29" s="943">
        <v>0</v>
      </c>
      <c r="C29" s="943">
        <v>-10308</v>
      </c>
    </row>
    <row r="30" spans="1:3" x14ac:dyDescent="0.3">
      <c r="A30" s="947" t="s">
        <v>855</v>
      </c>
      <c r="B30" s="943">
        <v>0</v>
      </c>
      <c r="C30" s="943">
        <v>-34454</v>
      </c>
    </row>
    <row r="31" spans="1:3" x14ac:dyDescent="0.3">
      <c r="A31" s="947" t="s">
        <v>856</v>
      </c>
      <c r="B31" s="943">
        <v>-49351</v>
      </c>
      <c r="C31" s="943">
        <v>-77231</v>
      </c>
    </row>
    <row r="32" spans="1:3" x14ac:dyDescent="0.3">
      <c r="A32" s="947" t="s">
        <v>857</v>
      </c>
      <c r="B32" s="943">
        <v>-10648</v>
      </c>
      <c r="C32" s="943">
        <v>-19067</v>
      </c>
    </row>
    <row r="33" spans="1:3" x14ac:dyDescent="0.3">
      <c r="A33" s="947" t="s">
        <v>858</v>
      </c>
      <c r="B33" s="943">
        <v>0</v>
      </c>
      <c r="C33" s="943">
        <v>-3724</v>
      </c>
    </row>
    <row r="34" spans="1:3" x14ac:dyDescent="0.3">
      <c r="A34" s="947" t="s">
        <v>859</v>
      </c>
      <c r="B34" s="948">
        <v>0</v>
      </c>
      <c r="C34" s="943">
        <v>-9347</v>
      </c>
    </row>
    <row r="35" spans="1:3" x14ac:dyDescent="0.3">
      <c r="A35" s="947" t="s">
        <v>860</v>
      </c>
      <c r="B35" s="943">
        <v>0</v>
      </c>
      <c r="C35" s="943">
        <v>-4012</v>
      </c>
    </row>
    <row r="36" spans="1:3" x14ac:dyDescent="0.3">
      <c r="A36" s="942"/>
      <c r="B36" s="943"/>
      <c r="C36" s="943"/>
    </row>
    <row r="37" spans="1:3" ht="17.25" customHeight="1" thickBot="1" x14ac:dyDescent="0.35">
      <c r="A37" s="949" t="s">
        <v>861</v>
      </c>
      <c r="B37" s="950">
        <f>+B8+B10+B20</f>
        <v>10838192.843732927</v>
      </c>
      <c r="C37" s="950">
        <f>+C8+C10+C20</f>
        <v>11324340</v>
      </c>
    </row>
    <row r="39" spans="1:3" x14ac:dyDescent="0.3">
      <c r="C39" s="951">
        <v>11324340</v>
      </c>
    </row>
    <row r="40" spans="1:3" x14ac:dyDescent="0.3">
      <c r="C40" s="917">
        <f>+C37-C39</f>
        <v>0</v>
      </c>
    </row>
  </sheetData>
  <sheetProtection password="9C8D" sheet="1" objects="1" scenarios="1"/>
  <mergeCells count="5">
    <mergeCell ref="A2:C2"/>
    <mergeCell ref="A3:C3"/>
    <mergeCell ref="A4:C4"/>
    <mergeCell ref="A5:C5"/>
    <mergeCell ref="A1:C1"/>
  </mergeCells>
  <pageMargins left="0.511811024" right="0.511811024" top="0.78740157499999996" bottom="0.78740157499999996" header="0.31496062000000002" footer="0.31496062000000002"/>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103</vt:i4>
      </vt:variant>
      <vt:variant>
        <vt:lpstr>Intervalos nomeados</vt:lpstr>
      </vt:variant>
      <vt:variant>
        <vt:i4>50</vt:i4>
      </vt:variant>
    </vt:vector>
  </HeadingPairs>
  <TitlesOfParts>
    <vt:vector size="153" baseType="lpstr">
      <vt:lpstr>3</vt:lpstr>
      <vt:lpstr>4</vt:lpstr>
      <vt:lpstr>5</vt:lpstr>
      <vt:lpstr>6</vt:lpstr>
      <vt:lpstr>7</vt:lpstr>
      <vt:lpstr>8</vt:lpstr>
      <vt:lpstr>9</vt:lpstr>
      <vt:lpstr>10 </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lpstr>71</vt:lpstr>
      <vt:lpstr>72</vt:lpstr>
      <vt:lpstr>73</vt:lpstr>
      <vt:lpstr>74</vt:lpstr>
      <vt:lpstr>75</vt:lpstr>
      <vt:lpstr>76</vt:lpstr>
      <vt:lpstr>77</vt:lpstr>
      <vt:lpstr>78</vt:lpstr>
      <vt:lpstr>79</vt:lpstr>
      <vt:lpstr>82</vt:lpstr>
      <vt:lpstr>83</vt:lpstr>
      <vt:lpstr>84</vt:lpstr>
      <vt:lpstr>85</vt:lpstr>
      <vt:lpstr>86</vt:lpstr>
      <vt:lpstr>1.A</vt:lpstr>
      <vt:lpstr>2.A</vt:lpstr>
      <vt:lpstr>A.10.1</vt:lpstr>
      <vt:lpstr>A.10.2</vt:lpstr>
      <vt:lpstr>A.10.3</vt:lpstr>
      <vt:lpstr>A.10.4</vt:lpstr>
      <vt:lpstr>A.10.5</vt:lpstr>
      <vt:lpstr>A.10.6</vt:lpstr>
      <vt:lpstr>A.10.7</vt:lpstr>
      <vt:lpstr>A.10.8</vt:lpstr>
      <vt:lpstr>A.10.9</vt:lpstr>
      <vt:lpstr>A.10.10</vt:lpstr>
      <vt:lpstr>A.10.11</vt:lpstr>
      <vt:lpstr>A.10.12</vt:lpstr>
      <vt:lpstr>A.10.13</vt:lpstr>
      <vt:lpstr>A.10.14</vt:lpstr>
      <vt:lpstr>A.10.15</vt:lpstr>
      <vt:lpstr>A.10.16</vt:lpstr>
      <vt:lpstr>A.10.17</vt:lpstr>
      <vt:lpstr>A.10.18</vt:lpstr>
      <vt:lpstr>A.10.19</vt:lpstr>
      <vt:lpstr>'19'!_Toc112550195</vt:lpstr>
      <vt:lpstr>'19'!_Toc112550196</vt:lpstr>
      <vt:lpstr>'19'!_Toc112550197</vt:lpstr>
      <vt:lpstr>'10 '!_Toc113334951</vt:lpstr>
      <vt:lpstr>'49'!_Toc113334951</vt:lpstr>
      <vt:lpstr>'54'!_Toc113334951</vt:lpstr>
      <vt:lpstr>'59'!_Toc113334951</vt:lpstr>
      <vt:lpstr>'65'!_Toc113334951</vt:lpstr>
      <vt:lpstr>'10 '!_Toc113334952</vt:lpstr>
      <vt:lpstr>'49'!_Toc113334952</vt:lpstr>
      <vt:lpstr>'54'!_Toc113334952</vt:lpstr>
      <vt:lpstr>'59'!_Toc113334952</vt:lpstr>
      <vt:lpstr>'65'!_Toc113334952</vt:lpstr>
      <vt:lpstr>'10 '!_Toc113334953</vt:lpstr>
      <vt:lpstr>'49'!_Toc113334953</vt:lpstr>
      <vt:lpstr>'54'!_Toc113334953</vt:lpstr>
      <vt:lpstr>'59'!_Toc113334953</vt:lpstr>
      <vt:lpstr>'65'!_Toc113334953</vt:lpstr>
      <vt:lpstr>'70'!_Toc302660368</vt:lpstr>
      <vt:lpstr>'78'!_Toc320716536</vt:lpstr>
      <vt:lpstr>'50'!_Toc385941950</vt:lpstr>
      <vt:lpstr>'51'!_Toc431305241</vt:lpstr>
      <vt:lpstr>'52'!_Toc431305242</vt:lpstr>
      <vt:lpstr>'53'!_Toc431305243</vt:lpstr>
      <vt:lpstr>'56'!_Toc431305247</vt:lpstr>
      <vt:lpstr>'52'!_Toc431305251</vt:lpstr>
      <vt:lpstr>'71'!_Toc431305262</vt:lpstr>
      <vt:lpstr>'21'!_Toc447096884</vt:lpstr>
      <vt:lpstr>'22'!_Toc447096885</vt:lpstr>
      <vt:lpstr>'23'!_Toc447096886</vt:lpstr>
      <vt:lpstr>'24'!_Toc447096887</vt:lpstr>
      <vt:lpstr>'25'!_Toc447096888</vt:lpstr>
      <vt:lpstr>'55'!_Toc447096918</vt:lpstr>
      <vt:lpstr>'69'!_Toc447096932</vt:lpstr>
      <vt:lpstr>'79'!_Toc447096942</vt:lpstr>
      <vt:lpstr>'82'!_Toc447096945</vt:lpstr>
      <vt:lpstr>'83'!_Toc447096946</vt:lpstr>
      <vt:lpstr>'84'!_Toc447096947</vt:lpstr>
      <vt:lpstr>'85'!_Toc447096948</vt:lpstr>
      <vt:lpstr>'86'!_Toc447096949</vt:lpstr>
      <vt:lpstr>'17'!Area_de_impressao</vt:lpstr>
      <vt:lpstr>'36'!Area_de_impressao</vt:lpstr>
      <vt:lpstr>'37'!Area_de_impressao</vt:lpstr>
      <vt:lpstr>'61'!Area_de_impressao</vt:lpstr>
      <vt:lpstr>'62'!Area_de_impressao</vt:lpstr>
      <vt:lpstr>'64'!Area_de_impressao</vt:lpstr>
      <vt:lpstr>'65'!Area_de_impressao</vt:lpstr>
      <vt:lpstr>'67'!Area_de_impressao</vt:lpstr>
      <vt:lpstr>'77'!Area_de_impressao</vt:lpstr>
      <vt:lpstr>'8'!Area_de_impressao</vt:lpstr>
    </vt:vector>
  </TitlesOfParts>
  <Company>Banco do Nordeste do Brasil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JAMILE Ulisses Pereira B844829</dc:creator>
  <cp:lastModifiedBy>Solange Ferreira de Melo - SUDENE</cp:lastModifiedBy>
  <cp:lastPrinted>2016-07-22T11:59:51Z</cp:lastPrinted>
  <dcterms:created xsi:type="dcterms:W3CDTF">2016-01-26T19:31:14Z</dcterms:created>
  <dcterms:modified xsi:type="dcterms:W3CDTF">2016-07-22T13:30:16Z</dcterms:modified>
</cp:coreProperties>
</file>