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o.bulhoes\Downloads\"/>
    </mc:Choice>
  </mc:AlternateContent>
  <xr:revisionPtr revIDLastSave="0" documentId="13_ncr:1_{01968E82-4D1A-40BF-A8E1-7EDCCFBA3ED0}" xr6:coauthVersionLast="45" xr6:coauthVersionMax="47" xr10:uidLastSave="{00000000-0000-0000-0000-000000000000}"/>
  <bookViews>
    <workbookView xWindow="-108" yWindow="-108" windowWidth="23256" windowHeight="12576" tabRatio="873" xr2:uid="{00000000-000D-0000-FFFF-FFFF00000000}"/>
  </bookViews>
  <sheets>
    <sheet name="Resumo" sheetId="21" r:id="rId1"/>
    <sheet name="BDI" sheetId="6" r:id="rId2"/>
    <sheet name="ENCARREGADO " sheetId="23" r:id="rId3"/>
    <sheet name="ELETRICISTA " sheetId="24" r:id="rId4"/>
    <sheet name="ENCANADOR " sheetId="25" r:id="rId5"/>
    <sheet name="PEDREIRO " sheetId="26" r:id="rId6"/>
    <sheet name="SERVENTE" sheetId="27" r:id="rId7"/>
    <sheet name="AUX.ELET." sheetId="28" r:id="rId8"/>
    <sheet name="Serviço Eventual" sheetId="22" r:id="rId9"/>
    <sheet name="Equip e Ferramental" sheetId="29" r:id="rId10"/>
    <sheet name="ESPECIALIZADOS" sheetId="30" r:id="rId11"/>
  </sheets>
  <definedNames>
    <definedName name="_xlnm._FilterDatabase" localSheetId="10" hidden="1">ESPECIALIZADOS!$B$3:$F$110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3" i="23" l="1"/>
  <c r="C141" i="23"/>
  <c r="C143" i="23" l="1"/>
  <c r="E113" i="28" l="1"/>
  <c r="E113" i="27"/>
  <c r="E113" i="26"/>
  <c r="E113" i="25"/>
  <c r="E113" i="24"/>
  <c r="D103" i="23" l="1"/>
  <c r="H18" i="21"/>
  <c r="D100" i="29"/>
  <c r="C121" i="23" l="1"/>
  <c r="F111" i="23" l="1"/>
  <c r="F7" i="29"/>
  <c r="F8" i="29"/>
  <c r="F9" i="29"/>
  <c r="F10" i="29"/>
  <c r="F11" i="29"/>
  <c r="F12" i="29"/>
  <c r="F13" i="29"/>
  <c r="F14" i="29"/>
  <c r="F15" i="29"/>
  <c r="F107" i="30" l="1"/>
  <c r="F106" i="30"/>
  <c r="F105" i="30"/>
  <c r="F104" i="30"/>
  <c r="F103" i="30"/>
  <c r="F102" i="30"/>
  <c r="F101" i="30"/>
  <c r="F100" i="30"/>
  <c r="F99" i="30"/>
  <c r="F98" i="30"/>
  <c r="F97" i="30"/>
  <c r="F96" i="30"/>
  <c r="F95" i="30"/>
  <c r="F94" i="30"/>
  <c r="F93" i="30"/>
  <c r="F92" i="30"/>
  <c r="F91" i="30"/>
  <c r="F90" i="30"/>
  <c r="F89" i="30"/>
  <c r="F88" i="30"/>
  <c r="F87" i="30"/>
  <c r="F86" i="30"/>
  <c r="F85" i="30"/>
  <c r="F84" i="30"/>
  <c r="F83" i="30"/>
  <c r="F82" i="30"/>
  <c r="F81" i="30"/>
  <c r="F80" i="30"/>
  <c r="F79" i="30"/>
  <c r="F78" i="30"/>
  <c r="F77" i="30"/>
  <c r="F76" i="30"/>
  <c r="F75" i="30"/>
  <c r="F74" i="30"/>
  <c r="F73" i="30"/>
  <c r="F72" i="30"/>
  <c r="F71" i="30"/>
  <c r="F70" i="30"/>
  <c r="F69" i="30"/>
  <c r="F68" i="30"/>
  <c r="F67" i="30"/>
  <c r="F66" i="30"/>
  <c r="F65" i="30"/>
  <c r="F64" i="30"/>
  <c r="F63" i="30"/>
  <c r="F62" i="30"/>
  <c r="F61" i="30"/>
  <c r="F60" i="30"/>
  <c r="F59" i="30"/>
  <c r="F58" i="30"/>
  <c r="F57" i="30"/>
  <c r="F56" i="30"/>
  <c r="F55" i="30"/>
  <c r="F54" i="30"/>
  <c r="F53" i="30"/>
  <c r="F52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31" i="30"/>
  <c r="F30" i="30"/>
  <c r="D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H5" i="30"/>
  <c r="F5" i="30"/>
  <c r="F4" i="30"/>
  <c r="D120" i="30" l="1"/>
  <c r="D121" i="30" s="1"/>
  <c r="F108" i="30" s="1"/>
  <c r="I15" i="21"/>
  <c r="H96" i="29" l="1"/>
  <c r="H95" i="29"/>
  <c r="H91" i="29"/>
  <c r="H90" i="29"/>
  <c r="H89" i="29"/>
  <c r="H88" i="29"/>
  <c r="H87" i="29"/>
  <c r="H86" i="29"/>
  <c r="H85" i="29"/>
  <c r="H84" i="29"/>
  <c r="H83" i="29"/>
  <c r="H82" i="29"/>
  <c r="H81" i="29"/>
  <c r="H80" i="29"/>
  <c r="H79" i="29"/>
  <c r="H78" i="29"/>
  <c r="H77" i="29"/>
  <c r="H76" i="29"/>
  <c r="H75" i="29"/>
  <c r="H74" i="29"/>
  <c r="H73" i="29"/>
  <c r="H72" i="29"/>
  <c r="H71" i="29"/>
  <c r="H70" i="29"/>
  <c r="H69" i="29"/>
  <c r="H68" i="29"/>
  <c r="H67" i="29"/>
  <c r="H66" i="29"/>
  <c r="H65" i="29"/>
  <c r="H64" i="29"/>
  <c r="H63" i="29"/>
  <c r="H62" i="29"/>
  <c r="H61" i="29"/>
  <c r="H60" i="29"/>
  <c r="H59" i="29"/>
  <c r="H58" i="29"/>
  <c r="H57" i="29"/>
  <c r="H56" i="29"/>
  <c r="H55" i="29"/>
  <c r="H54" i="29"/>
  <c r="H53" i="29"/>
  <c r="H52" i="29"/>
  <c r="H51" i="29"/>
  <c r="H50" i="29"/>
  <c r="H49" i="29"/>
  <c r="H48" i="29"/>
  <c r="H47" i="29"/>
  <c r="H4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A2" i="29"/>
  <c r="A1" i="29"/>
  <c r="A2" i="22"/>
  <c r="A1" i="22"/>
  <c r="A2" i="24"/>
  <c r="A1" i="24"/>
  <c r="A2" i="23"/>
  <c r="A1" i="23"/>
  <c r="F96" i="29" l="1"/>
  <c r="I96" i="29" s="1"/>
  <c r="F95" i="29"/>
  <c r="I95" i="29" s="1"/>
  <c r="F25" i="29"/>
  <c r="I25" i="29" s="1"/>
  <c r="F97" i="29" l="1"/>
  <c r="E57" i="27"/>
  <c r="E58" i="27"/>
  <c r="E56" i="27"/>
  <c r="C57" i="27"/>
  <c r="C58" i="27"/>
  <c r="C59" i="27"/>
  <c r="E57" i="26"/>
  <c r="E58" i="26"/>
  <c r="E56" i="26"/>
  <c r="C57" i="26"/>
  <c r="C58" i="26"/>
  <c r="C59" i="26"/>
  <c r="C59" i="25"/>
  <c r="C58" i="25"/>
  <c r="C57" i="25"/>
  <c r="E57" i="25"/>
  <c r="E58" i="25"/>
  <c r="E56" i="25"/>
  <c r="E103" i="24"/>
  <c r="E102" i="24"/>
  <c r="E59" i="24"/>
  <c r="E58" i="24"/>
  <c r="E57" i="24"/>
  <c r="E56" i="24"/>
  <c r="C57" i="24"/>
  <c r="C58" i="24"/>
  <c r="C59" i="24"/>
  <c r="I8" i="29" l="1"/>
  <c r="I9" i="29"/>
  <c r="I10" i="29"/>
  <c r="I11" i="29"/>
  <c r="I12" i="29"/>
  <c r="I13" i="29"/>
  <c r="I14" i="29"/>
  <c r="I15" i="29"/>
  <c r="F16" i="29"/>
  <c r="I16" i="29" s="1"/>
  <c r="F17" i="29"/>
  <c r="I17" i="29" s="1"/>
  <c r="F18" i="29"/>
  <c r="I18" i="29" s="1"/>
  <c r="F19" i="29"/>
  <c r="I19" i="29" s="1"/>
  <c r="F20" i="29"/>
  <c r="I20" i="29" s="1"/>
  <c r="F21" i="29"/>
  <c r="I21" i="29" s="1"/>
  <c r="F22" i="29"/>
  <c r="I22" i="29" s="1"/>
  <c r="F23" i="29"/>
  <c r="I23" i="29" s="1"/>
  <c r="F24" i="29"/>
  <c r="I24" i="29" s="1"/>
  <c r="F26" i="29"/>
  <c r="I26" i="29" s="1"/>
  <c r="F27" i="29"/>
  <c r="I27" i="29" s="1"/>
  <c r="F28" i="29"/>
  <c r="I28" i="29" s="1"/>
  <c r="F29" i="29"/>
  <c r="I29" i="29" s="1"/>
  <c r="F30" i="29"/>
  <c r="I30" i="29" s="1"/>
  <c r="F31" i="29"/>
  <c r="I31" i="29" s="1"/>
  <c r="F32" i="29"/>
  <c r="I32" i="29" s="1"/>
  <c r="F33" i="29"/>
  <c r="I33" i="29" s="1"/>
  <c r="F34" i="29"/>
  <c r="I34" i="29" s="1"/>
  <c r="F35" i="29"/>
  <c r="I35" i="29" s="1"/>
  <c r="F36" i="29"/>
  <c r="I36" i="29" s="1"/>
  <c r="F37" i="29"/>
  <c r="I37" i="29" s="1"/>
  <c r="F38" i="29"/>
  <c r="I38" i="29" s="1"/>
  <c r="F39" i="29"/>
  <c r="I39" i="29" s="1"/>
  <c r="F40" i="29"/>
  <c r="I40" i="29" s="1"/>
  <c r="F41" i="29"/>
  <c r="I41" i="29" s="1"/>
  <c r="F42" i="29"/>
  <c r="I42" i="29" s="1"/>
  <c r="F43" i="29"/>
  <c r="I43" i="29" s="1"/>
  <c r="F44" i="29"/>
  <c r="I44" i="29" s="1"/>
  <c r="F45" i="29"/>
  <c r="I45" i="29" s="1"/>
  <c r="F46" i="29"/>
  <c r="I46" i="29" s="1"/>
  <c r="F47" i="29"/>
  <c r="I47" i="29" s="1"/>
  <c r="F48" i="29"/>
  <c r="I48" i="29" s="1"/>
  <c r="F49" i="29"/>
  <c r="I49" i="29" s="1"/>
  <c r="F50" i="29"/>
  <c r="I50" i="29" s="1"/>
  <c r="F51" i="29"/>
  <c r="I51" i="29" s="1"/>
  <c r="F52" i="29"/>
  <c r="I52" i="29" s="1"/>
  <c r="F53" i="29"/>
  <c r="I53" i="29" s="1"/>
  <c r="F54" i="29"/>
  <c r="I54" i="29" s="1"/>
  <c r="F55" i="29"/>
  <c r="I55" i="29" s="1"/>
  <c r="F56" i="29"/>
  <c r="I56" i="29" s="1"/>
  <c r="F57" i="29"/>
  <c r="I57" i="29" s="1"/>
  <c r="F58" i="29"/>
  <c r="I58" i="29" s="1"/>
  <c r="F59" i="29"/>
  <c r="I59" i="29" s="1"/>
  <c r="F60" i="29"/>
  <c r="I60" i="29" s="1"/>
  <c r="F61" i="29"/>
  <c r="I61" i="29" s="1"/>
  <c r="F62" i="29"/>
  <c r="I62" i="29" s="1"/>
  <c r="F63" i="29"/>
  <c r="I63" i="29" s="1"/>
  <c r="F64" i="29"/>
  <c r="I64" i="29" s="1"/>
  <c r="F65" i="29"/>
  <c r="I65" i="29" s="1"/>
  <c r="F66" i="29"/>
  <c r="I66" i="29" s="1"/>
  <c r="F67" i="29"/>
  <c r="I67" i="29" s="1"/>
  <c r="F68" i="29"/>
  <c r="I68" i="29" s="1"/>
  <c r="F69" i="29"/>
  <c r="I69" i="29" s="1"/>
  <c r="F70" i="29"/>
  <c r="I70" i="29" s="1"/>
  <c r="F71" i="29"/>
  <c r="I71" i="29" s="1"/>
  <c r="F72" i="29"/>
  <c r="I72" i="29" s="1"/>
  <c r="F73" i="29"/>
  <c r="I73" i="29" s="1"/>
  <c r="F74" i="29"/>
  <c r="I74" i="29" s="1"/>
  <c r="F75" i="29"/>
  <c r="I75" i="29" s="1"/>
  <c r="F76" i="29"/>
  <c r="I76" i="29" s="1"/>
  <c r="F77" i="29"/>
  <c r="I77" i="29" s="1"/>
  <c r="F78" i="29"/>
  <c r="I78" i="29" s="1"/>
  <c r="F79" i="29"/>
  <c r="I79" i="29" s="1"/>
  <c r="F80" i="29"/>
  <c r="I80" i="29" s="1"/>
  <c r="F81" i="29"/>
  <c r="I81" i="29" s="1"/>
  <c r="F82" i="29"/>
  <c r="I82" i="29" s="1"/>
  <c r="F83" i="29"/>
  <c r="I83" i="29" s="1"/>
  <c r="F84" i="29"/>
  <c r="I84" i="29" s="1"/>
  <c r="F85" i="29"/>
  <c r="I85" i="29" s="1"/>
  <c r="F86" i="29"/>
  <c r="I86" i="29" s="1"/>
  <c r="F87" i="29"/>
  <c r="I87" i="29" s="1"/>
  <c r="F88" i="29"/>
  <c r="I88" i="29" s="1"/>
  <c r="F89" i="29"/>
  <c r="I89" i="29" s="1"/>
  <c r="F90" i="29"/>
  <c r="I90" i="29" s="1"/>
  <c r="F91" i="29"/>
  <c r="I91" i="29" s="1"/>
  <c r="I7" i="29"/>
  <c r="F92" i="29" l="1"/>
  <c r="D58" i="28"/>
  <c r="D58" i="27"/>
  <c r="D59" i="27"/>
  <c r="D58" i="26"/>
  <c r="D58" i="25"/>
  <c r="D58" i="24"/>
  <c r="D58" i="23"/>
  <c r="D35" i="23"/>
  <c r="D56" i="23" s="1"/>
  <c r="D27" i="27"/>
  <c r="D26" i="27"/>
  <c r="D25" i="27"/>
  <c r="D14" i="27"/>
  <c r="D27" i="26"/>
  <c r="D26" i="26"/>
  <c r="D25" i="26"/>
  <c r="D14" i="26"/>
  <c r="D27" i="25"/>
  <c r="D26" i="25"/>
  <c r="D25" i="25"/>
  <c r="D14" i="25"/>
  <c r="D27" i="24"/>
  <c r="D26" i="24"/>
  <c r="D25" i="24"/>
  <c r="D14" i="24"/>
  <c r="C120" i="28" l="1"/>
  <c r="C119" i="28"/>
  <c r="C118" i="28"/>
  <c r="C117" i="28"/>
  <c r="C116" i="28"/>
  <c r="C114" i="28"/>
  <c r="C112" i="28"/>
  <c r="D103" i="28"/>
  <c r="D102" i="28"/>
  <c r="C90" i="28"/>
  <c r="C89" i="28"/>
  <c r="C88" i="28"/>
  <c r="C87" i="28"/>
  <c r="C86" i="28"/>
  <c r="C57" i="28"/>
  <c r="C56" i="28"/>
  <c r="D35" i="28"/>
  <c r="C120" i="27"/>
  <c r="C119" i="27"/>
  <c r="C118" i="27"/>
  <c r="C117" i="27"/>
  <c r="C116" i="27"/>
  <c r="C114" i="27"/>
  <c r="C112" i="27"/>
  <c r="C121" i="27" s="1"/>
  <c r="D103" i="27"/>
  <c r="D102" i="27"/>
  <c r="C87" i="27"/>
  <c r="C88" i="27"/>
  <c r="C89" i="27"/>
  <c r="C90" i="27"/>
  <c r="C86" i="27"/>
  <c r="C56" i="27"/>
  <c r="D35" i="27"/>
  <c r="C120" i="26"/>
  <c r="C119" i="26"/>
  <c r="C118" i="26"/>
  <c r="C117" i="26"/>
  <c r="C116" i="26"/>
  <c r="C114" i="26"/>
  <c r="C112" i="26"/>
  <c r="D103" i="26"/>
  <c r="D102" i="26"/>
  <c r="C87" i="26"/>
  <c r="C88" i="26"/>
  <c r="C89" i="26"/>
  <c r="C90" i="26"/>
  <c r="C86" i="26"/>
  <c r="C56" i="26"/>
  <c r="D35" i="26"/>
  <c r="C120" i="25"/>
  <c r="C119" i="25"/>
  <c r="C118" i="25"/>
  <c r="C117" i="25"/>
  <c r="C116" i="25"/>
  <c r="C114" i="25"/>
  <c r="C112" i="25"/>
  <c r="C121" i="25" s="1"/>
  <c r="D103" i="25"/>
  <c r="D102" i="25"/>
  <c r="C87" i="25"/>
  <c r="C88" i="25"/>
  <c r="C89" i="25"/>
  <c r="C90" i="25"/>
  <c r="C86" i="25"/>
  <c r="C56" i="25"/>
  <c r="D35" i="25"/>
  <c r="C118" i="24"/>
  <c r="C119" i="24"/>
  <c r="C120" i="24"/>
  <c r="C117" i="24"/>
  <c r="C116" i="24"/>
  <c r="C114" i="24"/>
  <c r="C112" i="24"/>
  <c r="C121" i="24" s="1"/>
  <c r="D103" i="24"/>
  <c r="D102" i="24"/>
  <c r="C87" i="24"/>
  <c r="C88" i="24"/>
  <c r="C89" i="24"/>
  <c r="C90" i="24"/>
  <c r="C86" i="24"/>
  <c r="C56" i="24"/>
  <c r="D35" i="24"/>
  <c r="C121" i="28" l="1"/>
  <c r="C121" i="26"/>
  <c r="D15" i="28"/>
  <c r="D15" i="27"/>
  <c r="D15" i="26"/>
  <c r="D15" i="25"/>
  <c r="D15" i="24"/>
  <c r="D129" i="28" l="1"/>
  <c r="C115" i="28"/>
  <c r="D107" i="28"/>
  <c r="C107" i="28"/>
  <c r="D94" i="28"/>
  <c r="D97" i="28" s="1"/>
  <c r="C91" i="28"/>
  <c r="C77" i="28"/>
  <c r="D62" i="28"/>
  <c r="D61" i="28"/>
  <c r="D60" i="28"/>
  <c r="D59" i="28"/>
  <c r="D57" i="28"/>
  <c r="D56" i="28"/>
  <c r="C54" i="28"/>
  <c r="C80" i="28" s="1"/>
  <c r="C43" i="28"/>
  <c r="C44" i="28" s="1"/>
  <c r="C37" i="28"/>
  <c r="C36" i="28"/>
  <c r="D37" i="28" s="1"/>
  <c r="D31" i="28"/>
  <c r="D129" i="27"/>
  <c r="C115" i="27"/>
  <c r="D107" i="27"/>
  <c r="C107" i="27"/>
  <c r="D94" i="27"/>
  <c r="D97" i="27" s="1"/>
  <c r="C91" i="27"/>
  <c r="C77" i="27"/>
  <c r="D62" i="27"/>
  <c r="D61" i="27"/>
  <c r="D60" i="27"/>
  <c r="D57" i="27"/>
  <c r="D56" i="27"/>
  <c r="C54" i="27"/>
  <c r="C80" i="27" s="1"/>
  <c r="C43" i="27"/>
  <c r="C44" i="27" s="1"/>
  <c r="C37" i="27"/>
  <c r="C36" i="27"/>
  <c r="D36" i="27" s="1"/>
  <c r="D31" i="27"/>
  <c r="D129" i="26"/>
  <c r="C115" i="26"/>
  <c r="D107" i="26"/>
  <c r="C107" i="26"/>
  <c r="D94" i="26"/>
  <c r="D97" i="26" s="1"/>
  <c r="C91" i="26"/>
  <c r="C77" i="26"/>
  <c r="D62" i="26"/>
  <c r="D61" i="26"/>
  <c r="D60" i="26"/>
  <c r="D59" i="26"/>
  <c r="D57" i="26"/>
  <c r="D56" i="26"/>
  <c r="C54" i="26"/>
  <c r="C80" i="26" s="1"/>
  <c r="C43" i="26"/>
  <c r="C44" i="26" s="1"/>
  <c r="C37" i="26"/>
  <c r="C36" i="26"/>
  <c r="D31" i="26"/>
  <c r="D129" i="25"/>
  <c r="C115" i="25"/>
  <c r="D107" i="25"/>
  <c r="C107" i="25"/>
  <c r="D94" i="25"/>
  <c r="D97" i="25" s="1"/>
  <c r="C91" i="25"/>
  <c r="C77" i="25"/>
  <c r="D62" i="25"/>
  <c r="D61" i="25"/>
  <c r="D60" i="25"/>
  <c r="D59" i="25"/>
  <c r="D57" i="25"/>
  <c r="D56" i="25"/>
  <c r="C54" i="25"/>
  <c r="C80" i="25" s="1"/>
  <c r="C43" i="25"/>
  <c r="C44" i="25" s="1"/>
  <c r="C37" i="25"/>
  <c r="C36" i="25"/>
  <c r="D31" i="25"/>
  <c r="D129" i="24"/>
  <c r="C115" i="24"/>
  <c r="D107" i="24"/>
  <c r="C107" i="24"/>
  <c r="D94" i="24"/>
  <c r="D97" i="24" s="1"/>
  <c r="C91" i="24"/>
  <c r="C77" i="24"/>
  <c r="D62" i="24"/>
  <c r="D61" i="24"/>
  <c r="D60" i="24"/>
  <c r="D59" i="24"/>
  <c r="D57" i="24"/>
  <c r="D56" i="24"/>
  <c r="C54" i="24"/>
  <c r="C80" i="24" s="1"/>
  <c r="C43" i="24"/>
  <c r="C44" i="24" s="1"/>
  <c r="C37" i="24"/>
  <c r="C36" i="24"/>
  <c r="D31" i="24"/>
  <c r="C36" i="23"/>
  <c r="C43" i="23"/>
  <c r="C44" i="23" s="1"/>
  <c r="C91" i="23"/>
  <c r="D129" i="23"/>
  <c r="C115" i="23"/>
  <c r="D107" i="23"/>
  <c r="C107" i="23"/>
  <c r="D94" i="23"/>
  <c r="D97" i="23" s="1"/>
  <c r="C77" i="23"/>
  <c r="D62" i="23"/>
  <c r="D61" i="23"/>
  <c r="D60" i="23"/>
  <c r="D59" i="23"/>
  <c r="C54" i="23"/>
  <c r="C80" i="23" s="1"/>
  <c r="D31" i="23"/>
  <c r="D36" i="24" l="1"/>
  <c r="D37" i="26"/>
  <c r="D36" i="25"/>
  <c r="C82" i="28"/>
  <c r="D63" i="28"/>
  <c r="D70" i="28" s="1"/>
  <c r="D36" i="28"/>
  <c r="D38" i="28" s="1"/>
  <c r="D63" i="27"/>
  <c r="D70" i="27" s="1"/>
  <c r="C82" i="27"/>
  <c r="D37" i="27"/>
  <c r="D38" i="27" s="1"/>
  <c r="D63" i="26"/>
  <c r="D70" i="26" s="1"/>
  <c r="C82" i="26"/>
  <c r="D36" i="26"/>
  <c r="D63" i="25"/>
  <c r="D70" i="25" s="1"/>
  <c r="C82" i="25"/>
  <c r="D37" i="25"/>
  <c r="D63" i="24"/>
  <c r="D70" i="24" s="1"/>
  <c r="D37" i="24"/>
  <c r="C82" i="24"/>
  <c r="D63" i="23"/>
  <c r="D70" i="23" s="1"/>
  <c r="C82" i="23"/>
  <c r="C37" i="23"/>
  <c r="J36" i="22"/>
  <c r="H35" i="22"/>
  <c r="J35" i="22" s="1"/>
  <c r="J34" i="22"/>
  <c r="H33" i="22"/>
  <c r="J33" i="22" s="1"/>
  <c r="J32" i="22"/>
  <c r="H31" i="22"/>
  <c r="J31" i="22" s="1"/>
  <c r="J30" i="22"/>
  <c r="H29" i="22"/>
  <c r="J29" i="22" s="1"/>
  <c r="J28" i="22"/>
  <c r="H27" i="22"/>
  <c r="J27" i="22" s="1"/>
  <c r="J25" i="22"/>
  <c r="J24" i="22"/>
  <c r="J23" i="22"/>
  <c r="J22" i="22"/>
  <c r="J20" i="22"/>
  <c r="J19" i="22"/>
  <c r="J17" i="22"/>
  <c r="J16" i="22"/>
  <c r="J15" i="22"/>
  <c r="J14" i="22"/>
  <c r="J13" i="22"/>
  <c r="J12" i="22"/>
  <c r="J10" i="22"/>
  <c r="D38" i="26" l="1"/>
  <c r="D81" i="26" s="1"/>
  <c r="D38" i="24"/>
  <c r="D38" i="25"/>
  <c r="D77" i="24"/>
  <c r="D43" i="24"/>
  <c r="D125" i="24"/>
  <c r="D81" i="24"/>
  <c r="D80" i="24"/>
  <c r="D78" i="24"/>
  <c r="D65" i="24"/>
  <c r="D66" i="24" s="1"/>
  <c r="D71" i="24" s="1"/>
  <c r="D79" i="24"/>
  <c r="D76" i="24"/>
  <c r="D42" i="24"/>
  <c r="D76" i="28"/>
  <c r="D65" i="28"/>
  <c r="D66" i="28" s="1"/>
  <c r="D71" i="28" s="1"/>
  <c r="D80" i="28"/>
  <c r="D81" i="28"/>
  <c r="D42" i="28"/>
  <c r="D79" i="28"/>
  <c r="D43" i="28"/>
  <c r="D125" i="28"/>
  <c r="D78" i="28"/>
  <c r="D77" i="28"/>
  <c r="D43" i="27"/>
  <c r="D80" i="27"/>
  <c r="D76" i="27"/>
  <c r="D125" i="27"/>
  <c r="D42" i="27"/>
  <c r="D65" i="27"/>
  <c r="D66" i="27" s="1"/>
  <c r="D71" i="27" s="1"/>
  <c r="D79" i="27"/>
  <c r="D81" i="27"/>
  <c r="D78" i="27"/>
  <c r="D77" i="27"/>
  <c r="D37" i="23"/>
  <c r="D36" i="23"/>
  <c r="J38" i="22"/>
  <c r="I18" i="21" s="1"/>
  <c r="D76" i="26" l="1"/>
  <c r="D82" i="26" s="1"/>
  <c r="D127" i="26" s="1"/>
  <c r="D79" i="26"/>
  <c r="D42" i="26"/>
  <c r="D78" i="26"/>
  <c r="D80" i="26"/>
  <c r="D65" i="26"/>
  <c r="D66" i="26" s="1"/>
  <c r="D71" i="26" s="1"/>
  <c r="D43" i="26"/>
  <c r="D77" i="26"/>
  <c r="D125" i="26"/>
  <c r="D79" i="25"/>
  <c r="D42" i="25"/>
  <c r="D81" i="25"/>
  <c r="D125" i="25"/>
  <c r="D80" i="25"/>
  <c r="D43" i="25"/>
  <c r="D65" i="25"/>
  <c r="D66" i="25" s="1"/>
  <c r="D71" i="25" s="1"/>
  <c r="D76" i="25"/>
  <c r="D77" i="25"/>
  <c r="D78" i="25"/>
  <c r="D44" i="24"/>
  <c r="D46" i="24" s="1"/>
  <c r="D82" i="24"/>
  <c r="D127" i="24" s="1"/>
  <c r="D82" i="28"/>
  <c r="D127" i="28" s="1"/>
  <c r="D44" i="28"/>
  <c r="D82" i="27"/>
  <c r="D127" i="27" s="1"/>
  <c r="D44" i="27"/>
  <c r="D44" i="26"/>
  <c r="D68" i="26" s="1"/>
  <c r="D38" i="23"/>
  <c r="D79" i="23" l="1"/>
  <c r="D49" i="24"/>
  <c r="D50" i="24"/>
  <c r="D53" i="24"/>
  <c r="D52" i="24"/>
  <c r="D47" i="24"/>
  <c r="D44" i="25"/>
  <c r="D50" i="25" s="1"/>
  <c r="D82" i="25"/>
  <c r="D127" i="25" s="1"/>
  <c r="D68" i="24"/>
  <c r="D48" i="24"/>
  <c r="D51" i="24"/>
  <c r="D125" i="23"/>
  <c r="D80" i="23"/>
  <c r="D42" i="23"/>
  <c r="D43" i="23"/>
  <c r="D77" i="23"/>
  <c r="D76" i="23"/>
  <c r="D81" i="23"/>
  <c r="D78" i="23"/>
  <c r="D68" i="28"/>
  <c r="D49" i="28"/>
  <c r="D47" i="28"/>
  <c r="D46" i="28"/>
  <c r="D53" i="28"/>
  <c r="D50" i="28"/>
  <c r="D48" i="28"/>
  <c r="D51" i="28"/>
  <c r="D52" i="28"/>
  <c r="D68" i="27"/>
  <c r="D50" i="27"/>
  <c r="D47" i="27"/>
  <c r="D46" i="27"/>
  <c r="D51" i="27"/>
  <c r="D52" i="27"/>
  <c r="D53" i="27"/>
  <c r="D48" i="27"/>
  <c r="D49" i="27"/>
  <c r="D50" i="26"/>
  <c r="D46" i="26"/>
  <c r="D52" i="26"/>
  <c r="D51" i="26"/>
  <c r="D48" i="26"/>
  <c r="D53" i="26"/>
  <c r="D47" i="26"/>
  <c r="D49" i="26"/>
  <c r="D65" i="23"/>
  <c r="D66" i="23" s="1"/>
  <c r="D71" i="23" s="1"/>
  <c r="D54" i="24" l="1"/>
  <c r="D69" i="24" s="1"/>
  <c r="D72" i="24" s="1"/>
  <c r="D44" i="23"/>
  <c r="D68" i="23" s="1"/>
  <c r="D48" i="25"/>
  <c r="D51" i="25"/>
  <c r="D47" i="25"/>
  <c r="D49" i="25"/>
  <c r="D53" i="25"/>
  <c r="D46" i="25"/>
  <c r="D68" i="25"/>
  <c r="D52" i="25"/>
  <c r="D82" i="23"/>
  <c r="D127" i="23" s="1"/>
  <c r="D54" i="28"/>
  <c r="D88" i="28" s="1"/>
  <c r="D54" i="27"/>
  <c r="D54" i="26"/>
  <c r="D69" i="26" s="1"/>
  <c r="D72" i="26" s="1"/>
  <c r="D53" i="23"/>
  <c r="D88" i="24" l="1"/>
  <c r="D86" i="24"/>
  <c r="D91" i="24" s="1"/>
  <c r="D96" i="24" s="1"/>
  <c r="D98" i="24" s="1"/>
  <c r="D128" i="24" s="1"/>
  <c r="D89" i="24"/>
  <c r="D87" i="24"/>
  <c r="D90" i="24"/>
  <c r="D49" i="23"/>
  <c r="D47" i="23"/>
  <c r="D52" i="23"/>
  <c r="D51" i="23"/>
  <c r="D48" i="23"/>
  <c r="D50" i="23"/>
  <c r="D46" i="23"/>
  <c r="D54" i="25"/>
  <c r="D69" i="25" s="1"/>
  <c r="D72" i="25" s="1"/>
  <c r="D86" i="28"/>
  <c r="D87" i="28"/>
  <c r="D89" i="28"/>
  <c r="D90" i="28"/>
  <c r="D69" i="28"/>
  <c r="D72" i="28" s="1"/>
  <c r="D69" i="27"/>
  <c r="D72" i="27" s="1"/>
  <c r="D87" i="27"/>
  <c r="D90" i="27"/>
  <c r="D88" i="27"/>
  <c r="D89" i="27"/>
  <c r="D86" i="27"/>
  <c r="D90" i="26"/>
  <c r="D87" i="26"/>
  <c r="D88" i="26"/>
  <c r="D86" i="26"/>
  <c r="D89" i="26"/>
  <c r="D126" i="26"/>
  <c r="D126" i="24"/>
  <c r="D112" i="24" l="1"/>
  <c r="D111" i="24" s="1"/>
  <c r="D126" i="28"/>
  <c r="D54" i="23"/>
  <c r="D89" i="23" s="1"/>
  <c r="D90" i="25"/>
  <c r="D86" i="25"/>
  <c r="D89" i="25"/>
  <c r="D88" i="25"/>
  <c r="D87" i="25"/>
  <c r="D91" i="28"/>
  <c r="D96" i="28" s="1"/>
  <c r="D98" i="28" s="1"/>
  <c r="D128" i="28" s="1"/>
  <c r="D130" i="28" s="1"/>
  <c r="D91" i="27"/>
  <c r="D96" i="27" s="1"/>
  <c r="D98" i="27" s="1"/>
  <c r="D128" i="27" s="1"/>
  <c r="D126" i="27"/>
  <c r="D91" i="26"/>
  <c r="D96" i="26" s="1"/>
  <c r="D98" i="26" s="1"/>
  <c r="D130" i="24"/>
  <c r="D126" i="25"/>
  <c r="D87" i="23"/>
  <c r="D88" i="23"/>
  <c r="D86" i="23"/>
  <c r="D69" i="23"/>
  <c r="D72" i="23" s="1"/>
  <c r="D90" i="23"/>
  <c r="D112" i="27" l="1"/>
  <c r="D111" i="27" s="1"/>
  <c r="D114" i="27" s="1"/>
  <c r="D117" i="27" s="1"/>
  <c r="D112" i="28"/>
  <c r="D111" i="28" s="1"/>
  <c r="D114" i="28" s="1"/>
  <c r="D116" i="28" s="1"/>
  <c r="D128" i="26"/>
  <c r="D130" i="26" s="1"/>
  <c r="D112" i="26"/>
  <c r="D111" i="26" s="1"/>
  <c r="D114" i="26" s="1"/>
  <c r="D120" i="26" s="1"/>
  <c r="D91" i="25"/>
  <c r="D96" i="25" s="1"/>
  <c r="D98" i="25" s="1"/>
  <c r="D130" i="27"/>
  <c r="D114" i="24"/>
  <c r="D120" i="24" s="1"/>
  <c r="D126" i="23"/>
  <c r="D91" i="23"/>
  <c r="D96" i="23" s="1"/>
  <c r="D128" i="25" l="1"/>
  <c r="D130" i="25" s="1"/>
  <c r="D112" i="25"/>
  <c r="D111" i="25" s="1"/>
  <c r="D114" i="25" s="1"/>
  <c r="D117" i="25" s="1"/>
  <c r="D117" i="28"/>
  <c r="D120" i="28"/>
  <c r="D116" i="27"/>
  <c r="D120" i="27"/>
  <c r="D117" i="26"/>
  <c r="D116" i="26"/>
  <c r="D116" i="24"/>
  <c r="D117" i="24"/>
  <c r="D98" i="23"/>
  <c r="D112" i="23" s="1"/>
  <c r="D121" i="24" l="1"/>
  <c r="D131" i="24" s="1"/>
  <c r="D132" i="24" s="1"/>
  <c r="D120" i="25"/>
  <c r="D116" i="25"/>
  <c r="D121" i="28"/>
  <c r="D131" i="28" s="1"/>
  <c r="D132" i="28" s="1"/>
  <c r="H13" i="21" s="1"/>
  <c r="D121" i="27"/>
  <c r="D131" i="27" s="1"/>
  <c r="D132" i="27" s="1"/>
  <c r="H12" i="21" s="1"/>
  <c r="D121" i="26"/>
  <c r="D131" i="26" s="1"/>
  <c r="D132" i="26" s="1"/>
  <c r="H11" i="21" s="1"/>
  <c r="D111" i="23"/>
  <c r="D114" i="23" s="1"/>
  <c r="D128" i="23"/>
  <c r="D130" i="23" s="1"/>
  <c r="H9" i="21" l="1"/>
  <c r="I11" i="21"/>
  <c r="I12" i="21"/>
  <c r="I13" i="21"/>
  <c r="D121" i="25"/>
  <c r="D131" i="25" s="1"/>
  <c r="D132" i="25" s="1"/>
  <c r="H10" i="21" s="1"/>
  <c r="D116" i="23"/>
  <c r="D120" i="23"/>
  <c r="D117" i="23"/>
  <c r="I9" i="21" l="1"/>
  <c r="I10" i="21"/>
  <c r="D121" i="23"/>
  <c r="D131" i="23" s="1"/>
  <c r="D132" i="23" s="1"/>
  <c r="C30" i="6"/>
  <c r="C35" i="6" s="1"/>
  <c r="J39" i="22" s="1"/>
  <c r="J40" i="22" s="1"/>
  <c r="H17" i="21" s="1"/>
  <c r="I17" i="21" s="1"/>
  <c r="C13" i="6"/>
  <c r="C19" i="6" s="1"/>
  <c r="F109" i="30" s="1"/>
  <c r="F110" i="30" s="1"/>
  <c r="H8" i="21" l="1"/>
  <c r="I8" i="21" s="1"/>
  <c r="F113" i="30"/>
  <c r="I16" i="21"/>
  <c r="I20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tc={A7B72489-0345-4490-972F-55C6D810261B}</author>
    <author>tc={1FDBAB80-36CD-4572-A61C-4D2B22D813BE}</author>
    <author>tc={7B59CCF2-25B2-42C4-A2AC-620E878BB4EB}</author>
    <author>tc={1720CF8B-4E6B-4273-B7AB-4CA6FE4DCF8B}</author>
    <author>tc={1F242C39-E3B5-4517-8ED2-B916BE7E337D}</author>
    <author>tc={68863816-49FB-4A9C-B1CD-5EE1F022F277}</author>
  </authors>
  <commentList>
    <comment ref="D14" authorId="0" shapeId="0" xr:uid="{A7B72489-0345-4490-972F-55C6D810261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40" authorId="1" shapeId="0" xr:uid="{1FDBAB80-36CD-4572-A61C-4D2B22D813B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3" authorId="2" shapeId="0" xr:uid="{7B59CCF2-25B2-42C4-A2AC-620E878BB4E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5" authorId="3" shapeId="0" xr:uid="{1720CF8B-4E6B-4273-B7AB-4CA6FE4DCF8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5" authorId="4" shapeId="0" xr:uid="{1F242C39-E3B5-4517-8ED2-B916BE7E337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  <comment ref="C86" authorId="5" shapeId="0" xr:uid="{68863816-49FB-4A9C-B1CD-5EE1F022F27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Somando com o percentual de férias do Submódulo 2.1 o resultado é 12,10%, que coincide com o valor a ser recolhido mensalmente para a conta vinculada.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tc={B13B2F83-DA16-4A3B-A7E8-F44EAB036B96}</author>
    <author>tc={67FD71F1-C6DD-4982-BBE1-2B94C38B23A7}</author>
    <author>tc={9C31DF41-2662-4DFD-88F1-616979003080}</author>
    <author>tc={B1A381C0-42D8-41F5-896D-B19A396C1238}</author>
    <author>tc={9FC031A7-9520-49A9-90E1-C90F3999648C}</author>
  </authors>
  <commentList>
    <comment ref="D14" authorId="0" shapeId="0" xr:uid="{B13B2F83-DA16-4A3B-A7E8-F44EAB036B9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40" authorId="1" shapeId="0" xr:uid="{67FD71F1-C6DD-4982-BBE1-2B94C38B23A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3" authorId="2" shapeId="0" xr:uid="{9C31DF41-2662-4DFD-88F1-61697900308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5" authorId="3" shapeId="0" xr:uid="{B1A381C0-42D8-41F5-896D-B19A396C12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5" authorId="4" shapeId="0" xr:uid="{9FC031A7-9520-49A9-90E1-C90F3999648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tc={3627AE98-2EE9-4326-8919-14FA263FB4DA}</author>
    <author>tc={A6EFF94A-17B1-48F7-A842-F786D819A8DF}</author>
    <author>tc={3C4E2B54-B496-4331-8E71-C13C6B826BB4}</author>
    <author>tc={D00341F3-8C71-4879-83AF-C97F8F2C7D6A}</author>
    <author>tc={5AFB3395-95AE-4BA2-9835-4D9F4E96054C}</author>
  </authors>
  <commentList>
    <comment ref="D14" authorId="0" shapeId="0" xr:uid="{3627AE98-2EE9-4326-8919-14FA263FB4D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40" authorId="1" shapeId="0" xr:uid="{A6EFF94A-17B1-48F7-A842-F786D819A8D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3" authorId="2" shapeId="0" xr:uid="{3C4E2B54-B496-4331-8E71-C13C6B826BB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5" authorId="3" shapeId="0" xr:uid="{D00341F3-8C71-4879-83AF-C97F8F2C7D6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5" authorId="4" shapeId="0" xr:uid="{5AFB3395-95AE-4BA2-9835-4D9F4E96054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tc={DE01703E-9602-4871-9165-3444351F399F}</author>
    <author>tc={A32AEAD2-30E3-44FF-A71F-1C7D0808A89D}</author>
    <author>tc={E0844335-5C57-443C-AAF8-DB727ADB6385}</author>
    <author>tc={B226D708-711E-417D-8E92-FB3EB56782BF}</author>
    <author>tc={AFDF1621-751E-43B5-A995-C3BEFB5ACB38}</author>
  </authors>
  <commentList>
    <comment ref="D14" authorId="0" shapeId="0" xr:uid="{DE01703E-9602-4871-9165-3444351F399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40" authorId="1" shapeId="0" xr:uid="{A32AEAD2-30E3-44FF-A71F-1C7D0808A89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3" authorId="2" shapeId="0" xr:uid="{E0844335-5C57-443C-AAF8-DB727ADB638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5" authorId="3" shapeId="0" xr:uid="{B226D708-711E-417D-8E92-FB3EB56782B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5" authorId="4" shapeId="0" xr:uid="{AFDF1621-751E-43B5-A995-C3BEFB5ACB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tc={2FE05C60-44C1-47B8-8A99-549FA133B4D1}</author>
    <author>tc={6EFB0714-EB87-44CA-AB9F-CE830B17801F}</author>
    <author>tc={2CB93ABF-F2BD-4914-8FF9-027CF31956DB}</author>
    <author>tc={719899A9-0206-4253-8EC0-11F0E0259695}</author>
    <author>tc={95DBE0FE-324F-4B97-979A-F31F75203418}</author>
  </authors>
  <commentList>
    <comment ref="D14" authorId="0" shapeId="0" xr:uid="{2FE05C60-44C1-47B8-8A99-549FA133B4D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40" authorId="1" shapeId="0" xr:uid="{6EFB0714-EB87-44CA-AB9F-CE830B17801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3" authorId="2" shapeId="0" xr:uid="{2CB93ABF-F2BD-4914-8FF9-027CF31956D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5" authorId="3" shapeId="0" xr:uid="{719899A9-0206-4253-8EC0-11F0E025969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5" authorId="4" shapeId="0" xr:uid="{95DBE0FE-324F-4B97-979A-F31F7520341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tc={7D07033F-F6B3-451C-9FCC-D5AB93DD91EE}</author>
    <author>tc={A60DB667-FC2D-4987-AF37-343787D575E4}</author>
    <author>tc={618F6716-7ABE-41CF-9DDF-395BFB422C9C}</author>
    <author>tc={6D53812D-1ED6-49A8-B25F-B723B3EB99C6}</author>
    <author>tc={A95305F2-3627-44BF-81C5-DDBBD3E86F5F}</author>
  </authors>
  <commentList>
    <comment ref="D14" authorId="0" shapeId="0" xr:uid="{7D07033F-F6B3-451C-9FCC-D5AB93DD91E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40" authorId="1" shapeId="0" xr:uid="{A60DB667-FC2D-4987-AF37-343787D575E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3" authorId="2" shapeId="0" xr:uid="{618F6716-7ABE-41CF-9DDF-395BFB422C9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5" authorId="3" shapeId="0" xr:uid="{6D53812D-1ED6-49A8-B25F-B723B3EB99C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5" authorId="4" shapeId="0" xr:uid="{A95305F2-3627-44BF-81C5-DDBBD3E86F5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sharedStrings.xml><?xml version="1.0" encoding="utf-8"?>
<sst xmlns="http://schemas.openxmlformats.org/spreadsheetml/2006/main" count="1939" uniqueCount="589">
  <si>
    <t>DESCRIÇÃO</t>
  </si>
  <si>
    <t>VALOR TOTAL</t>
  </si>
  <si>
    <t>BDI</t>
  </si>
  <si>
    <t>Item</t>
  </si>
  <si>
    <t>ITEM</t>
  </si>
  <si>
    <t>Elaboração de Programa de Prevenção de Riscos Ambientais (PPRA) e Programa de Controle Médico de Saúde Ocupacional (PCMSO) </t>
  </si>
  <si>
    <t>SERVIÇOS EVENTUAIS</t>
  </si>
  <si>
    <t>Valor (R$)</t>
  </si>
  <si>
    <t>MÓDULO 1 - COMPOSIÇÃO DA REMUNERAÇÃO</t>
  </si>
  <si>
    <t>TOTAL DO MÓDULO 1</t>
  </si>
  <si>
    <t>2.1</t>
  </si>
  <si>
    <t>Submódulo 2.3 - Benefícios Mensais e Diários</t>
  </si>
  <si>
    <t>Módulo 2 - Encargos e Benefícios Anuais, Mensais e Diários</t>
  </si>
  <si>
    <t>2.2</t>
  </si>
  <si>
    <t>Benefícios Mensais e Diários</t>
  </si>
  <si>
    <t>TOTAL DO MÓDULO 2</t>
  </si>
  <si>
    <t>Incidência do FGTS sobre Aviso Prévio Indenizado</t>
  </si>
  <si>
    <t>TOTAL DO MÓDULO 3</t>
  </si>
  <si>
    <t>Submódulo 4.1 - Ausências Legais</t>
  </si>
  <si>
    <t>Ausências Legais</t>
  </si>
  <si>
    <t>Submódulo 4.2 - Intrajornada</t>
  </si>
  <si>
    <t>Intervalo para Repouso ou Alimentação</t>
  </si>
  <si>
    <t>Módulo 4 - Custo de Reposição do Profissional Ausente</t>
  </si>
  <si>
    <t>4.1</t>
  </si>
  <si>
    <t>4.2</t>
  </si>
  <si>
    <t>TOTAL DO MÓDULO 4</t>
  </si>
  <si>
    <t>Uniformes</t>
  </si>
  <si>
    <t>Materiais</t>
  </si>
  <si>
    <t>Equipamentos</t>
  </si>
  <si>
    <t>Outros (EPI)</t>
  </si>
  <si>
    <t>TOTAL DO MÓDULO 5</t>
  </si>
  <si>
    <t>Custos Indiretos</t>
  </si>
  <si>
    <t>Lucro</t>
  </si>
  <si>
    <t>PIS</t>
  </si>
  <si>
    <t>COFINS</t>
  </si>
  <si>
    <t>ISS</t>
  </si>
  <si>
    <t>CPRB</t>
  </si>
  <si>
    <t>TOTAL DO MÓDULO 6</t>
  </si>
  <si>
    <t>Descrição</t>
  </si>
  <si>
    <t>VALOR UNITÁRIO</t>
  </si>
  <si>
    <t>QUANTIDADE</t>
  </si>
  <si>
    <t>MANUTENÇÃO PREDIAL</t>
  </si>
  <si>
    <t>Unidade de medida</t>
  </si>
  <si>
    <t>Quantidade estimada</t>
  </si>
  <si>
    <t>Valores Unitários</t>
  </si>
  <si>
    <t>(R$)</t>
  </si>
  <si>
    <t>Valores Totais</t>
  </si>
  <si>
    <t>Esgotamento e limpeza das caixas de gordura</t>
  </si>
  <si>
    <t>1.1</t>
  </si>
  <si>
    <t>m³</t>
  </si>
  <si>
    <t>Impermeabilização</t>
  </si>
  <si>
    <t>Remoção de Impermeabilização</t>
  </si>
  <si>
    <t>m²</t>
  </si>
  <si>
    <t>Remoção de proteção mecânica de impermeabilização</t>
  </si>
  <si>
    <t>2.4</t>
  </si>
  <si>
    <t>Impermeabil.caixa dágua com argamassa polimérica / membrana acrílica, 3 demãos</t>
  </si>
  <si>
    <t>2.5</t>
  </si>
  <si>
    <t>Impermeabilização de superfície com manta asfaltica (com polímeros tipo APP), espessura 4 mm</t>
  </si>
  <si>
    <t>2.6</t>
  </si>
  <si>
    <t>Impermeabilização de cisterna com argamassa de cimento e areia, com aditivo impermeabilizante, E =2mm</t>
  </si>
  <si>
    <t>2.7</t>
  </si>
  <si>
    <t>Proteção mecânica de superfície horizontal com argamassa de cimento e areia, traço 1:3, E=2cm</t>
  </si>
  <si>
    <t>Películas</t>
  </si>
  <si>
    <t>3.1</t>
  </si>
  <si>
    <t>Fornecimento e instalação de película de segurança (filme) de poliéster (antivandalismo)</t>
  </si>
  <si>
    <t>3.2</t>
  </si>
  <si>
    <t>Remoção de películas e posterior limpeza da superfície</t>
  </si>
  <si>
    <t>Fornecimento e instalação de vidro incolor com 04 mm de espessura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</si>
  <si>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</si>
  <si>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Vidro Aramado, Espessura 7mm </t>
  </si>
  <si>
    <t>4.3</t>
  </si>
  <si>
    <t>Espelho Cristal Espessura 4mm, Com Moldura Em Aluminio E Compensado 6mm Plastificado Colado </t>
  </si>
  <si>
    <t>4.4</t>
  </si>
  <si>
    <t>Remoção de vidro comum</t>
  </si>
  <si>
    <t>Limpeza com esgotamento de caixa de gordura por caminhão limpa-fossa</t>
  </si>
  <si>
    <t>L</t>
  </si>
  <si>
    <t>Itens</t>
  </si>
  <si>
    <t>Siglas</t>
  </si>
  <si>
    <t>Preencher com valores dentro do intervalo admissível</t>
  </si>
  <si>
    <t>Taxa de rateio da Administração Central</t>
  </si>
  <si>
    <t>AC</t>
  </si>
  <si>
    <t>Taxa de Despesas Financeiras</t>
  </si>
  <si>
    <t>DF</t>
  </si>
  <si>
    <t>Taxa de Seguro e Garantia do Empreendimento</t>
  </si>
  <si>
    <t>S + G</t>
  </si>
  <si>
    <t>Taxa de Risco</t>
  </si>
  <si>
    <t>R</t>
  </si>
  <si>
    <t>Taxa de Tributos (Soma dos itens COFINS, ISS e PIS)</t>
  </si>
  <si>
    <t>I</t>
  </si>
  <si>
    <t>Imposto Sobre Serviços</t>
  </si>
  <si>
    <t>Variável conforme Localidade da Obra</t>
  </si>
  <si>
    <t>Programas de Integração Social e de Formação do Patrimônio do Servidor Público</t>
  </si>
  <si>
    <t>Lei Complementar nº 26, de 11 de setembro de 1975</t>
  </si>
  <si>
    <t>Contribuição para Financiamento da Seguridade Social</t>
  </si>
  <si>
    <t>Lei nº 10.833, de 29 de dezembro de 2003.</t>
  </si>
  <si>
    <t>Contribuição Previdenciária sobre a Receita Bruta</t>
  </si>
  <si>
    <t>Lei 12.546, de 14 de dezembro de 2011</t>
  </si>
  <si>
    <t>Taxa de Lucro</t>
  </si>
  <si>
    <r>
      <t xml:space="preserve">Fórmula BDI conforme </t>
    </r>
    <r>
      <rPr>
        <sz val="10"/>
        <rFont val="Arial"/>
        <family val="2"/>
      </rPr>
      <t>Acórdão n. 2.369/2011</t>
    </r>
    <r>
      <rPr>
        <b/>
        <sz val="10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e n. </t>
    </r>
    <r>
      <rPr>
        <sz val="10"/>
        <rFont val="Arial"/>
        <family val="2"/>
      </rPr>
      <t>2622/2013</t>
    </r>
    <r>
      <rPr>
        <sz val="11"/>
        <color theme="1"/>
        <rFont val="Calibri"/>
        <family val="2"/>
        <scheme val="minor"/>
      </rPr>
      <t>, ambos TCU - Plenário.</t>
    </r>
  </si>
  <si>
    <t>BDI resultante</t>
  </si>
  <si>
    <t>5.1</t>
  </si>
  <si>
    <t>5.2</t>
  </si>
  <si>
    <t>5.3</t>
  </si>
  <si>
    <t>5.4</t>
  </si>
  <si>
    <t>5.5</t>
  </si>
  <si>
    <t>Pintura com tinta alquídica de fundo e acabamento (esmalte sintético grafite) aplicada a rolo ou pincel sobre superfícies metálicas (exceto perfil) executado em obra (por demão)</t>
  </si>
  <si>
    <t>Aplicação manual de pintura com tinta látex acrílica em paredes, duas demãos</t>
  </si>
  <si>
    <t>Aplicação manual de pintura com tinta látex acrílica em teto, duas demãos</t>
  </si>
  <si>
    <t>TOTAL PARCIAL</t>
  </si>
  <si>
    <t>Lixamento manual em superfícies metálicas em obra</t>
  </si>
  <si>
    <t>5.6</t>
  </si>
  <si>
    <t>Aplicação e lixamento de massa látex em paredes, duas demãos.</t>
  </si>
  <si>
    <t>5.7</t>
  </si>
  <si>
    <t>Aplicação e lixamento de massa látex em teto, duas demãos</t>
  </si>
  <si>
    <t>Aplicação manual de pintura com tinta texturizada acrílica em superfícies externas de sacada de edifícios de múltiplos pavimentos, uma cor</t>
  </si>
  <si>
    <t>Pintura verniz (incolor) alquídico em madeira, uso interno e externo, 2 demãos</t>
  </si>
  <si>
    <t>Pintura</t>
  </si>
  <si>
    <t>5.8</t>
  </si>
  <si>
    <t>5.9</t>
  </si>
  <si>
    <t>5.10</t>
  </si>
  <si>
    <t>Pintura com tinta acrílica de acabamento aplicada a rolo ou pincel sobre superfícies metálicas (exceto perfil) executado em obra (por demão).</t>
  </si>
  <si>
    <t>SERVIÇO DE ENCARREGADO DE OBRA.DE MANUTENÇÃO (44 HORAS SEMANAIS)</t>
  </si>
  <si>
    <t>SERVIÇO DE ELETRICISTA (44 HORAS SEMANAIS) </t>
  </si>
  <si>
    <t>SERVIÇO DE ENCANADOR (44 HORAS SEMANAIS)</t>
  </si>
  <si>
    <t>SERVIÇO DE PEDREIRO (44 HORAS SEMANAIS)</t>
  </si>
  <si>
    <t>SERVIÇO DE AUXILIAR DE MANUTENÇÃO PREDIAL (88 HORAS SEMANAIS)</t>
  </si>
  <si>
    <t>AJUDANTE DE ELETRICISTA (44 HORAS SEMANAIS)</t>
  </si>
  <si>
    <t>Não incide</t>
  </si>
  <si>
    <t>BDI DIFERENCIADO</t>
  </si>
  <si>
    <t>BDI NORMAL</t>
  </si>
  <si>
    <t xml:space="preserve">BDI DIFERENCIADO </t>
  </si>
  <si>
    <t>TABELA RESUMO DA PROPOSTA</t>
  </si>
  <si>
    <t>Serviço Eventual</t>
  </si>
  <si>
    <t>3121-05</t>
  </si>
  <si>
    <t>9511-05</t>
  </si>
  <si>
    <t>7241-10</t>
  </si>
  <si>
    <t>7152-10</t>
  </si>
  <si>
    <t>7156-15</t>
  </si>
  <si>
    <t>DADOS PROCESSUAIS</t>
  </si>
  <si>
    <t>1 -</t>
  </si>
  <si>
    <t xml:space="preserve">Processo n.º: </t>
  </si>
  <si>
    <t>2 -</t>
  </si>
  <si>
    <t xml:space="preserve">Pregão Eletrônico n.º: </t>
  </si>
  <si>
    <t>3 -</t>
  </si>
  <si>
    <t xml:space="preserve">Data: </t>
  </si>
  <si>
    <t>4 -</t>
  </si>
  <si>
    <t xml:space="preserve">Horário: </t>
  </si>
  <si>
    <t>DISCRIMINAÇÃO DOS SERVIÇOS</t>
  </si>
  <si>
    <t>5 -</t>
  </si>
  <si>
    <t xml:space="preserve">Data da Apresentação da Proposta: </t>
  </si>
  <si>
    <t>6 -</t>
  </si>
  <si>
    <t>Município/UF:</t>
  </si>
  <si>
    <t>7 -</t>
  </si>
  <si>
    <t>Prazo de Execução Contratual:</t>
  </si>
  <si>
    <t>12 meses</t>
  </si>
  <si>
    <t>8 -</t>
  </si>
  <si>
    <t>Tipo de Serviço:</t>
  </si>
  <si>
    <t>SERVIÇOS DE MANUTENÇÃO PREDIAL</t>
  </si>
  <si>
    <t>9 -</t>
  </si>
  <si>
    <t>Unidade de Medida:</t>
  </si>
  <si>
    <t>POSTO DE SERVIÇO</t>
  </si>
  <si>
    <t>10 -</t>
  </si>
  <si>
    <t>Salário Mínimo Vigente:</t>
  </si>
  <si>
    <t>MÃO DE OBRA VINCULADA À EXECUÇÃO CONTRATUAL</t>
  </si>
  <si>
    <t>11 -</t>
  </si>
  <si>
    <t>Tipo de Serviço - (Cargo/Função):</t>
  </si>
  <si>
    <t>Encarregado</t>
  </si>
  <si>
    <t>12 -</t>
  </si>
  <si>
    <t>Classificação Brasileira de Ocupações (CBO):</t>
  </si>
  <si>
    <t>13 -</t>
  </si>
  <si>
    <t>Salário Normativo da Categoria:</t>
  </si>
  <si>
    <t>14 -</t>
  </si>
  <si>
    <t>CCT/Registro no MTE:</t>
  </si>
  <si>
    <t>15 -</t>
  </si>
  <si>
    <t>Data do Registro no MTE:</t>
  </si>
  <si>
    <t>16 -</t>
  </si>
  <si>
    <t>Data-Base da Categoria:</t>
  </si>
  <si>
    <t xml:space="preserve">17 - </t>
  </si>
  <si>
    <t>Jornada de Trabalho:</t>
  </si>
  <si>
    <t>08:00 - 17:00</t>
  </si>
  <si>
    <t xml:space="preserve">18 - </t>
  </si>
  <si>
    <t>Quantidade de postos:</t>
  </si>
  <si>
    <t xml:space="preserve">19 - </t>
  </si>
  <si>
    <t>Quantidade de Funcionários em cada posto:</t>
  </si>
  <si>
    <t xml:space="preserve">20 - </t>
  </si>
  <si>
    <t xml:space="preserve">Composição da Remuneração </t>
  </si>
  <si>
    <t xml:space="preserve">Valor (R$) </t>
  </si>
  <si>
    <t>A -</t>
  </si>
  <si>
    <t>Salário-Base</t>
  </si>
  <si>
    <t>B -</t>
  </si>
  <si>
    <r>
      <t xml:space="preserve">Adicional de Insalubridade (40% do Salário Mínimo) </t>
    </r>
    <r>
      <rPr>
        <b/>
        <sz val="10"/>
        <rFont val="Arial"/>
        <family val="2"/>
      </rPr>
      <t>OU</t>
    </r>
  </si>
  <si>
    <t xml:space="preserve">C - </t>
  </si>
  <si>
    <t>Adicional de Periculosidade (20% do salário Base)</t>
  </si>
  <si>
    <t>MÓDULO 2 - ENCARGOS E BENEFÍCIOS ANUAIS, MENSAIS E DIÁRIOS</t>
  </si>
  <si>
    <t>Submódulo 2.1 - 13º (Décimo Terceiro) Salário, Férias e Adicional de Férias</t>
  </si>
  <si>
    <t>Perc. (%)</t>
  </si>
  <si>
    <t>Férias e Adicional de Férias</t>
  </si>
  <si>
    <t>Total do Submódulo 2.1</t>
  </si>
  <si>
    <t>Submódulo 2.2 - Encargos Previdenciários, FGTS e Outras Contribuições</t>
  </si>
  <si>
    <t>C -</t>
  </si>
  <si>
    <t>D -</t>
  </si>
  <si>
    <t>E -</t>
  </si>
  <si>
    <t>F -</t>
  </si>
  <si>
    <t>G -</t>
  </si>
  <si>
    <t>H -</t>
  </si>
  <si>
    <t>Total do Submódulo 2.2</t>
  </si>
  <si>
    <t>Vl. Ref. (R$)</t>
  </si>
  <si>
    <t>Auxílio Transporte</t>
  </si>
  <si>
    <t xml:space="preserve">Auxílio Alimentação </t>
  </si>
  <si>
    <t>Auxílio Saúde/Plano Ambulatorial</t>
  </si>
  <si>
    <t>Assistência Odontológica</t>
  </si>
  <si>
    <t>Assistência Funeral</t>
  </si>
  <si>
    <t xml:space="preserve">F - </t>
  </si>
  <si>
    <t>Auxílio Lazer/Cultura</t>
  </si>
  <si>
    <t>Total do Submódulo 2.3</t>
  </si>
  <si>
    <t>Submódulo 2.4 - Intervalo Intrajornada do Titular</t>
  </si>
  <si>
    <t>Horas no mês</t>
  </si>
  <si>
    <t>Intrajornada do Titular</t>
  </si>
  <si>
    <t>Total do Submódulo 2.4</t>
  </si>
  <si>
    <t>RESUMO DO MÓDULO 2 - Encargos e Benefícios Anuais, Mensais e Diários</t>
  </si>
  <si>
    <t>2.1 -</t>
  </si>
  <si>
    <t>13º (Décimo Terceiro) Salário, Férias e Adicional de Férias</t>
  </si>
  <si>
    <t>2.2 -</t>
  </si>
  <si>
    <t>Encargos Previdenciários, FGTS e Outras Contribuições</t>
  </si>
  <si>
    <t>2.3 -</t>
  </si>
  <si>
    <t>Intervalo Intrajornada do Titular</t>
  </si>
  <si>
    <t>MÓDULO 3 - PROVISÃO PARA RESCISÃO</t>
  </si>
  <si>
    <t>Provisão para Rescisão</t>
  </si>
  <si>
    <t>Aviso-Prévio Indenizado</t>
  </si>
  <si>
    <t>Multa do FGTS sobre o Aviso Prévio Indenizado</t>
  </si>
  <si>
    <t>Incidência dos Encargos do Submódulo 2.2 sobre o Aviso-Prévio Trabalhado</t>
  </si>
  <si>
    <t>Multa do FGTS sobre o Aviso-Prévio Trabalhado</t>
  </si>
  <si>
    <t>MÓDULO 4 - CUSTO DE REPOSIÇÃO DO PROFISSIONAL AUSENTE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</si>
  <si>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</si>
  <si>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</si>
  <si>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</si>
  <si>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</si>
  <si>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 Afastamento Maternidade</t>
  </si>
  <si>
    <t>Total do Submódulo 4.1</t>
  </si>
  <si>
    <t>Total do Submódulo 4.2</t>
  </si>
  <si>
    <t>RESUMO DO MÓDULO 4 - Custo de Reposição do Profissional Ausente</t>
  </si>
  <si>
    <t>4.1 -</t>
  </si>
  <si>
    <t>4.2 -</t>
  </si>
  <si>
    <t>MÓDULO 5 - INSUMOS DIVERSOS</t>
  </si>
  <si>
    <t>Insumos Diversos</t>
  </si>
  <si>
    <t xml:space="preserve">B - </t>
  </si>
  <si>
    <t>MÓDULO 6 - CUSTOS INDIRETOS, LUCRO E TRIBUTOS</t>
  </si>
  <si>
    <t>Custos Indiretos, Tributos e Lucro</t>
  </si>
  <si>
    <t>C.1) Tributos Federais (especificar)</t>
  </si>
  <si>
    <t xml:space="preserve">        COFINS - (LUCRO REAL)</t>
  </si>
  <si>
    <t xml:space="preserve">        PIS - (LUCRO REAL)</t>
  </si>
  <si>
    <t>C.2) Tributos Estaduais (especificar)</t>
  </si>
  <si>
    <t>C.3) Tributos Municipais (especificar)</t>
  </si>
  <si>
    <t xml:space="preserve">        ISS</t>
  </si>
  <si>
    <t>QUADRO - RESUMO DO CUSTO POR EMPREGADO</t>
  </si>
  <si>
    <t>Mão de obra vinculada à execução contratual (valor por posto de trabalho)</t>
  </si>
  <si>
    <t>Módulo 1 - Composição da Remuneração</t>
  </si>
  <si>
    <t>Módulo 3 - Provisão para Rescisão</t>
  </si>
  <si>
    <t>Módulo 5 - Insumos Diversos</t>
  </si>
  <si>
    <t>Subtotal =&gt; (A+B+C+D+E)</t>
  </si>
  <si>
    <t>Módulo 6 - Custos Indiretos, Lucro e Tributos</t>
  </si>
  <si>
    <t>TOTAL POR EMPREGADO =&gt; (A+B+C+D+E+F)</t>
  </si>
  <si>
    <t xml:space="preserve">       Custos Indiretos diversos</t>
  </si>
  <si>
    <t xml:space="preserve">13º (Décimo Terceiro) Salário                                   </t>
  </si>
  <si>
    <t xml:space="preserve">INSS - Art. 22, Inciso I, da Lei nº 8.212/91                                                                                    </t>
  </si>
  <si>
    <t xml:space="preserve">Salário Educação - Art. 3º, Inciso I, Decreto n.º 87.043/82                                               </t>
  </si>
  <si>
    <t xml:space="preserve">Seguro Acidente de Trabalho (RAT x FAP) - Decreto nº 3.048/99 </t>
  </si>
  <si>
    <t xml:space="preserve">SESC ou SESI - Art. 3º, Lei n.º 8.036/90 </t>
  </si>
  <si>
    <t>SENAI - SENAC - Decreto n.º 2.318/86</t>
  </si>
  <si>
    <t xml:space="preserve">SEBRAE - Art. 8º, Lei n.º 8.029/90 e Lei n.º 8.154/90                                          </t>
  </si>
  <si>
    <t xml:space="preserve">INCRA - Lei n.º 7.787/89 e DL n.º 1.146/70                          </t>
  </si>
  <si>
    <t xml:space="preserve">FGTS - Art. 15, Lei nº 8.030/90 e Art. 7º, III, CF                                                                      </t>
  </si>
  <si>
    <r>
      <t xml:space="preserve">Aviso-Prévio Trabalhado      </t>
    </r>
    <r>
      <rPr>
        <i/>
        <sz val="8"/>
        <color indexed="8"/>
        <rFont val="Arial"/>
        <family val="2"/>
      </rPr>
      <t/>
    </r>
  </si>
  <si>
    <t>ELETRICISTA</t>
  </si>
  <si>
    <t>ENCANADOR</t>
  </si>
  <si>
    <t>PEDREIRO</t>
  </si>
  <si>
    <t>AUXILIAR ELETRICISTA</t>
  </si>
  <si>
    <t>SERVENTE</t>
  </si>
  <si>
    <t>TARIFA METRÔ/DF</t>
  </si>
  <si>
    <t>CONVENÇÃO COLETIVA DE TRABALHO 2019/2021</t>
  </si>
  <si>
    <t>SINAPI 40864</t>
  </si>
  <si>
    <t>SINAPI 95422</t>
  </si>
  <si>
    <t>SINAPI 43475</t>
  </si>
  <si>
    <t>SINAPI 43499</t>
  </si>
  <si>
    <t>SINAPI 101313</t>
  </si>
  <si>
    <t>SINAPI 43472</t>
  </si>
  <si>
    <t>SINAPI 43496</t>
  </si>
  <si>
    <t>SINAPI 101316</t>
  </si>
  <si>
    <t>SINAPI 43473</t>
  </si>
  <si>
    <t>SINAPI 43497</t>
  </si>
  <si>
    <t>SINAPI 101357</t>
  </si>
  <si>
    <t>SINAPI 43477</t>
  </si>
  <si>
    <t>SINAPI 43501</t>
  </si>
  <si>
    <t>SINAPI 101364</t>
  </si>
  <si>
    <t>SINAPI 43479</t>
  </si>
  <si>
    <t>SINAPI 43503</t>
  </si>
  <si>
    <t>Total de Funcionários:</t>
  </si>
  <si>
    <t>SINAPI 101287</t>
  </si>
  <si>
    <t>Itens 3.2 e 4.4 Sinapi 85421 não constam na tabela SINAPI-RN 03/2021, foram substituidos por SINAPI RN 102190 - Remoção de Vidro Liso Comum de Esquadria com Baguete de Madeira.</t>
  </si>
  <si>
    <t>Item 4.1 Sinapi 72117 não consta na tabela SINAPI-RN 03/2021, foi substituido por SIPAPI RN 102152 - Instalação de Vidro Liso, E=4mm, em esquadria de maeira, fixado com baguete.</t>
  </si>
  <si>
    <t>Item 4.2 Sinapi 72123 não consta na tabela SINAPI-RN 03/2021, foi substituido por SINAPI RN 102172 - Instalação de Vidro Aramado, E=7mm, em esquadria de alumínio ou PVC, fixado com baguete.</t>
  </si>
  <si>
    <t>Item 4.3 Sinapi 74125/002  não consta na tabela SINAPI-RN 03/2021, foi substituido por SINAPI RN 11186 - Espelho Cristal E=4mm</t>
  </si>
  <si>
    <t>NÚMERO DE REGISTRO NO MTE:</t>
  </si>
  <si>
    <t>DATA DE REGISTRO NO MTE:</t>
  </si>
  <si>
    <t>NÚMERO DA SOLICITAÇÃO:</t>
  </si>
  <si>
    <t>NÚMERO DO PROCESSO:</t>
  </si>
  <si>
    <t>DATA DO PROTOCOLO:</t>
  </si>
  <si>
    <t>B1 -</t>
  </si>
  <si>
    <t>Café da manhã</t>
  </si>
  <si>
    <t>CONVENÇÃO COLETIVA DE TRABALHO 2021/2023 - (2 pães + manteiga + café)</t>
  </si>
  <si>
    <t>Ferramenta</t>
  </si>
  <si>
    <t>Quantitativo</t>
  </si>
  <si>
    <t>*</t>
  </si>
  <si>
    <t>Alavanca de aço, Sextavada 150cm</t>
  </si>
  <si>
    <t>Alicate Bico chato e longo isolado 6” - 1.000V</t>
  </si>
  <si>
    <t>Alicate Bomba D água isolado 1.000V</t>
  </si>
  <si>
    <t>Alicate de corte diagonal isolado 6” - 1.000V</t>
  </si>
  <si>
    <t>Alicate de Pressão 11 " para solda Tipo C</t>
  </si>
  <si>
    <t>Alicate para cortar cabo isolado 260MM com isolamento 1.000V</t>
  </si>
  <si>
    <t>Alicate Universal isolado 8” - 1.000V</t>
  </si>
  <si>
    <t>alicate wattímetro digital (conforme norma norma iec 61010-1 )​</t>
  </si>
  <si>
    <t>Amperímetro digital do tipo alicate, Corrente AC 60 a 1000A, Detecção Tensão Sem Contato, CAT IV</t>
  </si>
  <si>
    <t>Arco serra p/ metais (12")</t>
  </si>
  <si>
    <t>Balde Galvanizado para Concreto 10 Litros</t>
  </si>
  <si>
    <t>Balde para concreto (plástico, 10L)</t>
  </si>
  <si>
    <t>Esponja para limpeza, dupla face</t>
  </si>
  <si>
    <t>Caixa para ferramentas tipo sanfona com 5 gavetas em aço</t>
  </si>
  <si>
    <t>Carrinho de mão aço capacidade 50 a 60 L</t>
  </si>
  <si>
    <t>Cavadeira Articulada com cabo de madeira, 150 CM</t>
  </si>
  <si>
    <t>Cavadeira Reta com cabo de madeira, 120 CM</t>
  </si>
  <si>
    <t>Chave Inglesa AJUSTÁVEL, 10"</t>
  </si>
  <si>
    <t>Chave para tubo nº 10" (EM AÇO)</t>
  </si>
  <si>
    <t>Chave para tubo nº 24" (EM AÇO)</t>
  </si>
  <si>
    <t>Chave para tubo nº 36" (EM AÇO)</t>
  </si>
  <si>
    <t>Chave para tubo nº 48" (EM AÇO)</t>
  </si>
  <si>
    <t>chave phillips 6x200mm</t>
  </si>
  <si>
    <t>Chave de teste de voltagem digital 12v a 220v</t>
  </si>
  <si>
    <t>Picareta estreita cabo madeira 90cm</t>
  </si>
  <si>
    <t>Colher de Pedreiro Canto Reto Comp 9" com cabo madeira</t>
  </si>
  <si>
    <t>Corda poliamida 12,5 mm Carga de ruptura (+-) 5% 42,3 (KN) - 4.330 (kgf) - peça de 30 m</t>
  </si>
  <si>
    <t>Tesoura Corta vergalhão para uso pesado – 12"</t>
  </si>
  <si>
    <t>Tesoura Corta vergalhão para uso pesado – 36”</t>
  </si>
  <si>
    <t>Desempenadeira de aço dentada 12 x25 cabo fechado de madeira</t>
  </si>
  <si>
    <t>Desempenadeira de aço lisa com cabo fechado de madeira</t>
  </si>
  <si>
    <t>Escada dupla de abrir em alumínio, modelo pinto, 8 degraus</t>
  </si>
  <si>
    <t>Escada extensível em alumínio com 3m estendida</t>
  </si>
  <si>
    <t>Enxada estreita com cabo</t>
  </si>
  <si>
    <t>Escova de aço com cabo fileira de cerdas</t>
  </si>
  <si>
    <t>Espátula de aço inox 8 cm cabo de madeira</t>
  </si>
  <si>
    <t>Espátula de aço temperado 100mm com cabo plástico​</t>
  </si>
  <si>
    <t>Espátula PVC lisa (tamanho médio)</t>
  </si>
  <si>
    <t>Esquadro de aço 12" cabo de alumínio</t>
  </si>
  <si>
    <t>Estilete 18mm</t>
  </si>
  <si>
    <t>Furadeira de impacto industrial 800W</t>
  </si>
  <si>
    <t>Grampo</t>
  </si>
  <si>
    <t>Jogo de chaves Phillips e chave de fenda, 12 peças,  isolada 1.000V</t>
  </si>
  <si>
    <t>Jogo de Brocas c/acessórios 110 peças</t>
  </si>
  <si>
    <t>Kit de Serras Copo 13 peças</t>
  </si>
  <si>
    <t>Kit de discos de corte para ferro  1.1/2" – 5 unidades</t>
  </si>
  <si>
    <t>Kit de disco de corte para madeira - 5 peças</t>
  </si>
  <si>
    <t>Lanterna grande recarregável, bivolt, luz led,  Consumo de luz ininterrupta maior ou igual a 20 horas</t>
  </si>
  <si>
    <t>Lápis de carpinteiro 18 cm</t>
  </si>
  <si>
    <t>Lima 1/2 cana, 6"</t>
  </si>
  <si>
    <t>Lona plástica preta - 4 x 100 m - 12 kg</t>
  </si>
  <si>
    <t>Mangueira cristal para nível, lisa, pvc transparente 3/8 x 1,5mm - 20m</t>
  </si>
  <si>
    <t>cortador para piso e azulejo 90cm</t>
  </si>
  <si>
    <t>Marreta ½ Kg cabo de madeira</t>
  </si>
  <si>
    <t>Marreta de 2kg com cabo de madeira</t>
  </si>
  <si>
    <t>Marreta de 3kg com cabo de madeira</t>
  </si>
  <si>
    <t>Marreta de 5kg com cabo de madeira</t>
  </si>
  <si>
    <t>Martelo Rompedor 1500 Watts, 6 velocidades, 220V, Força de impacto: 25J</t>
  </si>
  <si>
    <t>Martelo de borracha preto - 450 g - cabo de madeira - 40 mm</t>
  </si>
  <si>
    <t>Martelo tipo unha 29mm</t>
  </si>
  <si>
    <t>Nível de bolha de mão em alumínio, 3 bolhas</t>
  </si>
  <si>
    <t>Pá de bico com cabo em madeira 71 cm</t>
  </si>
  <si>
    <t>Pá quadrada nº 3, 71 cm</t>
  </si>
  <si>
    <t>Passa fio alma de aço 20m</t>
  </si>
  <si>
    <t>Pé de cabra 36 "</t>
  </si>
  <si>
    <t>Peneira para areia, aro 60 cm</t>
  </si>
  <si>
    <t>Ponteiro aço liso 3/4" x 10"</t>
  </si>
  <si>
    <t>Porta Ferramentas para cintura</t>
  </si>
  <si>
    <t>Prumo de face</t>
  </si>
  <si>
    <t>Régua de alumínio 1m</t>
  </si>
  <si>
    <t>38379*</t>
  </si>
  <si>
    <t>Régua de alumínio 2m</t>
  </si>
  <si>
    <t>Linha para Pedreiro Rolo com 100 Metros</t>
  </si>
  <si>
    <t>Serra 12" (do arco de serra)</t>
  </si>
  <si>
    <t>Serra Mármore 5", 1500 W</t>
  </si>
  <si>
    <t>Serrote carpinteiro 22"</t>
  </si>
  <si>
    <t>Talhadeira aço chato 10"</t>
  </si>
  <si>
    <t>Testador de tensão bipolar c/ led - até 1000 V</t>
  </si>
  <si>
    <t>Morsa/ Torno de bancada profissional número 2</t>
  </si>
  <si>
    <t>Torquês 10"</t>
  </si>
  <si>
    <t>Trena 50m</t>
  </si>
  <si>
    <t>Trena de bolso 10m</t>
  </si>
  <si>
    <t>Container Almoxarifado, padrão simples sem revestimento</t>
  </si>
  <si>
    <t>Betoneira 400l, capacidade de mistura 280l, motor elétrico trifásico</t>
  </si>
  <si>
    <t>Jogo de chave "L"</t>
  </si>
  <si>
    <t>Jogo de chave Allen</t>
  </si>
  <si>
    <t>TOTAL</t>
  </si>
  <si>
    <t>SINAPI XX/2021</t>
  </si>
  <si>
    <t>Custo Unitário</t>
  </si>
  <si>
    <t>VALOR RATEADO PELA MÃO DE OBRA (7 PROFISSIONAIS)</t>
  </si>
  <si>
    <t>CONVENÇÃO COLETIVA DE TRABALHO 2021/2022</t>
  </si>
  <si>
    <t>Vidro</t>
  </si>
  <si>
    <t>Sinapi 97648</t>
  </si>
  <si>
    <t>Sinapi 97631</t>
  </si>
  <si>
    <t>Sinapi 98555</t>
  </si>
  <si>
    <t>Sinapi 98547</t>
  </si>
  <si>
    <t>Sinapi 98561</t>
  </si>
  <si>
    <t>Sinapi 98563</t>
  </si>
  <si>
    <t>Painel de Compras do Governo - Ministério da Educação 16527</t>
  </si>
  <si>
    <t>Sinapi 34744</t>
  </si>
  <si>
    <t>Sinapi 102190</t>
  </si>
  <si>
    <t>Sinapi 102152</t>
  </si>
  <si>
    <t>Sinapi 102172</t>
  </si>
  <si>
    <t>Sinapi 11186</t>
  </si>
  <si>
    <t>Sinapi 88489</t>
  </si>
  <si>
    <t>Sinapi 88488</t>
  </si>
  <si>
    <t>Sinapi 88497</t>
  </si>
  <si>
    <t>Sinapi 88496</t>
  </si>
  <si>
    <t>SINAPI 100736</t>
  </si>
  <si>
    <t>SINAPI 102213</t>
  </si>
  <si>
    <t>SINAPI 88417</t>
  </si>
  <si>
    <t>SINAPI 88497</t>
  </si>
  <si>
    <t>SINAPI 100724</t>
  </si>
  <si>
    <t>SINAPI 100717</t>
  </si>
  <si>
    <t>SINAPI</t>
  </si>
  <si>
    <t>Equipamento</t>
  </si>
  <si>
    <t>Quantidade</t>
  </si>
  <si>
    <t>Medidor de resistência de aterramento (terrômetro digital)</t>
  </si>
  <si>
    <t>Megôhmetro de 1000 V</t>
  </si>
  <si>
    <t>EQUIPAMENTOS, APARELHOS E FERRAMENTAL BÁSICO​</t>
  </si>
  <si>
    <t>ANEXO K-2</t>
  </si>
  <si>
    <t>COMPOSIÇÃO DE CUSTO DA ADMINISTRAÇÃO</t>
  </si>
  <si>
    <t>Vida Útil
(anos)</t>
  </si>
  <si>
    <t>Depreciação Mensal (%)</t>
  </si>
  <si>
    <t>Depreciação Mensal (R$)</t>
  </si>
  <si>
    <t>Valor Mensal
(R$)</t>
  </si>
  <si>
    <r>
      <t xml:space="preserve">       Trecho sem Transporte Público </t>
    </r>
    <r>
      <rPr>
        <b/>
        <u/>
        <sz val="10"/>
        <color rgb="FFFF0000"/>
        <rFont val="Arial"/>
        <family val="2"/>
      </rPr>
      <t>(conforme item 14.26 do Termo de Referência)</t>
    </r>
  </si>
  <si>
    <t>PLANILHA DE SERVIÇOS ESPECIALIZADOS</t>
  </si>
  <si>
    <t>QTD</t>
  </si>
  <si>
    <t>VALOR</t>
  </si>
  <si>
    <t>Cotação</t>
  </si>
  <si>
    <t>Locação de Conjunto de Solda Com regulagem de Oxig./Acetil. Maçarico Acompanhado d</t>
  </si>
  <si>
    <t>Câmera Speed Dome</t>
  </si>
  <si>
    <t>Camera Tipo Dome 1080P</t>
  </si>
  <si>
    <t>Câmera 40 Metros 720p</t>
  </si>
  <si>
    <t>Câmera 30 Metros 1080p</t>
  </si>
  <si>
    <t>Balum Passivo para Câmera Full HD</t>
  </si>
  <si>
    <t>Microfone</t>
  </si>
  <si>
    <t>Gravador de Imagem Full HD</t>
  </si>
  <si>
    <t>HD 4TB para CFTV</t>
  </si>
  <si>
    <t>Fonte 10A</t>
  </si>
  <si>
    <t>Power Balun Full HD 16 canais</t>
  </si>
  <si>
    <t>Video Porteiro</t>
  </si>
  <si>
    <t>Adaptador BNC para RCA</t>
  </si>
  <si>
    <t>Conector P4 Macho Borne</t>
  </si>
  <si>
    <t>Tecnico em TI</t>
  </si>
  <si>
    <t>Ajudante Especializado em TI</t>
  </si>
  <si>
    <t>Confecção de Placa em Lona 440 Gramas com Estrutura Metálica em Metalon e Refletor</t>
  </si>
  <si>
    <t>FECHO / FECHADURA COM PUXADOR CONCHA, COM TRANCA TIPO TRAVA, PARA JANELA /</t>
  </si>
  <si>
    <t>TRILHO EM ALUMINIO "U", COM ABAULADO PARA ROLDANA DE PORTA DE CORRER, *40 X 40*</t>
  </si>
  <si>
    <t>GUARNICAO/MOLDURA DE ACABAMENTO PARA ESQUADRIA DE ALUMINIO ANODIZADO</t>
  </si>
  <si>
    <t>ROLDANA CONCOVA DUPLA, EM CHAPA DE ACO, ROLAMENTO INTERNO BLINDADO DE ACO</t>
  </si>
  <si>
    <t>VIDRACEIRO COM ENCARGOS COMPLEMENTARES</t>
  </si>
  <si>
    <t>AJUDANTE ESPECIALIZADO COM ENCARGOS COMPLEMENTARES</t>
  </si>
  <si>
    <t>Confecção e Instalação de Escada e Portas Venezianas</t>
  </si>
  <si>
    <t xml:space="preserve">Confecção e Instalação de Estrutura Metálica no Alojamento </t>
  </si>
  <si>
    <t>Confecção de Placas para Auditório</t>
  </si>
  <si>
    <t>Fornecimento e Instalação de Adesivo Perfurado Impresso Com Brasão do SPF</t>
  </si>
  <si>
    <t>Remoção, Preparação do Local, Fornecimento e Instalação de Adesivo Impresso com Bra</t>
  </si>
  <si>
    <t>SERVIÇO DE TROCA DE CONEXÕES</t>
  </si>
  <si>
    <t>SERVIÇO DE TROCA DE PEÇAS NA BOMBA CENTRIFUGA 7.5CV TRIFÂSICO;</t>
  </si>
  <si>
    <t>CONSERTO DA BOMBA 7.5CV DANCOR;</t>
  </si>
  <si>
    <t>SERVIÇO DE REBOBINAGEM,TORNO E MANUTENÇÃO NA BOMBA DE ESGOTO 4CVTF</t>
  </si>
  <si>
    <t>SERVIÇO DE MANUTENÇÃO NA BOMBA DA ETE 4CV TRIFÂSICO;</t>
  </si>
  <si>
    <t>SERVIÇO DE MANUTENÇÃO NA BOMBA SUB 5CV VANBROTRIFÂSICO</t>
  </si>
  <si>
    <t>SERVIÇO NA BOMBA DA ETE COM REBOBINAGEM, TROCA DE SELO, ROUVMENTOS.</t>
  </si>
  <si>
    <t>SERVIÇO NA MOTOBOMBA 3CV TRIFÁSICC COM REBOBINAGEM,TROCA DE ROLAMEf</t>
  </si>
  <si>
    <t>SERVIÇO NA BOMBA 3CV TRIFÂSICO FAMAC.COM REBOBINAGEM,TROCA DE ROLAME</t>
  </si>
  <si>
    <t>SERVIÇO NA BOMBA SUBMERSiVEL DA ETE 4CV.COM TROCA SELE MECÂNICO,ROLA</t>
  </si>
  <si>
    <t>SERVIÇO NO MOTOR DE 1CV 4P COM REBOBINAGEM,TROCA DE ROLAMENTO E MÃO</t>
  </si>
  <si>
    <t>SERVIÇO DE TROCA DE ROTOR DA BOMBA DA ETE 4CV;</t>
  </si>
  <si>
    <t>SERVIÇO NA BOMBA CENTRIFUGA DANCOR 7,5CV TROF,COM REBOBINAGEM.TROCA</t>
  </si>
  <si>
    <t>SERVIÇO NA BOMBASUB ETE 3CV,C0M REBOBINAGEM, TROCA DE ROLAMENTOS,SE</t>
  </si>
  <si>
    <t>SERVIÇO DE UM MOTOR DE PORTÃO COM MÃO DEOBRA.</t>
  </si>
  <si>
    <t>Serviços Diversos de Serralheria</t>
  </si>
  <si>
    <t>Aplicação de Forro de Gesso e confecção de Bancada de Granito</t>
  </si>
  <si>
    <t>Infraeestrutura de Rede Lógica e Elétrica</t>
  </si>
  <si>
    <t>FECHADURA C/ CILINDRO LATAO CROMADO P/ PORTA VIDRO TP AROUCA 2171-L OU EQUIV</t>
  </si>
  <si>
    <t>BARRA DE APOIO RETA, EM ALUMINIO, COMPRIMENTO 90 CM, DIAMETRO MINIMO 3 CM</t>
  </si>
  <si>
    <t>PUXADOR TUBULAR RETO, DUPLO, EM ALUMINIO POLIDO, DIAMETRO APROX.DE 1",</t>
  </si>
  <si>
    <t>PERFIL DE BORRACHA EPDM MACICO *12 X 15* MM PARA ESQUADRIAS</t>
  </si>
  <si>
    <t>PARAFUSO DE ACO ZINCADO COM ROSCA SOBERBA, CABECA CHATA E FENDA SIMPLES,</t>
  </si>
  <si>
    <t>SILICONE ACETICO USO GERAL INCOLOR 280 G</t>
  </si>
  <si>
    <t>ROLDANA DUPLA, EM ZAMAC COM CHAPA DE LATAO, ROLAMENTOS EM ACO, PARA PORTA E</t>
  </si>
  <si>
    <t>CONFECÇÃO E INSTALAÇAO DE PORTA EM VENEZIANACEGA, COM MEDIDAS DE</t>
  </si>
  <si>
    <t>ESPELHO CRISTAL E = 4 MM</t>
  </si>
  <si>
    <t>CABO DE COBRE, FLEXIVEL, CLASSE 4 OU 5, ISOLACAO EM PVC/A, ANTICHAMA BWF-B,</t>
  </si>
  <si>
    <t>TERMINAL METALICO A PRESSAO PARA 1 CABO DE 240 MM2, COM 1 FURO DE FIXACAO</t>
  </si>
  <si>
    <t>DISPOSITIVO DPS CLASSE II, 1 POLO, TENSAO MAXIMA DE 175 V, CORRENTE MAXIMA DE *90*</t>
  </si>
  <si>
    <t>ELETROTÉCNICO COM ENCARGOS COMPLEMENTARES</t>
  </si>
  <si>
    <t>Luva termoretratil para cabo 240mm²</t>
  </si>
  <si>
    <t>Parafuso sextavado para conector 240mm</t>
  </si>
  <si>
    <t>Bisnaga de silicone branca</t>
  </si>
  <si>
    <t>Fita isolante amarelo,branco e vermelho</t>
  </si>
  <si>
    <t>Contatora ABB AF580-30</t>
  </si>
  <si>
    <t>Terminal ilhos 4mm</t>
  </si>
  <si>
    <t>Limpa contato</t>
  </si>
  <si>
    <t>Cabo de proteção e contra incendio</t>
  </si>
  <si>
    <t>Kit calefator 100W</t>
  </si>
  <si>
    <t>Rele eletromecanico de 70a</t>
  </si>
  <si>
    <t>Carregador de bateria para moto estaconario</t>
  </si>
  <si>
    <t>Filtro separador</t>
  </si>
  <si>
    <t>Indicador de nivel de combustivel 24v</t>
  </si>
  <si>
    <t xml:space="preserve">Sensor nivel de combustivel </t>
  </si>
  <si>
    <t>Adaptador galvanizado 2''</t>
  </si>
  <si>
    <t>Cabo de controle e comando blindado</t>
  </si>
  <si>
    <t xml:space="preserve">Conexão galvanizada ¾ </t>
  </si>
  <si>
    <t>Niple galvanizado ¾</t>
  </si>
  <si>
    <t>Registro metalico 90°, galvanizado ¾</t>
  </si>
  <si>
    <t xml:space="preserve">Olhal para combustivel </t>
  </si>
  <si>
    <t xml:space="preserve">Mangueira emborrachada ¾ </t>
  </si>
  <si>
    <t xml:space="preserve">Filtros para piscina F75P </t>
  </si>
  <si>
    <t>Tampas para caixa d'água de 15.000l</t>
  </si>
  <si>
    <t>GRANITO PARA BANCADA, POLIDO, TIPO ANDORINHA/ QUARTZ/ CASTELO/ CORUMBA</t>
  </si>
  <si>
    <t>BUCHA DE NYLON SEM ABA S12, COM PARAFUSO DE 5/16" X 80 MM EM ACO ZINCADO COM</t>
  </si>
  <si>
    <t>ARGAMASSA COLANTE TIPO ACIII E</t>
  </si>
  <si>
    <t>SUPORTE MAO-FRANCESA EM ACO, ABAS IGUAIS 40 CM, CAPACIDADE MINIMA 70 KG,</t>
  </si>
  <si>
    <t>MARMORISTA / GRANITEIRO</t>
  </si>
  <si>
    <t>AJUDANTE ESPECIALIZADO</t>
  </si>
  <si>
    <t>VIDRACEIRO</t>
  </si>
  <si>
    <t>Bomba filtro ETE 3CV trifásica</t>
  </si>
  <si>
    <t>Bombas submersas</t>
  </si>
  <si>
    <t>VIDEO BALUN 16 CANAIS VBP A 16/PN</t>
  </si>
  <si>
    <t>TECNICO EM CABLE</t>
  </si>
  <si>
    <t>TECNICO EM CFTV</t>
  </si>
  <si>
    <t>CONCRETO USINADO BOMBEAVEL, CLASSE DE RESISTENCIA C30, COM BRITA 0 E 1, SLUMP</t>
  </si>
  <si>
    <t>VIBRADOR DE IMERSÃO, DIÂMETRO DE PONTEIRA 45MM, MOTOR ELÉTRICO TRIFÁSI</t>
  </si>
  <si>
    <t xml:space="preserve">TOTAL ESTIMADO </t>
  </si>
  <si>
    <t>FECHADURA , EM ACO INOX ACAB CROMADO, MAQUINA DE 55 MM</t>
  </si>
  <si>
    <t>Fonte: http://www.portaldefinancas.com/incc_m_fgv.htm</t>
  </si>
  <si>
    <t>Índice de Inflação</t>
  </si>
  <si>
    <t>Inflação registrada pelo INCC-M/FGV</t>
  </si>
  <si>
    <t>INCC-M/FGV - Fechamento do mês - 2021</t>
  </si>
  <si>
    <t>Mês</t>
  </si>
  <si>
    <t>Índice</t>
  </si>
  <si>
    <t>Nº índice</t>
  </si>
  <si>
    <t>Desde Jan/1993</t>
  </si>
  <si>
    <t>Dez/1992=1,00</t>
  </si>
  <si>
    <t>Do mês</t>
  </si>
  <si>
    <t>Acumulado</t>
  </si>
  <si>
    <t>No ano</t>
  </si>
  <si>
    <t>Nos últimos</t>
  </si>
  <si>
    <t>Atualizar cotação</t>
  </si>
  <si>
    <t>Valor total da Cotação</t>
  </si>
  <si>
    <t>Os valores unitários foram obtidos através da pesquisa de preços contidas no processo em tela</t>
  </si>
  <si>
    <t>Pesquisa de preços (341,35 reais / 12 meses)</t>
  </si>
  <si>
    <t>Fonte</t>
  </si>
  <si>
    <t>Mossoró/RN</t>
  </si>
  <si>
    <t xml:space="preserve">RN000104/2021 </t>
  </si>
  <si>
    <t xml:space="preserve">MR015936/2021 </t>
  </si>
  <si>
    <t>14021.139845/2021-93</t>
  </si>
  <si>
    <t>http://www3.mte.gov.br/sistemas/mediador/</t>
  </si>
  <si>
    <t xml:space="preserve">Item 14 do Anexo XII da IN 05/2017 MPDG (Percentual a ser recolhido para a Conta Vinculada) </t>
  </si>
  <si>
    <t>Explicação da memória de cálculo: Portal L&amp;C (www.licitacaoecontrato.com.br). Menu L&amp;C Comenta. Artigo: Por que a Planilha de Custos apresenta "duas férias"?</t>
  </si>
  <si>
    <t>O SAT a depender do grau de risco do serviço irá variar entre 1%, para risco leve, de 2%, para risco médio, e de 3% de risco grave. (Valor Limite: 3 RAT x 2 FAP)</t>
  </si>
  <si>
    <t>CLÁUSULA DÉCIMA SEXTA - CESTA BÁSICA. CCT: RN000104/2021</t>
  </si>
  <si>
    <t>CUSTO INDIRETO TRANSPORTE TRECHO SEM TRANSPORTE PÚBLICO P/ FUNCIONÁRIO</t>
  </si>
  <si>
    <t>Percentual definido a critério da empresa licitante. Limite definido pelo TCU: 5%</t>
  </si>
  <si>
    <t>Percentual definido a critério da empresa licitante. Limite definido pelo TCU: 10%</t>
  </si>
  <si>
    <t>Tributação: Lucro Real (Valor Máximo para fins de estimativa)</t>
  </si>
  <si>
    <t>Fornecimento de insumos previstos e descritos nas tabelas SINAPI no Estado do RIO GRANDE DO NORTE</t>
  </si>
  <si>
    <t>Serviços especializados, com fornecimento de insumos previstos e descritos nas tabelas SINAPI no Estado do RIO GRANDE DO NORTE.</t>
  </si>
  <si>
    <t>R$ 288.064,30
VALOR FIXO</t>
  </si>
  <si>
    <t>R$ 346.706,10
VALOR FIXO</t>
  </si>
  <si>
    <t>Depreciação de equipamentos e ferramental</t>
  </si>
  <si>
    <t>A depreciação levou em consideração a vida útil das ferramentas e equipamentos</t>
  </si>
  <si>
    <t>DIAS ÚTEIS</t>
  </si>
  <si>
    <t>Nº FUNCIONÁRIOS</t>
  </si>
  <si>
    <t>Nº TÁXIS NECESSÁRIOS</t>
  </si>
  <si>
    <t>Memória de cálculo na C141</t>
  </si>
  <si>
    <t>Valor da passagem Local</t>
  </si>
  <si>
    <t>Pesquisa de Preço Demonstrativo 08019.001472/2021-25 (15592859)</t>
  </si>
  <si>
    <t>Insira todas as informações necessárias nos campos editáveis destacados nessa cor para elaboração da proposta</t>
  </si>
  <si>
    <t>CUSTO Uber IDA</t>
  </si>
  <si>
    <t>CUSTO Uber VOLTA</t>
  </si>
  <si>
    <t>VALOR DA PROPOSTA (Somatório do Valor dos Itens de 1 a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</si>
</sst>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 &quot;#,##0_);\(&quot;R$ &quot;#,##0\)"/>
    <numFmt numFmtId="166" formatCode="_-* #,##0_-;\-* #,##0_-;_-* &quot;-&quot;??_-;_-@_-"/>
    <numFmt numFmtId="167" formatCode="_-&quot;R$&quot;* #,##0.00_-;\-&quot;R$&quot;* #,##0.00_-;_-&quot;R$&quot;* &quot;-&quot;??_-;_-@_-"/>
    <numFmt numFmtId="168" formatCode="[$R$-416]\ #,##0.00\ ;\-[$R$-416]\ #,##0.00\ ;[$R$-416]&quot; -&quot;00\ ;\ @\ "/>
    <numFmt numFmtId="169" formatCode="&quot; &quot;[$R$-416]&quot; &quot;#,##0.00&quot; &quot;;&quot;-&quot;[$R$-416]&quot; &quot;#,##0.00&quot; &quot;;&quot; &quot;[$R$-416]&quot; -&quot;00&quot; &quot;;&quot; &quot;@&quot; &quot;"/>
    <numFmt numFmtId="170" formatCode="#,##0.00&quot; &quot;;&quot;(&quot;#,##0.00&quot;)&quot;;&quot;-&quot;#&quot; &quot;;&quot; &quot;@&quot; &quot;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Times New Roman"/>
      <family val="1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u/>
      <sz val="12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indexed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u/>
      <sz val="10"/>
      <color rgb="FFFF0000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.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b/>
      <i/>
      <sz val="16"/>
      <color rgb="FF000000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sz val="18"/>
      <color rgb="FF666699"/>
      <name val="Calibri Light"/>
      <family val="2"/>
    </font>
    <font>
      <sz val="11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8"/>
      <name val="Arial"/>
      <family val="2"/>
    </font>
    <font>
      <b/>
      <sz val="10.5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D966"/>
      </patternFill>
    </fill>
    <fill>
      <patternFill patternType="solid">
        <fgColor rgb="FFFFFFFF"/>
        <bgColor rgb="FFF2F2F2"/>
      </patternFill>
    </fill>
    <fill>
      <patternFill patternType="solid">
        <fgColor rgb="FFFFFFCC"/>
        <bgColor rgb="FFFFF2CC"/>
      </patternFill>
    </fill>
    <fill>
      <patternFill patternType="solid">
        <fgColor rgb="FFCCCCFF"/>
        <bgColor rgb="FFD0CECE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9C9C9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339966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C0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CC99"/>
      </patternFill>
    </fill>
    <fill>
      <patternFill patternType="solid">
        <fgColor rgb="FFCCCCFF"/>
        <bgColor rgb="FFB4C6E7"/>
      </patternFill>
    </fill>
    <fill>
      <patternFill patternType="solid">
        <fgColor rgb="FF99CCFF"/>
        <bgColor rgb="FF9BC2E6"/>
      </patternFill>
    </fill>
    <fill>
      <patternFill patternType="solid">
        <fgColor rgb="FFFF99CC"/>
        <bgColor rgb="FFF4B084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339966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ck">
        <color rgb="FF31869B"/>
      </left>
      <right style="thick">
        <color rgb="FF31869B"/>
      </right>
      <top style="thick">
        <color rgb="FF31869B"/>
      </top>
      <bottom style="thick">
        <color rgb="FF31869B"/>
      </bottom>
      <diagonal/>
    </border>
    <border>
      <left style="thick">
        <color rgb="FF31869B"/>
      </left>
      <right/>
      <top style="thick">
        <color rgb="FF31869B"/>
      </top>
      <bottom/>
      <diagonal/>
    </border>
    <border>
      <left/>
      <right/>
      <top style="thick">
        <color rgb="FF31869B"/>
      </top>
      <bottom/>
      <diagonal/>
    </border>
    <border>
      <left/>
      <right style="thick">
        <color rgb="FF31869B"/>
      </right>
      <top style="thick">
        <color rgb="FF31869B"/>
      </top>
      <bottom/>
      <diagonal/>
    </border>
    <border>
      <left style="thick">
        <color rgb="FF31869B"/>
      </left>
      <right/>
      <top/>
      <bottom/>
      <diagonal/>
    </border>
    <border>
      <left/>
      <right style="thick">
        <color rgb="FF31869B"/>
      </right>
      <top/>
      <bottom/>
      <diagonal/>
    </border>
    <border>
      <left style="thick">
        <color rgb="FF31869B"/>
      </left>
      <right/>
      <top/>
      <bottom style="thick">
        <color rgb="FF31869B"/>
      </bottom>
      <diagonal/>
    </border>
    <border>
      <left/>
      <right/>
      <top/>
      <bottom style="thick">
        <color rgb="FF31869B"/>
      </bottom>
      <diagonal/>
    </border>
    <border>
      <left/>
      <right style="thick">
        <color rgb="FF31869B"/>
      </right>
      <top/>
      <bottom style="thick">
        <color rgb="FF31869B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333333"/>
      </left>
      <right style="hair">
        <color rgb="FF333333"/>
      </right>
      <top style="hair">
        <color rgb="FF333333"/>
      </top>
      <bottom style="hair">
        <color rgb="FF333333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hair">
        <color rgb="FF99CCFF"/>
      </bottom>
      <diagonal/>
    </border>
    <border>
      <left/>
      <right/>
      <top style="hair">
        <color rgb="FF33CCCC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99CCFF"/>
      </bottom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1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ill="0" applyBorder="0" applyAlignment="0" applyProtection="0"/>
    <xf numFmtId="165" fontId="5" fillId="0" borderId="0" applyFill="0" applyBorder="0" applyAlignment="0" applyProtection="0"/>
    <xf numFmtId="0" fontId="2" fillId="0" borderId="0"/>
    <xf numFmtId="0" fontId="37" fillId="0" borderId="0"/>
    <xf numFmtId="0" fontId="26" fillId="16" borderId="0" applyBorder="0" applyProtection="0"/>
    <xf numFmtId="0" fontId="26" fillId="17" borderId="0" applyBorder="0" applyProtection="0"/>
    <xf numFmtId="0" fontId="26" fillId="18" borderId="0" applyBorder="0" applyProtection="0"/>
    <xf numFmtId="0" fontId="26" fillId="19" borderId="0" applyBorder="0" applyProtection="0"/>
    <xf numFmtId="0" fontId="26" fillId="20" borderId="0" applyBorder="0" applyProtection="0"/>
    <xf numFmtId="0" fontId="26" fillId="21" borderId="0" applyBorder="0" applyProtection="0"/>
    <xf numFmtId="0" fontId="26" fillId="22" borderId="0" applyBorder="0" applyProtection="0"/>
    <xf numFmtId="0" fontId="26" fillId="17" borderId="0" applyBorder="0" applyProtection="0"/>
    <xf numFmtId="0" fontId="26" fillId="23" borderId="0" applyBorder="0" applyProtection="0"/>
    <xf numFmtId="0" fontId="26" fillId="24" borderId="0" applyBorder="0" applyProtection="0"/>
    <xf numFmtId="0" fontId="26" fillId="22" borderId="0" applyBorder="0" applyProtection="0"/>
    <xf numFmtId="0" fontId="26" fillId="24" borderId="0" applyBorder="0" applyProtection="0"/>
    <xf numFmtId="0" fontId="38" fillId="22" borderId="0" applyBorder="0" applyProtection="0"/>
    <xf numFmtId="0" fontId="38" fillId="17" borderId="0" applyBorder="0" applyProtection="0"/>
    <xf numFmtId="0" fontId="38" fillId="23" borderId="0" applyBorder="0" applyProtection="0"/>
    <xf numFmtId="0" fontId="38" fillId="24" borderId="0" applyBorder="0" applyProtection="0"/>
    <xf numFmtId="0" fontId="38" fillId="25" borderId="0" applyBorder="0" applyProtection="0"/>
    <xf numFmtId="0" fontId="38" fillId="26" borderId="0" applyBorder="0" applyProtection="0"/>
    <xf numFmtId="0" fontId="39" fillId="21" borderId="0" applyBorder="0" applyProtection="0"/>
    <xf numFmtId="0" fontId="40" fillId="23" borderId="85" applyProtection="0"/>
    <xf numFmtId="0" fontId="41" fillId="27" borderId="86" applyProtection="0"/>
    <xf numFmtId="0" fontId="42" fillId="0" borderId="87" applyProtection="0"/>
    <xf numFmtId="0" fontId="38" fillId="25" borderId="0" applyBorder="0" applyProtection="0"/>
    <xf numFmtId="0" fontId="38" fillId="28" borderId="0" applyBorder="0" applyProtection="0"/>
    <xf numFmtId="0" fontId="38" fillId="27" borderId="0" applyBorder="0" applyProtection="0"/>
    <xf numFmtId="0" fontId="38" fillId="29" borderId="0" applyBorder="0" applyProtection="0"/>
    <xf numFmtId="0" fontId="38" fillId="30" borderId="0" applyBorder="0" applyProtection="0"/>
    <xf numFmtId="0" fontId="38" fillId="26" borderId="0" applyBorder="0" applyProtection="0"/>
    <xf numFmtId="0" fontId="43" fillId="17" borderId="85" applyProtection="0"/>
    <xf numFmtId="0" fontId="44" fillId="0" borderId="0" applyBorder="0" applyProtection="0">
      <alignment horizontal="center"/>
    </xf>
    <xf numFmtId="0" fontId="44" fillId="0" borderId="0" applyBorder="0" applyProtection="0">
      <alignment horizontal="center" textRotation="90"/>
    </xf>
    <xf numFmtId="0" fontId="45" fillId="31" borderId="0" applyBorder="0" applyProtection="0"/>
    <xf numFmtId="168" fontId="56" fillId="0" borderId="0" applyBorder="0" applyProtection="0"/>
    <xf numFmtId="0" fontId="46" fillId="24" borderId="0" applyBorder="0" applyProtection="0"/>
    <xf numFmtId="0" fontId="47" fillId="19" borderId="88" applyProtection="0"/>
    <xf numFmtId="0" fontId="48" fillId="0" borderId="0" applyBorder="0" applyProtection="0"/>
    <xf numFmtId="0" fontId="48" fillId="0" borderId="0" applyBorder="0" applyProtection="0"/>
    <xf numFmtId="0" fontId="49" fillId="23" borderId="89" applyProtection="0"/>
    <xf numFmtId="0" fontId="50" fillId="0" borderId="0" applyBorder="0" applyProtection="0"/>
    <xf numFmtId="0" fontId="51" fillId="0" borderId="0" applyBorder="0" applyProtection="0"/>
    <xf numFmtId="0" fontId="52" fillId="0" borderId="90" applyProtection="0"/>
    <xf numFmtId="0" fontId="53" fillId="0" borderId="91" applyProtection="0"/>
    <xf numFmtId="0" fontId="54" fillId="0" borderId="92" applyProtection="0"/>
    <xf numFmtId="0" fontId="54" fillId="0" borderId="0" applyBorder="0" applyProtection="0"/>
    <xf numFmtId="0" fontId="55" fillId="0" borderId="0" applyBorder="0" applyProtection="0"/>
    <xf numFmtId="0" fontId="27" fillId="0" borderId="93" applyProtection="0"/>
    <xf numFmtId="0" fontId="56" fillId="0" borderId="0"/>
    <xf numFmtId="0" fontId="26" fillId="32" borderId="0" applyBorder="0" applyProtection="0"/>
    <xf numFmtId="0" fontId="26" fillId="33" borderId="0" applyBorder="0" applyProtection="0"/>
    <xf numFmtId="0" fontId="26" fillId="33" borderId="0" applyBorder="0" applyProtection="0"/>
    <xf numFmtId="0" fontId="38" fillId="33" borderId="0" applyBorder="0" applyProtection="0"/>
    <xf numFmtId="0" fontId="45" fillId="34" borderId="0" applyBorder="0" applyProtection="0"/>
    <xf numFmtId="169" fontId="56" fillId="0" borderId="0" applyFont="0" applyFill="0" applyBorder="0" applyAlignment="0" applyProtection="0"/>
    <xf numFmtId="0" fontId="52" fillId="0" borderId="90" applyNumberFormat="0" applyProtection="0"/>
    <xf numFmtId="0" fontId="53" fillId="0" borderId="91" applyNumberFormat="0" applyProtection="0"/>
    <xf numFmtId="0" fontId="54" fillId="0" borderId="99" applyNumberFormat="0" applyProtection="0"/>
    <xf numFmtId="0" fontId="54" fillId="0" borderId="0" applyNumberFormat="0" applyBorder="0" applyProtection="0"/>
    <xf numFmtId="0" fontId="39" fillId="46" borderId="0" applyNumberFormat="0" applyBorder="0" applyProtection="0"/>
    <xf numFmtId="0" fontId="43" fillId="42" borderId="94" applyNumberFormat="0" applyProtection="0"/>
    <xf numFmtId="0" fontId="49" fillId="48" borderId="98" applyNumberFormat="0" applyProtection="0"/>
    <xf numFmtId="0" fontId="40" fillId="48" borderId="94" applyNumberFormat="0" applyProtection="0"/>
    <xf numFmtId="0" fontId="42" fillId="0" borderId="96" applyNumberFormat="0" applyProtection="0"/>
    <xf numFmtId="0" fontId="41" fillId="37" borderId="95" applyNumberFormat="0" applyProtection="0"/>
    <xf numFmtId="0" fontId="50" fillId="0" borderId="0" applyNumberFormat="0" applyBorder="0" applyProtection="0"/>
    <xf numFmtId="0" fontId="47" fillId="44" borderId="97" applyNumberFormat="0" applyProtection="0"/>
    <xf numFmtId="0" fontId="51" fillId="0" borderId="0" applyNumberFormat="0" applyBorder="0" applyProtection="0"/>
    <xf numFmtId="0" fontId="27" fillId="0" borderId="100" applyNumberFormat="0" applyProtection="0"/>
    <xf numFmtId="0" fontId="38" fillId="35" borderId="0" applyNumberFormat="0" applyBorder="0" applyProtection="0"/>
    <xf numFmtId="0" fontId="26" fillId="41" borderId="0" applyNumberFormat="0" applyBorder="0" applyProtection="0"/>
    <xf numFmtId="0" fontId="26" fillId="47" borderId="0" applyNumberFormat="0" applyBorder="0" applyProtection="0"/>
    <xf numFmtId="0" fontId="38" fillId="47" borderId="0" applyNumberFormat="0" applyBorder="0" applyProtection="0"/>
    <xf numFmtId="0" fontId="38" fillId="36" borderId="0" applyNumberFormat="0" applyBorder="0" applyProtection="0"/>
    <xf numFmtId="0" fontId="26" fillId="42" borderId="0" applyNumberFormat="0" applyBorder="0" applyProtection="0"/>
    <xf numFmtId="0" fontId="26" fillId="42" borderId="0" applyNumberFormat="0" applyBorder="0" applyProtection="0"/>
    <xf numFmtId="0" fontId="38" fillId="42" borderId="0" applyNumberFormat="0" applyBorder="0" applyProtection="0"/>
    <xf numFmtId="0" fontId="38" fillId="37" borderId="0" applyNumberFormat="0" applyBorder="0" applyProtection="0"/>
    <xf numFmtId="0" fontId="26" fillId="43" borderId="0" applyNumberFormat="0" applyBorder="0" applyProtection="0"/>
    <xf numFmtId="0" fontId="26" fillId="48" borderId="0" applyNumberFormat="0" applyBorder="0" applyProtection="0"/>
    <xf numFmtId="0" fontId="38" fillId="48" borderId="0" applyNumberFormat="0" applyBorder="0" applyProtection="0"/>
    <xf numFmtId="0" fontId="38" fillId="38" borderId="0" applyNumberFormat="0" applyBorder="0" applyProtection="0"/>
    <xf numFmtId="0" fontId="26" fillId="44" borderId="0" applyNumberFormat="0" applyBorder="0" applyProtection="0"/>
    <xf numFmtId="0" fontId="26" fillId="49" borderId="0" applyNumberFormat="0" applyBorder="0" applyProtection="0"/>
    <xf numFmtId="0" fontId="38" fillId="49" borderId="0" applyNumberFormat="0" applyBorder="0" applyProtection="0"/>
    <xf numFmtId="0" fontId="38" fillId="39" borderId="0" applyNumberFormat="0" applyBorder="0" applyProtection="0"/>
    <xf numFmtId="0" fontId="26" fillId="45" borderId="0" applyNumberFormat="0" applyBorder="0" applyProtection="0"/>
    <xf numFmtId="0" fontId="26" fillId="47" borderId="0" applyNumberFormat="0" applyBorder="0" applyProtection="0"/>
    <xf numFmtId="0" fontId="38" fillId="35" borderId="0" applyNumberFormat="0" applyBorder="0" applyProtection="0"/>
    <xf numFmtId="0" fontId="38" fillId="40" borderId="0" applyNumberFormat="0" applyBorder="0" applyProtection="0"/>
    <xf numFmtId="0" fontId="26" fillId="46" borderId="0" applyNumberFormat="0" applyBorder="0" applyProtection="0"/>
    <xf numFmtId="0" fontId="26" fillId="49" borderId="0" applyNumberFormat="0" applyBorder="0" applyProtection="0"/>
    <xf numFmtId="0" fontId="38" fillId="40" borderId="0" applyNumberFormat="0" applyBorder="0" applyProtection="0"/>
    <xf numFmtId="170" fontId="47" fillId="0" borderId="0" applyBorder="0" applyProtection="0"/>
    <xf numFmtId="0" fontId="44" fillId="0" borderId="0" applyNumberFormat="0" applyBorder="0" applyProtection="0">
      <alignment horizontal="center"/>
    </xf>
    <xf numFmtId="0" fontId="44" fillId="0" borderId="0" applyNumberFormat="0" applyBorder="0" applyProtection="0">
      <alignment horizontal="center" textRotation="90"/>
    </xf>
    <xf numFmtId="0" fontId="45" fillId="50" borderId="0" applyNumberFormat="0" applyBorder="0" applyProtection="0"/>
    <xf numFmtId="0" fontId="46" fillId="49" borderId="0" applyNumberFormat="0" applyBorder="0" applyProtection="0"/>
    <xf numFmtId="0" fontId="48" fillId="0" borderId="0" applyNumberFormat="0" applyBorder="0" applyProtection="0"/>
    <xf numFmtId="0" fontId="48" fillId="0" borderId="0" applyNumberFormat="0" applyBorder="0" applyProtection="0"/>
    <xf numFmtId="0" fontId="55" fillId="0" borderId="0" applyNumberFormat="0" applyBorder="0" applyProtection="0"/>
    <xf numFmtId="169" fontId="56" fillId="0" borderId="0" applyFont="0" applyFill="0" applyBorder="0" applyAlignment="0" applyProtection="0"/>
  </cellStyleXfs>
  <cellXfs count="422">
    <xf numFmtId="0" fontId="0" fillId="0" borderId="0" xfId="0"/>
    <xf numFmtId="0" fontId="5" fillId="0" borderId="0" xfId="0" applyFont="1"/>
    <xf numFmtId="10" fontId="0" fillId="4" borderId="1" xfId="1" applyNumberFormat="1" applyFont="1" applyFill="1" applyBorder="1" applyAlignment="1" applyProtection="1">
      <alignment horizontal="center"/>
      <protection locked="0"/>
    </xf>
    <xf numFmtId="10" fontId="0" fillId="4" borderId="30" xfId="1" applyNumberFormat="1" applyFont="1" applyFill="1" applyBorder="1" applyAlignment="1" applyProtection="1">
      <alignment horizontal="center"/>
      <protection locked="0"/>
    </xf>
    <xf numFmtId="10" fontId="0" fillId="4" borderId="32" xfId="1" applyNumberFormat="1" applyFont="1" applyFill="1" applyBorder="1" applyAlignment="1" applyProtection="1">
      <alignment horizontal="center"/>
      <protection locked="0"/>
    </xf>
    <xf numFmtId="10" fontId="4" fillId="5" borderId="33" xfId="1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8" fontId="0" fillId="3" borderId="3" xfId="0" applyNumberFormat="1" applyFill="1" applyBorder="1" applyAlignment="1">
      <alignment horizontal="center" vertical="center" wrapText="1"/>
    </xf>
    <xf numFmtId="0" fontId="5" fillId="3" borderId="3" xfId="0" applyFont="1" applyFill="1" applyBorder="1"/>
    <xf numFmtId="0" fontId="5" fillId="3" borderId="4" xfId="0" applyFont="1" applyFill="1" applyBorder="1"/>
    <xf numFmtId="0" fontId="0" fillId="0" borderId="35" xfId="0" applyBorder="1" applyAlignment="1">
      <alignment horizontal="center" vertical="center" wrapText="1"/>
    </xf>
    <xf numFmtId="0" fontId="5" fillId="3" borderId="0" xfId="0" applyFont="1" applyFill="1"/>
    <xf numFmtId="44" fontId="4" fillId="3" borderId="0" xfId="2" applyFont="1" applyFill="1"/>
    <xf numFmtId="0" fontId="4" fillId="3" borderId="0" xfId="0" applyFont="1" applyFill="1"/>
    <xf numFmtId="43" fontId="5" fillId="3" borderId="0" xfId="0" applyNumberFormat="1" applyFont="1" applyFill="1"/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5" xfId="0" applyBorder="1" applyAlignment="1" applyProtection="1">
      <alignment horizontal="justify" vertical="center"/>
    </xf>
    <xf numFmtId="0" fontId="4" fillId="5" borderId="3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31" xfId="0" applyBorder="1" applyAlignment="1" applyProtection="1">
      <alignment horizontal="left"/>
    </xf>
    <xf numFmtId="0" fontId="4" fillId="0" borderId="32" xfId="0" applyFont="1" applyBorder="1" applyAlignment="1" applyProtection="1">
      <alignment horizontal="center"/>
    </xf>
    <xf numFmtId="0" fontId="0" fillId="0" borderId="23" xfId="0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10" fontId="0" fillId="4" borderId="30" xfId="1" applyNumberFormat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center" vertical="center"/>
    </xf>
    <xf numFmtId="10" fontId="0" fillId="0" borderId="12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/>
    </xf>
    <xf numFmtId="10" fontId="0" fillId="0" borderId="0" xfId="1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center" vertical="center"/>
    </xf>
    <xf numFmtId="10" fontId="0" fillId="0" borderId="15" xfId="1" applyNumberFormat="1" applyFont="1" applyFill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left"/>
    </xf>
    <xf numFmtId="0" fontId="4" fillId="0" borderId="30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left"/>
    </xf>
    <xf numFmtId="0" fontId="4" fillId="0" borderId="10" xfId="0" applyFont="1" applyBorder="1" applyProtection="1"/>
    <xf numFmtId="0" fontId="4" fillId="0" borderId="0" xfId="0" applyFont="1" applyProtection="1"/>
    <xf numFmtId="4" fontId="4" fillId="0" borderId="0" xfId="0" applyNumberFormat="1" applyFont="1" applyProtection="1"/>
    <xf numFmtId="0" fontId="4" fillId="0" borderId="2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Border="1" applyProtection="1"/>
    <xf numFmtId="4" fontId="4" fillId="0" borderId="0" xfId="0" applyNumberFormat="1" applyFont="1" applyBorder="1" applyProtection="1"/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 wrapText="1"/>
    </xf>
    <xf numFmtId="0" fontId="5" fillId="0" borderId="0" xfId="7" applyFont="1" applyAlignment="1">
      <alignment vertical="center"/>
    </xf>
    <xf numFmtId="43" fontId="5" fillId="0" borderId="48" xfId="5" applyFont="1" applyBorder="1" applyAlignment="1">
      <alignment horizontal="left" vertical="center"/>
    </xf>
    <xf numFmtId="0" fontId="5" fillId="0" borderId="49" xfId="3" applyFont="1" applyBorder="1" applyAlignment="1">
      <alignment horizontal="justify" vertical="center"/>
    </xf>
    <xf numFmtId="0" fontId="5" fillId="0" borderId="49" xfId="3" applyFont="1" applyBorder="1" applyAlignment="1">
      <alignment horizontal="right" vertical="center"/>
    </xf>
    <xf numFmtId="49" fontId="4" fillId="0" borderId="50" xfId="3" applyNumberFormat="1" applyFont="1" applyBorder="1" applyAlignment="1">
      <alignment horizontal="right" vertical="center"/>
    </xf>
    <xf numFmtId="43" fontId="5" fillId="0" borderId="10" xfId="5" applyFont="1" applyBorder="1" applyAlignment="1">
      <alignment horizontal="left" vertical="center"/>
    </xf>
    <xf numFmtId="0" fontId="5" fillId="0" borderId="0" xfId="3" applyFont="1" applyAlignment="1">
      <alignment horizontal="justify" vertical="center"/>
    </xf>
    <xf numFmtId="0" fontId="5" fillId="0" borderId="0" xfId="3" applyFont="1" applyAlignment="1">
      <alignment horizontal="right" vertical="center"/>
    </xf>
    <xf numFmtId="49" fontId="4" fillId="0" borderId="51" xfId="3" applyNumberFormat="1" applyFont="1" applyBorder="1" applyAlignment="1">
      <alignment horizontal="right" vertical="center"/>
    </xf>
    <xf numFmtId="43" fontId="5" fillId="0" borderId="52" xfId="5" applyFont="1" applyBorder="1" applyAlignment="1">
      <alignment horizontal="left" vertical="center"/>
    </xf>
    <xf numFmtId="0" fontId="5" fillId="0" borderId="53" xfId="3" applyFont="1" applyBorder="1" applyAlignment="1">
      <alignment horizontal="justify" vertical="center"/>
    </xf>
    <xf numFmtId="0" fontId="5" fillId="0" borderId="53" xfId="3" applyFont="1" applyBorder="1" applyAlignment="1">
      <alignment horizontal="right" vertical="center"/>
    </xf>
    <xf numFmtId="49" fontId="4" fillId="0" borderId="54" xfId="3" applyNumberFormat="1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justify" vertical="center"/>
    </xf>
    <xf numFmtId="0" fontId="5" fillId="0" borderId="0" xfId="7" applyFont="1" applyAlignment="1">
      <alignment horizontal="center" vertical="center"/>
    </xf>
    <xf numFmtId="0" fontId="5" fillId="0" borderId="0" xfId="8" applyNumberFormat="1" applyFont="1" applyAlignment="1">
      <alignment vertical="center"/>
    </xf>
    <xf numFmtId="0" fontId="4" fillId="0" borderId="49" xfId="3" applyFont="1" applyFill="1" applyBorder="1" applyAlignment="1">
      <alignment horizontal="right" vertical="center"/>
    </xf>
    <xf numFmtId="0" fontId="4" fillId="3" borderId="0" xfId="3" applyFont="1" applyFill="1" applyAlignment="1">
      <alignment horizontal="right" vertical="center"/>
    </xf>
    <xf numFmtId="49" fontId="4" fillId="3" borderId="51" xfId="3" applyNumberFormat="1" applyFont="1" applyFill="1" applyBorder="1" applyAlignment="1">
      <alignment horizontal="right" vertical="center"/>
    </xf>
    <xf numFmtId="0" fontId="5" fillId="3" borderId="0" xfId="3" applyFont="1" applyFill="1" applyAlignment="1">
      <alignment horizontal="right" vertical="center"/>
    </xf>
    <xf numFmtId="49" fontId="5" fillId="3" borderId="51" xfId="3" applyNumberFormat="1" applyFont="1" applyFill="1" applyBorder="1" applyAlignment="1">
      <alignment horizontal="right" vertical="center"/>
    </xf>
    <xf numFmtId="0" fontId="5" fillId="0" borderId="53" xfId="3" applyFont="1" applyBorder="1" applyAlignment="1">
      <alignment vertical="center"/>
    </xf>
    <xf numFmtId="0" fontId="5" fillId="3" borderId="53" xfId="3" applyFont="1" applyFill="1" applyBorder="1" applyAlignment="1">
      <alignment horizontal="right" vertical="center"/>
    </xf>
    <xf numFmtId="43" fontId="5" fillId="3" borderId="54" xfId="5" applyFont="1" applyFill="1" applyBorder="1" applyAlignment="1">
      <alignment horizontal="right" vertical="center"/>
    </xf>
    <xf numFmtId="0" fontId="15" fillId="0" borderId="0" xfId="7" applyFont="1" applyAlignment="1">
      <alignment horizontal="center" vertical="center"/>
    </xf>
    <xf numFmtId="43" fontId="5" fillId="3" borderId="59" xfId="3" applyNumberFormat="1" applyFont="1" applyFill="1" applyBorder="1" applyAlignment="1">
      <alignment horizontal="right" vertical="center"/>
    </xf>
    <xf numFmtId="0" fontId="16" fillId="0" borderId="0" xfId="6" applyFont="1" applyAlignment="1">
      <alignment vertical="center"/>
    </xf>
    <xf numFmtId="0" fontId="17" fillId="0" borderId="0" xfId="0" applyFont="1" applyAlignment="1">
      <alignment wrapText="1"/>
    </xf>
    <xf numFmtId="14" fontId="5" fillId="0" borderId="59" xfId="3" applyNumberFormat="1" applyFont="1" applyFill="1" applyBorder="1" applyAlignment="1">
      <alignment horizontal="right" vertical="center"/>
    </xf>
    <xf numFmtId="0" fontId="5" fillId="0" borderId="59" xfId="3" applyFont="1" applyFill="1" applyBorder="1" applyAlignment="1">
      <alignment horizontal="right" vertical="center"/>
    </xf>
    <xf numFmtId="0" fontId="5" fillId="0" borderId="60" xfId="5" applyNumberFormat="1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center" vertical="center"/>
    </xf>
    <xf numFmtId="0" fontId="4" fillId="0" borderId="0" xfId="5" applyNumberFormat="1" applyFont="1" applyAlignment="1">
      <alignment horizontal="left" vertical="center"/>
    </xf>
    <xf numFmtId="0" fontId="4" fillId="0" borderId="0" xfId="8" applyNumberFormat="1" applyFont="1" applyAlignment="1">
      <alignment horizontal="center" vertical="center" wrapText="1"/>
    </xf>
    <xf numFmtId="43" fontId="4" fillId="0" borderId="64" xfId="8" applyFont="1" applyBorder="1" applyAlignment="1">
      <alignment horizontal="center" vertical="center" wrapText="1"/>
    </xf>
    <xf numFmtId="43" fontId="5" fillId="3" borderId="10" xfId="5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3" borderId="0" xfId="5" applyNumberFormat="1" applyFont="1" applyFill="1" applyAlignment="1">
      <alignment vertical="center"/>
    </xf>
    <xf numFmtId="43" fontId="5" fillId="3" borderId="1" xfId="5" applyFont="1" applyFill="1" applyBorder="1" applyAlignment="1">
      <alignment horizontal="center" vertical="center"/>
    </xf>
    <xf numFmtId="43" fontId="5" fillId="3" borderId="1" xfId="8" applyFont="1" applyFill="1" applyBorder="1" applyAlignment="1">
      <alignment vertical="center"/>
    </xf>
    <xf numFmtId="0" fontId="5" fillId="3" borderId="0" xfId="5" applyNumberFormat="1" applyFont="1" applyFill="1" applyAlignment="1">
      <alignment horizontal="left" vertical="center"/>
    </xf>
    <xf numFmtId="43" fontId="4" fillId="3" borderId="60" xfId="5" applyFont="1" applyFill="1" applyBorder="1" applyAlignment="1">
      <alignment horizontal="right" vertical="center"/>
    </xf>
    <xf numFmtId="43" fontId="5" fillId="0" borderId="0" xfId="7" applyNumberFormat="1" applyFont="1" applyAlignment="1">
      <alignment vertical="center"/>
    </xf>
    <xf numFmtId="0" fontId="5" fillId="3" borderId="0" xfId="7" applyFont="1" applyFill="1" applyAlignment="1">
      <alignment vertical="center"/>
    </xf>
    <xf numFmtId="0" fontId="4" fillId="0" borderId="1" xfId="7" applyFont="1" applyBorder="1" applyAlignment="1">
      <alignment horizontal="center" vertical="center"/>
    </xf>
    <xf numFmtId="43" fontId="4" fillId="0" borderId="64" xfId="8" applyFont="1" applyBorder="1" applyAlignment="1">
      <alignment horizontal="center" vertical="center"/>
    </xf>
    <xf numFmtId="0" fontId="5" fillId="0" borderId="0" xfId="5" applyNumberFormat="1" applyFont="1" applyAlignment="1">
      <alignment horizontal="justify" vertical="center" wrapText="1"/>
    </xf>
    <xf numFmtId="10" fontId="5" fillId="0" borderId="65" xfId="7" applyNumberFormat="1" applyFont="1" applyFill="1" applyBorder="1" applyAlignment="1">
      <alignment horizontal="right" vertical="center"/>
    </xf>
    <xf numFmtId="43" fontId="5" fillId="3" borderId="1" xfId="5" applyFont="1" applyFill="1" applyBorder="1" applyAlignment="1">
      <alignment horizontal="right" vertical="center"/>
    </xf>
    <xf numFmtId="10" fontId="4" fillId="0" borderId="20" xfId="4" applyNumberFormat="1" applyFont="1" applyFill="1" applyBorder="1" applyAlignment="1">
      <alignment vertical="center" wrapText="1"/>
    </xf>
    <xf numFmtId="43" fontId="4" fillId="3" borderId="1" xfId="5" applyFont="1" applyFill="1" applyBorder="1" applyAlignment="1">
      <alignment horizontal="right" vertical="center"/>
    </xf>
    <xf numFmtId="43" fontId="4" fillId="3" borderId="1" xfId="8" applyFont="1" applyFill="1" applyBorder="1" applyAlignment="1">
      <alignment horizontal="center" vertical="center" wrapText="1"/>
    </xf>
    <xf numFmtId="0" fontId="5" fillId="0" borderId="0" xfId="5" applyNumberFormat="1" applyFont="1" applyAlignment="1">
      <alignment horizontal="left" vertical="center"/>
    </xf>
    <xf numFmtId="0" fontId="5" fillId="0" borderId="0" xfId="7" applyFont="1" applyAlignment="1">
      <alignment vertical="center" wrapText="1"/>
    </xf>
    <xf numFmtId="0" fontId="5" fillId="0" borderId="0" xfId="5" applyNumberFormat="1" applyFont="1" applyAlignment="1">
      <alignment vertical="center"/>
    </xf>
    <xf numFmtId="10" fontId="4" fillId="0" borderId="20" xfId="4" applyNumberFormat="1" applyFont="1" applyBorder="1" applyAlignment="1">
      <alignment vertical="center" wrapText="1"/>
    </xf>
    <xf numFmtId="43" fontId="4" fillId="0" borderId="1" xfId="5" applyFont="1" applyBorder="1" applyAlignment="1">
      <alignment horizontal="right" vertical="center"/>
    </xf>
    <xf numFmtId="43" fontId="4" fillId="0" borderId="30" xfId="5" applyFont="1" applyBorder="1" applyAlignment="1">
      <alignment horizontal="center" vertical="center" wrapText="1"/>
    </xf>
    <xf numFmtId="0" fontId="5" fillId="0" borderId="0" xfId="9" applyNumberFormat="1" applyFont="1" applyAlignment="1">
      <alignment horizontal="left" vertical="center"/>
    </xf>
    <xf numFmtId="43" fontId="5" fillId="0" borderId="66" xfId="5" applyFont="1" applyFill="1" applyBorder="1" applyAlignment="1">
      <alignment horizontal="right" vertical="center"/>
    </xf>
    <xf numFmtId="43" fontId="5" fillId="0" borderId="59" xfId="5" applyFont="1" applyFill="1" applyBorder="1" applyAlignment="1">
      <alignment horizontal="right" vertical="center"/>
    </xf>
    <xf numFmtId="43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43" fontId="4" fillId="0" borderId="20" xfId="5" applyFont="1" applyBorder="1" applyAlignment="1">
      <alignment vertical="center" wrapText="1"/>
    </xf>
    <xf numFmtId="43" fontId="4" fillId="0" borderId="58" xfId="5" applyFont="1" applyBorder="1" applyAlignment="1">
      <alignment horizontal="right" vertical="center"/>
    </xf>
    <xf numFmtId="166" fontId="5" fillId="8" borderId="65" xfId="5" applyNumberFormat="1" applyFont="1" applyFill="1" applyBorder="1" applyAlignment="1">
      <alignment horizontal="right" vertical="center"/>
    </xf>
    <xf numFmtId="43" fontId="5" fillId="8" borderId="59" xfId="8" applyFont="1" applyFill="1" applyBorder="1" applyAlignment="1">
      <alignment horizontal="right" vertical="center"/>
    </xf>
    <xf numFmtId="10" fontId="4" fillId="0" borderId="33" xfId="8" applyNumberFormat="1" applyFont="1" applyBorder="1" applyAlignment="1">
      <alignment horizontal="right" vertical="center"/>
    </xf>
    <xf numFmtId="43" fontId="4" fillId="0" borderId="60" xfId="8" applyFont="1" applyBorder="1" applyAlignment="1">
      <alignment horizontal="right" vertical="center"/>
    </xf>
    <xf numFmtId="43" fontId="5" fillId="0" borderId="10" xfId="5" applyFont="1" applyBorder="1" applyAlignment="1">
      <alignment horizontal="left" vertical="center" wrapText="1"/>
    </xf>
    <xf numFmtId="43" fontId="5" fillId="0" borderId="59" xfId="5" applyFont="1" applyFill="1" applyBorder="1" applyAlignment="1">
      <alignment horizontal="center" vertical="center"/>
    </xf>
    <xf numFmtId="43" fontId="4" fillId="0" borderId="60" xfId="5" applyFont="1" applyFill="1" applyBorder="1" applyAlignment="1">
      <alignment horizontal="right" vertical="center"/>
    </xf>
    <xf numFmtId="0" fontId="4" fillId="0" borderId="0" xfId="7" applyFont="1" applyAlignment="1">
      <alignment vertical="center" wrapText="1"/>
    </xf>
    <xf numFmtId="10" fontId="5" fillId="0" borderId="65" xfId="7" applyNumberFormat="1" applyFont="1" applyFill="1" applyBorder="1" applyAlignment="1">
      <alignment horizontal="right" vertical="center" wrapText="1"/>
    </xf>
    <xf numFmtId="43" fontId="5" fillId="0" borderId="59" xfId="8" applyFont="1" applyFill="1" applyBorder="1" applyAlignment="1">
      <alignment horizontal="right" vertical="center"/>
    </xf>
    <xf numFmtId="10" fontId="4" fillId="0" borderId="33" xfId="7" applyNumberFormat="1" applyFont="1" applyFill="1" applyBorder="1" applyAlignment="1">
      <alignment horizontal="right" vertical="center" wrapText="1"/>
    </xf>
    <xf numFmtId="43" fontId="5" fillId="0" borderId="0" xfId="7" applyNumberFormat="1" applyFont="1" applyFill="1" applyAlignment="1">
      <alignment vertical="center"/>
    </xf>
    <xf numFmtId="0" fontId="5" fillId="0" borderId="0" xfId="5" applyNumberFormat="1" applyFont="1" applyAlignment="1">
      <alignment horizontal="left" vertical="center" wrapText="1"/>
    </xf>
    <xf numFmtId="10" fontId="4" fillId="0" borderId="20" xfId="8" applyNumberFormat="1" applyFont="1" applyFill="1" applyBorder="1" applyAlignment="1">
      <alignment horizontal="right" vertical="center"/>
    </xf>
    <xf numFmtId="43" fontId="4" fillId="0" borderId="58" xfId="8" applyFont="1" applyFill="1" applyBorder="1" applyAlignment="1">
      <alignment horizontal="right" vertical="center"/>
    </xf>
    <xf numFmtId="166" fontId="5" fillId="0" borderId="65" xfId="5" applyNumberFormat="1" applyFont="1" applyBorder="1" applyAlignment="1">
      <alignment horizontal="right" vertical="center"/>
    </xf>
    <xf numFmtId="43" fontId="5" fillId="0" borderId="59" xfId="8" applyFont="1" applyBorder="1" applyAlignment="1">
      <alignment horizontal="right" vertical="center"/>
    </xf>
    <xf numFmtId="0" fontId="5" fillId="0" borderId="0" xfId="5" applyNumberFormat="1" applyFont="1" applyAlignment="1">
      <alignment vertical="center" wrapText="1"/>
    </xf>
    <xf numFmtId="10" fontId="5" fillId="0" borderId="17" xfId="7" applyNumberFormat="1" applyFont="1" applyBorder="1" applyAlignment="1">
      <alignment horizontal="right" vertical="center" wrapText="1"/>
    </xf>
    <xf numFmtId="10" fontId="4" fillId="0" borderId="69" xfId="8" applyNumberFormat="1" applyFont="1" applyBorder="1" applyAlignment="1">
      <alignment horizontal="right" vertical="center"/>
    </xf>
    <xf numFmtId="43" fontId="4" fillId="0" borderId="60" xfId="5" applyFont="1" applyBorder="1" applyAlignment="1">
      <alignment horizontal="right" vertical="center"/>
    </xf>
    <xf numFmtId="0" fontId="18" fillId="0" borderId="0" xfId="7" applyFont="1" applyAlignment="1">
      <alignment horizontal="center" vertical="center" wrapText="1"/>
    </xf>
    <xf numFmtId="0" fontId="4" fillId="0" borderId="0" xfId="7" applyFont="1" applyAlignment="1">
      <alignment horizontal="right" vertical="center" wrapText="1"/>
    </xf>
    <xf numFmtId="43" fontId="4" fillId="0" borderId="0" xfId="8" applyFont="1" applyAlignment="1">
      <alignment horizontal="right" vertical="center" wrapText="1"/>
    </xf>
    <xf numFmtId="43" fontId="4" fillId="0" borderId="64" xfId="5" applyFont="1" applyBorder="1" applyAlignment="1">
      <alignment horizontal="center" vertical="center"/>
    </xf>
    <xf numFmtId="0" fontId="5" fillId="0" borderId="18" xfId="5" applyNumberFormat="1" applyFont="1" applyBorder="1" applyAlignment="1">
      <alignment horizontal="left" vertical="center" wrapText="1"/>
    </xf>
    <xf numFmtId="43" fontId="5" fillId="0" borderId="0" xfId="5" applyFont="1" applyAlignment="1">
      <alignment vertical="center"/>
    </xf>
    <xf numFmtId="10" fontId="4" fillId="0" borderId="65" xfId="5" applyNumberFormat="1" applyFont="1" applyFill="1" applyBorder="1" applyAlignment="1">
      <alignment vertical="center"/>
    </xf>
    <xf numFmtId="0" fontId="5" fillId="0" borderId="59" xfId="5" applyNumberFormat="1" applyFont="1" applyFill="1" applyBorder="1" applyAlignment="1">
      <alignment vertical="center"/>
    </xf>
    <xf numFmtId="0" fontId="5" fillId="0" borderId="18" xfId="5" applyNumberFormat="1" applyFont="1" applyBorder="1" applyAlignment="1">
      <alignment vertical="center"/>
    </xf>
    <xf numFmtId="10" fontId="4" fillId="0" borderId="33" xfId="7" applyNumberFormat="1" applyFont="1" applyBorder="1" applyAlignment="1">
      <alignment horizontal="right" vertical="center"/>
    </xf>
    <xf numFmtId="43" fontId="4" fillId="0" borderId="64" xfId="5" applyFont="1" applyBorder="1" applyAlignment="1">
      <alignment horizontal="center" vertical="center" wrapText="1"/>
    </xf>
    <xf numFmtId="43" fontId="5" fillId="0" borderId="66" xfId="8" applyFont="1" applyBorder="1" applyAlignment="1">
      <alignment horizontal="right" vertical="center"/>
    </xf>
    <xf numFmtId="43" fontId="4" fillId="0" borderId="59" xfId="8" applyFont="1" applyBorder="1" applyAlignment="1">
      <alignment horizontal="right" vertical="center"/>
    </xf>
    <xf numFmtId="43" fontId="5" fillId="0" borderId="52" xfId="5" applyFont="1" applyBorder="1" applyAlignment="1">
      <alignment horizontal="left" vertical="center" wrapText="1"/>
    </xf>
    <xf numFmtId="43" fontId="5" fillId="0" borderId="60" xfId="8" applyFont="1" applyBorder="1" applyAlignment="1">
      <alignment horizontal="right" vertical="center"/>
    </xf>
    <xf numFmtId="43" fontId="4" fillId="0" borderId="57" xfId="8" applyFont="1" applyBorder="1" applyAlignment="1">
      <alignment horizontal="right" vertical="center"/>
    </xf>
    <xf numFmtId="10" fontId="5" fillId="0" borderId="0" xfId="7" applyNumberFormat="1" applyFont="1" applyAlignment="1">
      <alignment horizontal="center" vertical="center"/>
    </xf>
    <xf numFmtId="43" fontId="5" fillId="0" borderId="0" xfId="8" applyFont="1" applyAlignment="1">
      <alignment vertical="center"/>
    </xf>
    <xf numFmtId="10" fontId="5" fillId="7" borderId="65" xfId="7" applyNumberFormat="1" applyFont="1" applyFill="1" applyBorder="1" applyAlignment="1" applyProtection="1">
      <alignment horizontal="right" vertical="center"/>
      <protection locked="0"/>
    </xf>
    <xf numFmtId="0" fontId="5" fillId="7" borderId="65" xfId="5" applyNumberFormat="1" applyFont="1" applyFill="1" applyBorder="1" applyAlignment="1" applyProtection="1">
      <alignment vertical="center"/>
      <protection locked="0"/>
    </xf>
    <xf numFmtId="43" fontId="5" fillId="7" borderId="59" xfId="8" applyFont="1" applyFill="1" applyBorder="1" applyAlignment="1" applyProtection="1">
      <alignment horizontal="right" vertical="center"/>
      <protection locked="0"/>
    </xf>
    <xf numFmtId="43" fontId="5" fillId="7" borderId="66" xfId="5" applyFont="1" applyFill="1" applyBorder="1" applyAlignment="1" applyProtection="1">
      <alignment horizontal="right" vertical="center"/>
      <protection locked="0"/>
    </xf>
    <xf numFmtId="43" fontId="5" fillId="7" borderId="59" xfId="5" applyFont="1" applyFill="1" applyBorder="1" applyAlignment="1" applyProtection="1">
      <alignment horizontal="right" vertical="center"/>
      <protection locked="0"/>
    </xf>
    <xf numFmtId="10" fontId="5" fillId="7" borderId="65" xfId="7" applyNumberFormat="1" applyFont="1" applyFill="1" applyBorder="1" applyAlignment="1" applyProtection="1">
      <alignment horizontal="right" vertical="center" wrapText="1"/>
      <protection locked="0"/>
    </xf>
    <xf numFmtId="43" fontId="5" fillId="7" borderId="30" xfId="10" applyNumberFormat="1" applyFont="1" applyFill="1" applyBorder="1" applyAlignment="1" applyProtection="1">
      <alignment vertical="center"/>
      <protection locked="0"/>
    </xf>
    <xf numFmtId="43" fontId="5" fillId="7" borderId="65" xfId="10" applyNumberFormat="1" applyFont="1" applyFill="1" applyBorder="1" applyAlignment="1" applyProtection="1">
      <alignment vertical="center"/>
      <protection locked="0"/>
    </xf>
    <xf numFmtId="43" fontId="5" fillId="7" borderId="65" xfId="5" applyFont="1" applyFill="1" applyBorder="1" applyAlignment="1" applyProtection="1">
      <alignment vertical="center"/>
      <protection locked="0"/>
    </xf>
    <xf numFmtId="43" fontId="5" fillId="7" borderId="59" xfId="5" applyFont="1" applyFill="1" applyBorder="1" applyAlignment="1" applyProtection="1">
      <alignment horizontal="center" vertical="center"/>
      <protection locked="0"/>
    </xf>
    <xf numFmtId="43" fontId="5" fillId="7" borderId="59" xfId="3" applyNumberFormat="1" applyFont="1" applyFill="1" applyBorder="1" applyAlignment="1" applyProtection="1">
      <alignment horizontal="right" vertical="center"/>
      <protection locked="0"/>
    </xf>
    <xf numFmtId="14" fontId="5" fillId="7" borderId="59" xfId="3" applyNumberFormat="1" applyFont="1" applyFill="1" applyBorder="1" applyAlignment="1" applyProtection="1">
      <alignment vertical="center"/>
      <protection locked="0"/>
    </xf>
    <xf numFmtId="14" fontId="5" fillId="7" borderId="59" xfId="3" applyNumberFormat="1" applyFont="1" applyFill="1" applyBorder="1" applyAlignment="1" applyProtection="1">
      <alignment horizontal="right" vertical="center"/>
      <protection locked="0"/>
    </xf>
    <xf numFmtId="14" fontId="4" fillId="7" borderId="50" xfId="3" applyNumberFormat="1" applyFont="1" applyFill="1" applyBorder="1" applyAlignment="1" applyProtection="1">
      <alignment horizontal="right" vertical="center"/>
      <protection locked="0"/>
    </xf>
    <xf numFmtId="8" fontId="0" fillId="7" borderId="7" xfId="0" applyNumberFormat="1" applyFill="1" applyBorder="1" applyAlignment="1" applyProtection="1">
      <alignment horizontal="center" vertical="center" wrapText="1"/>
      <protection locked="0"/>
    </xf>
    <xf numFmtId="8" fontId="0" fillId="7" borderId="5" xfId="0" applyNumberFormat="1" applyFill="1" applyBorder="1" applyAlignment="1" applyProtection="1">
      <alignment horizontal="center" vertical="center" wrapText="1"/>
      <protection locked="0"/>
    </xf>
    <xf numFmtId="8" fontId="0" fillId="7" borderId="6" xfId="0" applyNumberFormat="1" applyFill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Border="1" applyAlignment="1">
      <alignment horizontal="center" vertical="center"/>
    </xf>
    <xf numFmtId="164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wrapText="1"/>
    </xf>
    <xf numFmtId="10" fontId="0" fillId="7" borderId="12" xfId="1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12" fillId="0" borderId="0" xfId="6" applyAlignment="1">
      <alignment vertical="center"/>
    </xf>
    <xf numFmtId="0" fontId="24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" fillId="0" borderId="0" xfId="0" applyFont="1"/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23" fillId="0" borderId="1" xfId="11" applyNumberFormat="1" applyFont="1" applyBorder="1" applyAlignment="1">
      <alignment horizontal="center" vertical="center"/>
    </xf>
    <xf numFmtId="1" fontId="23" fillId="0" borderId="1" xfId="11" applyNumberFormat="1" applyFont="1" applyBorder="1" applyAlignment="1">
      <alignment horizontal="center" vertical="center" wrapText="1"/>
    </xf>
    <xf numFmtId="2" fontId="23" fillId="0" borderId="1" xfId="11" applyNumberFormat="1" applyFont="1" applyBorder="1" applyAlignment="1">
      <alignment horizontal="center" vertical="center"/>
    </xf>
    <xf numFmtId="0" fontId="23" fillId="0" borderId="1" xfId="11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71" xfId="0" applyFont="1" applyBorder="1" applyAlignment="1">
      <alignment vertical="center" wrapText="1"/>
    </xf>
    <xf numFmtId="8" fontId="0" fillId="7" borderId="1" xfId="0" applyNumberFormat="1" applyFill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>
      <alignment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71" xfId="0" applyFont="1" applyBorder="1" applyAlignment="1">
      <alignment vertical="center"/>
    </xf>
    <xf numFmtId="0" fontId="21" fillId="0" borderId="72" xfId="0" applyFont="1" applyBorder="1" applyAlignment="1">
      <alignment horizontal="left" vertical="center"/>
    </xf>
    <xf numFmtId="0" fontId="2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1" fillId="0" borderId="4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5" fillId="0" borderId="18" xfId="5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67" fontId="1" fillId="10" borderId="1" xfId="0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7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67" fontId="1" fillId="8" borderId="1" xfId="0" applyNumberFormat="1" applyFont="1" applyFill="1" applyBorder="1" applyAlignment="1">
      <alignment horizontal="center" vertical="center"/>
    </xf>
    <xf numFmtId="0" fontId="0" fillId="11" borderId="76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34" fillId="12" borderId="0" xfId="0" applyFont="1" applyFill="1" applyAlignment="1">
      <alignment horizontal="center" vertical="center" wrapText="1"/>
    </xf>
    <xf numFmtId="4" fontId="0" fillId="0" borderId="0" xfId="0" applyNumberFormat="1"/>
    <xf numFmtId="0" fontId="34" fillId="12" borderId="79" xfId="0" applyFont="1" applyFill="1" applyBorder="1" applyAlignment="1">
      <alignment horizontal="center" vertical="center" wrapText="1"/>
    </xf>
    <xf numFmtId="0" fontId="34" fillId="12" borderId="81" xfId="0" applyFont="1" applyFill="1" applyBorder="1" applyAlignment="1">
      <alignment horizontal="center" vertical="center" wrapText="1"/>
    </xf>
    <xf numFmtId="17" fontId="35" fillId="13" borderId="80" xfId="0" applyNumberFormat="1" applyFont="1" applyFill="1" applyBorder="1" applyAlignment="1">
      <alignment horizontal="center" vertical="center" wrapText="1"/>
    </xf>
    <xf numFmtId="17" fontId="35" fillId="13" borderId="82" xfId="0" applyNumberFormat="1" applyFont="1" applyFill="1" applyBorder="1" applyAlignment="1">
      <alignment horizontal="center" vertical="center" wrapText="1"/>
    </xf>
    <xf numFmtId="0" fontId="36" fillId="14" borderId="0" xfId="0" applyFont="1" applyFill="1" applyAlignment="1">
      <alignment horizontal="center" vertical="center" wrapText="1"/>
    </xf>
    <xf numFmtId="4" fontId="36" fillId="14" borderId="81" xfId="0" applyNumberFormat="1" applyFont="1" applyFill="1" applyBorder="1" applyAlignment="1">
      <alignment horizontal="center" vertical="center" wrapText="1"/>
    </xf>
    <xf numFmtId="0" fontId="36" fillId="15" borderId="0" xfId="0" applyFont="1" applyFill="1" applyAlignment="1">
      <alignment horizontal="center" vertical="center" wrapText="1"/>
    </xf>
    <xf numFmtId="4" fontId="36" fillId="15" borderId="81" xfId="0" applyNumberFormat="1" applyFont="1" applyFill="1" applyBorder="1" applyAlignment="1">
      <alignment horizontal="center" vertical="center" wrapText="1"/>
    </xf>
    <xf numFmtId="0" fontId="36" fillId="15" borderId="83" xfId="0" applyFont="1" applyFill="1" applyBorder="1" applyAlignment="1">
      <alignment horizontal="center" vertical="center" wrapText="1"/>
    </xf>
    <xf numFmtId="4" fontId="36" fillId="15" borderId="8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5" fillId="0" borderId="0" xfId="0" applyNumberFormat="1" applyFont="1"/>
    <xf numFmtId="2" fontId="57" fillId="51" borderId="1" xfId="0" applyNumberFormat="1" applyFont="1" applyFill="1" applyBorder="1" applyAlignment="1">
      <alignment horizontal="center" vertical="center"/>
    </xf>
    <xf numFmtId="49" fontId="29" fillId="0" borderId="0" xfId="0" applyNumberFormat="1" applyFont="1" applyAlignment="1">
      <alignment horizontal="left" vertical="center"/>
    </xf>
    <xf numFmtId="4" fontId="0" fillId="0" borderId="0" xfId="0" applyNumberFormat="1" applyFill="1" applyAlignment="1">
      <alignment horizontal="center" vertical="center"/>
    </xf>
    <xf numFmtId="0" fontId="58" fillId="0" borderId="0" xfId="0" applyFont="1" applyAlignment="1">
      <alignment vertical="center"/>
    </xf>
    <xf numFmtId="0" fontId="58" fillId="0" borderId="0" xfId="7" applyFont="1" applyAlignment="1">
      <alignment vertical="center"/>
    </xf>
    <xf numFmtId="43" fontId="58" fillId="0" borderId="0" xfId="7" applyNumberFormat="1" applyFont="1" applyAlignment="1">
      <alignment vertical="center"/>
    </xf>
    <xf numFmtId="10" fontId="5" fillId="0" borderId="65" xfId="7" applyNumberFormat="1" applyFont="1" applyFill="1" applyBorder="1" applyAlignment="1" applyProtection="1">
      <alignment horizontal="right" vertical="center"/>
    </xf>
    <xf numFmtId="10" fontId="5" fillId="0" borderId="30" xfId="7" applyNumberFormat="1" applyFont="1" applyFill="1" applyBorder="1" applyAlignment="1" applyProtection="1">
      <alignment horizontal="right" vertical="center"/>
    </xf>
    <xf numFmtId="0" fontId="59" fillId="0" borderId="0" xfId="0" applyFont="1"/>
    <xf numFmtId="49" fontId="5" fillId="52" borderId="0" xfId="0" applyNumberFormat="1" applyFont="1" applyFill="1"/>
    <xf numFmtId="43" fontId="58" fillId="0" borderId="0" xfId="5" applyFont="1" applyAlignment="1">
      <alignment vertical="center"/>
    </xf>
    <xf numFmtId="4" fontId="5" fillId="0" borderId="0" xfId="7" applyNumberFormat="1" applyFont="1" applyAlignment="1">
      <alignment horizontal="center" vertical="center"/>
    </xf>
    <xf numFmtId="43" fontId="5" fillId="0" borderId="0" xfId="8" applyNumberFormat="1" applyFont="1" applyAlignment="1">
      <alignment vertical="center"/>
    </xf>
    <xf numFmtId="8" fontId="21" fillId="0" borderId="0" xfId="0" applyNumberFormat="1" applyFont="1" applyBorder="1" applyAlignment="1">
      <alignment horizontal="right" vertical="center" wrapText="1"/>
    </xf>
    <xf numFmtId="8" fontId="21" fillId="0" borderId="0" xfId="0" applyNumberFormat="1" applyFont="1" applyBorder="1" applyAlignment="1">
      <alignment horizontal="center" vertical="center" wrapText="1"/>
    </xf>
    <xf numFmtId="8" fontId="21" fillId="0" borderId="101" xfId="0" applyNumberFormat="1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8" fontId="21" fillId="0" borderId="1" xfId="0" applyNumberFormat="1" applyFont="1" applyBorder="1" applyAlignment="1">
      <alignment horizontal="center" vertical="center" wrapText="1"/>
    </xf>
    <xf numFmtId="4" fontId="0" fillId="7" borderId="1" xfId="0" applyNumberForma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7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2" fontId="0" fillId="0" borderId="0" xfId="0" applyNumberFormat="1"/>
    <xf numFmtId="0" fontId="5" fillId="0" borderId="0" xfId="7" applyFont="1" applyAlignment="1">
      <alignment horizontal="right" vertical="center"/>
    </xf>
    <xf numFmtId="0" fontId="60" fillId="0" borderId="0" xfId="7" applyFont="1" applyAlignment="1">
      <alignment horizontal="right" vertical="center"/>
    </xf>
    <xf numFmtId="4" fontId="61" fillId="51" borderId="0" xfId="7" applyNumberFormat="1" applyFont="1" applyFill="1" applyAlignment="1">
      <alignment horizontal="center" vertical="center"/>
    </xf>
    <xf numFmtId="10" fontId="0" fillId="0" borderId="30" xfId="1" applyNumberFormat="1" applyFont="1" applyFill="1" applyBorder="1" applyAlignment="1" applyProtection="1">
      <alignment horizontal="center"/>
    </xf>
    <xf numFmtId="43" fontId="4" fillId="0" borderId="57" xfId="8" applyNumberFormat="1" applyFont="1" applyBorder="1" applyAlignment="1">
      <alignment horizontal="right" vertical="center"/>
    </xf>
    <xf numFmtId="10" fontId="5" fillId="0" borderId="0" xfId="1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2" fillId="6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7" borderId="0" xfId="0" applyFont="1" applyFill="1" applyAlignment="1" applyProtection="1">
      <alignment horizontal="center"/>
    </xf>
    <xf numFmtId="0" fontId="7" fillId="0" borderId="36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37" xfId="0" applyFont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10" fontId="5" fillId="0" borderId="2" xfId="1" applyNumberFormat="1" applyFont="1" applyFill="1" applyBorder="1" applyAlignment="1" applyProtection="1">
      <alignment horizontal="center" vertical="center" wrapText="1"/>
    </xf>
    <xf numFmtId="10" fontId="5" fillId="0" borderId="3" xfId="1" applyNumberFormat="1" applyFont="1" applyFill="1" applyBorder="1" applyAlignment="1" applyProtection="1">
      <alignment horizontal="center" vertical="center" wrapText="1"/>
    </xf>
    <xf numFmtId="10" fontId="5" fillId="0" borderId="24" xfId="1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24" xfId="0" applyFont="1" applyFill="1" applyBorder="1" applyAlignment="1" applyProtection="1">
      <alignment horizontal="center"/>
    </xf>
    <xf numFmtId="0" fontId="4" fillId="3" borderId="26" xfId="0" applyFont="1" applyFill="1" applyBorder="1" applyAlignment="1" applyProtection="1">
      <alignment horizontal="center"/>
    </xf>
    <xf numFmtId="0" fontId="4" fillId="3" borderId="27" xfId="0" applyFont="1" applyFill="1" applyBorder="1" applyAlignment="1" applyProtection="1">
      <alignment horizontal="center"/>
    </xf>
    <xf numFmtId="0" fontId="4" fillId="3" borderId="28" xfId="0" applyFont="1" applyFill="1" applyBorder="1" applyAlignment="1" applyProtection="1">
      <alignment horizontal="center"/>
    </xf>
    <xf numFmtId="0" fontId="24" fillId="0" borderId="1" xfId="0" applyFont="1" applyBorder="1" applyAlignment="1">
      <alignment horizontal="center" vertical="center" wrapText="1"/>
    </xf>
    <xf numFmtId="43" fontId="5" fillId="0" borderId="0" xfId="5" applyFont="1" applyAlignment="1">
      <alignment horizontal="left" vertical="center"/>
    </xf>
    <xf numFmtId="0" fontId="20" fillId="2" borderId="48" xfId="7" applyFont="1" applyFill="1" applyBorder="1" applyAlignment="1">
      <alignment horizontal="center" vertical="center" wrapText="1"/>
    </xf>
    <xf numFmtId="0" fontId="20" fillId="2" borderId="49" xfId="7" applyFont="1" applyFill="1" applyBorder="1" applyAlignment="1">
      <alignment horizontal="center" vertical="center" wrapText="1"/>
    </xf>
    <xf numFmtId="0" fontId="20" fillId="2" borderId="50" xfId="7" applyFont="1" applyFill="1" applyBorder="1" applyAlignment="1">
      <alignment horizontal="center" vertical="center" wrapTex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0" xfId="7" applyFont="1" applyFill="1" applyBorder="1" applyAlignment="1">
      <alignment horizontal="center" vertical="center" wrapText="1"/>
    </xf>
    <xf numFmtId="0" fontId="14" fillId="2" borderId="51" xfId="7" applyFont="1" applyFill="1" applyBorder="1" applyAlignment="1">
      <alignment horizontal="center" vertical="center" wrapText="1"/>
    </xf>
    <xf numFmtId="0" fontId="14" fillId="2" borderId="52" xfId="7" applyFont="1" applyFill="1" applyBorder="1" applyAlignment="1">
      <alignment horizontal="center" vertical="center" wrapText="1"/>
    </xf>
    <xf numFmtId="0" fontId="14" fillId="2" borderId="53" xfId="7" applyFont="1" applyFill="1" applyBorder="1" applyAlignment="1">
      <alignment horizontal="center" vertical="center" wrapText="1"/>
    </xf>
    <xf numFmtId="0" fontId="14" fillId="2" borderId="54" xfId="7" applyFont="1" applyFill="1" applyBorder="1" applyAlignment="1">
      <alignment horizontal="center" vertical="center" wrapText="1"/>
    </xf>
    <xf numFmtId="43" fontId="4" fillId="0" borderId="0" xfId="5" applyFont="1" applyAlignment="1">
      <alignment horizontal="right" vertical="center"/>
    </xf>
    <xf numFmtId="43" fontId="4" fillId="2" borderId="45" xfId="5" applyFont="1" applyFill="1" applyBorder="1" applyAlignment="1">
      <alignment horizontal="left" vertical="center"/>
    </xf>
    <xf numFmtId="43" fontId="4" fillId="2" borderId="46" xfId="5" applyFont="1" applyFill="1" applyBorder="1" applyAlignment="1">
      <alignment horizontal="left" vertical="center"/>
    </xf>
    <xf numFmtId="43" fontId="4" fillId="2" borderId="47" xfId="5" applyFont="1" applyFill="1" applyBorder="1" applyAlignment="1">
      <alignment horizontal="left" vertical="center"/>
    </xf>
    <xf numFmtId="49" fontId="4" fillId="3" borderId="0" xfId="3" applyNumberFormat="1" applyFont="1" applyFill="1" applyAlignment="1">
      <alignment horizontal="right" vertical="center" wrapText="1"/>
    </xf>
    <xf numFmtId="49" fontId="4" fillId="3" borderId="51" xfId="3" applyNumberFormat="1" applyFont="1" applyFill="1" applyBorder="1" applyAlignment="1">
      <alignment horizontal="right" vertical="center" wrapText="1"/>
    </xf>
    <xf numFmtId="43" fontId="4" fillId="2" borderId="55" xfId="5" applyFont="1" applyFill="1" applyBorder="1" applyAlignment="1">
      <alignment horizontal="left" vertical="center" wrapText="1"/>
    </xf>
    <xf numFmtId="43" fontId="4" fillId="2" borderId="56" xfId="5" applyFont="1" applyFill="1" applyBorder="1" applyAlignment="1">
      <alignment horizontal="left" vertical="center" wrapText="1"/>
    </xf>
    <xf numFmtId="43" fontId="4" fillId="2" borderId="57" xfId="5" applyFont="1" applyFill="1" applyBorder="1" applyAlignment="1">
      <alignment horizontal="left" vertical="center" wrapText="1"/>
    </xf>
    <xf numFmtId="0" fontId="4" fillId="7" borderId="0" xfId="7" applyFont="1" applyFill="1" applyAlignment="1">
      <alignment horizontal="center" vertical="center"/>
    </xf>
    <xf numFmtId="43" fontId="4" fillId="0" borderId="23" xfId="5" applyFont="1" applyBorder="1" applyAlignment="1">
      <alignment horizontal="left" vertical="center" wrapText="1"/>
    </xf>
    <xf numFmtId="43" fontId="4" fillId="0" borderId="1" xfId="5" applyFont="1" applyBorder="1" applyAlignment="1">
      <alignment horizontal="left" vertical="center" wrapText="1"/>
    </xf>
    <xf numFmtId="43" fontId="5" fillId="0" borderId="18" xfId="5" applyFont="1" applyBorder="1" applyAlignment="1">
      <alignment horizontal="left" vertical="center"/>
    </xf>
    <xf numFmtId="43" fontId="5" fillId="0" borderId="53" xfId="5" applyFont="1" applyBorder="1" applyAlignment="1">
      <alignment horizontal="left" vertical="center"/>
    </xf>
    <xf numFmtId="43" fontId="4" fillId="2" borderId="61" xfId="5" applyFont="1" applyFill="1" applyBorder="1" applyAlignment="1">
      <alignment horizontal="left" vertical="center" wrapText="1"/>
    </xf>
    <xf numFmtId="43" fontId="4" fillId="2" borderId="62" xfId="5" applyFont="1" applyFill="1" applyBorder="1" applyAlignment="1">
      <alignment horizontal="left" vertical="center" wrapText="1"/>
    </xf>
    <xf numFmtId="43" fontId="4" fillId="2" borderId="63" xfId="5" applyFont="1" applyFill="1" applyBorder="1" applyAlignment="1">
      <alignment horizontal="left" vertical="center" wrapText="1"/>
    </xf>
    <xf numFmtId="43" fontId="4" fillId="0" borderId="13" xfId="5" applyFont="1" applyBorder="1" applyAlignment="1">
      <alignment horizontal="left" vertical="center" wrapText="1"/>
    </xf>
    <xf numFmtId="43" fontId="4" fillId="0" borderId="3" xfId="5" applyFont="1" applyBorder="1" applyAlignment="1">
      <alignment horizontal="left" vertical="center" wrapText="1"/>
    </xf>
    <xf numFmtId="43" fontId="4" fillId="0" borderId="4" xfId="5" applyFont="1" applyBorder="1" applyAlignment="1">
      <alignment horizontal="left" vertical="center" wrapText="1"/>
    </xf>
    <xf numFmtId="0" fontId="5" fillId="3" borderId="0" xfId="5" applyNumberFormat="1" applyFont="1" applyFill="1" applyAlignment="1">
      <alignment horizontal="left" vertical="center"/>
    </xf>
    <xf numFmtId="43" fontId="4" fillId="3" borderId="52" xfId="5" applyFont="1" applyFill="1" applyBorder="1" applyAlignment="1">
      <alignment horizontal="left" vertical="center"/>
    </xf>
    <xf numFmtId="43" fontId="4" fillId="3" borderId="53" xfId="5" applyFont="1" applyFill="1" applyBorder="1" applyAlignment="1">
      <alignment horizontal="left" vertical="center"/>
    </xf>
    <xf numFmtId="43" fontId="4" fillId="0" borderId="14" xfId="5" applyFont="1" applyBorder="1" applyAlignment="1">
      <alignment horizontal="left" vertical="center" wrapText="1"/>
    </xf>
    <xf numFmtId="43" fontId="4" fillId="0" borderId="15" xfId="5" applyFont="1" applyBorder="1" applyAlignment="1">
      <alignment horizontal="left" vertical="center" wrapText="1"/>
    </xf>
    <xf numFmtId="43" fontId="4" fillId="0" borderId="10" xfId="5" applyFont="1" applyBorder="1" applyAlignment="1">
      <alignment horizontal="left" vertical="center" wrapText="1"/>
    </xf>
    <xf numFmtId="43" fontId="4" fillId="0" borderId="0" xfId="5" applyFont="1" applyAlignment="1">
      <alignment horizontal="left" vertical="center" wrapText="1"/>
    </xf>
    <xf numFmtId="43" fontId="4" fillId="0" borderId="52" xfId="5" applyFont="1" applyBorder="1" applyAlignment="1">
      <alignment horizontal="left" vertical="center" wrapText="1"/>
    </xf>
    <xf numFmtId="43" fontId="4" fillId="0" borderId="68" xfId="5" applyFont="1" applyBorder="1" applyAlignment="1">
      <alignment horizontal="left" vertical="center" wrapText="1"/>
    </xf>
    <xf numFmtId="43" fontId="4" fillId="0" borderId="67" xfId="5" applyFont="1" applyBorder="1" applyAlignment="1">
      <alignment horizontal="left" vertical="center" wrapText="1"/>
    </xf>
    <xf numFmtId="43" fontId="4" fillId="0" borderId="20" xfId="5" applyFont="1" applyBorder="1" applyAlignment="1">
      <alignment horizontal="left" vertical="center" wrapText="1"/>
    </xf>
    <xf numFmtId="43" fontId="4" fillId="0" borderId="64" xfId="5" applyFont="1" applyBorder="1" applyAlignment="1">
      <alignment horizontal="left" vertical="center" wrapText="1"/>
    </xf>
    <xf numFmtId="43" fontId="5" fillId="0" borderId="0" xfId="5" applyFont="1" applyAlignment="1">
      <alignment horizontal="left" vertical="center" wrapText="1"/>
    </xf>
    <xf numFmtId="43" fontId="5" fillId="0" borderId="18" xfId="5" applyFont="1" applyBorder="1" applyAlignment="1">
      <alignment horizontal="left" vertical="center" wrapText="1"/>
    </xf>
    <xf numFmtId="43" fontId="4" fillId="0" borderId="53" xfId="5" applyFont="1" applyBorder="1" applyAlignment="1">
      <alignment horizontal="left" vertical="center" wrapText="1"/>
    </xf>
    <xf numFmtId="43" fontId="4" fillId="0" borderId="13" xfId="5" applyFont="1" applyBorder="1" applyAlignment="1">
      <alignment horizontal="left" vertical="center"/>
    </xf>
    <xf numFmtId="43" fontId="4" fillId="0" borderId="3" xfId="5" applyFont="1" applyBorder="1" applyAlignment="1">
      <alignment horizontal="left" vertical="center"/>
    </xf>
    <xf numFmtId="43" fontId="4" fillId="0" borderId="61" xfId="5" applyFont="1" applyBorder="1" applyAlignment="1">
      <alignment horizontal="left" vertical="center" wrapText="1"/>
    </xf>
    <xf numFmtId="43" fontId="4" fillId="0" borderId="62" xfId="5" applyFont="1" applyBorder="1" applyAlignment="1">
      <alignment horizontal="left" vertical="center" wrapText="1"/>
    </xf>
    <xf numFmtId="43" fontId="4" fillId="0" borderId="63" xfId="5" applyFont="1" applyBorder="1" applyAlignment="1">
      <alignment horizontal="left" vertical="center" wrapText="1"/>
    </xf>
    <xf numFmtId="0" fontId="5" fillId="0" borderId="12" xfId="5" applyNumberFormat="1" applyFont="1" applyBorder="1" applyAlignment="1">
      <alignment horizontal="left" vertical="center" wrapText="1"/>
    </xf>
    <xf numFmtId="0" fontId="5" fillId="0" borderId="16" xfId="5" applyNumberFormat="1" applyFont="1" applyBorder="1" applyAlignment="1">
      <alignment horizontal="left" vertical="center" wrapText="1"/>
    </xf>
    <xf numFmtId="0" fontId="5" fillId="0" borderId="0" xfId="5" applyNumberFormat="1" applyFont="1" applyAlignment="1">
      <alignment horizontal="left" vertical="center" wrapText="1"/>
    </xf>
    <xf numFmtId="0" fontId="5" fillId="0" borderId="18" xfId="5" applyNumberFormat="1" applyFont="1" applyBorder="1" applyAlignment="1">
      <alignment horizontal="left" vertical="center" wrapText="1"/>
    </xf>
    <xf numFmtId="43" fontId="4" fillId="2" borderId="61" xfId="5" applyFont="1" applyFill="1" applyBorder="1" applyAlignment="1">
      <alignment horizontal="left" vertical="center"/>
    </xf>
    <xf numFmtId="43" fontId="4" fillId="2" borderId="62" xfId="5" applyFont="1" applyFill="1" applyBorder="1" applyAlignment="1">
      <alignment horizontal="left" vertical="center"/>
    </xf>
    <xf numFmtId="43" fontId="4" fillId="2" borderId="63" xfId="5" applyFont="1" applyFill="1" applyBorder="1" applyAlignment="1">
      <alignment horizontal="left" vertical="center"/>
    </xf>
    <xf numFmtId="0" fontId="4" fillId="0" borderId="45" xfId="7" applyFont="1" applyBorder="1" applyAlignment="1">
      <alignment horizontal="left" vertical="center" wrapText="1"/>
    </xf>
    <xf numFmtId="0" fontId="4" fillId="0" borderId="46" xfId="7" applyFont="1" applyBorder="1" applyAlignment="1">
      <alignment horizontal="left" vertical="center" wrapText="1"/>
    </xf>
    <xf numFmtId="43" fontId="5" fillId="0" borderId="10" xfId="5" applyFont="1" applyBorder="1" applyAlignment="1">
      <alignment horizontal="left" vertical="top"/>
    </xf>
    <xf numFmtId="43" fontId="5" fillId="0" borderId="17" xfId="5" applyFont="1" applyBorder="1" applyAlignment="1">
      <alignment horizontal="left" vertical="center" wrapText="1"/>
    </xf>
    <xf numFmtId="43" fontId="4" fillId="0" borderId="70" xfId="5" applyFont="1" applyBorder="1" applyAlignment="1">
      <alignment vertical="center" wrapText="1"/>
    </xf>
    <xf numFmtId="43" fontId="4" fillId="0" borderId="65" xfId="5" applyFont="1" applyBorder="1" applyAlignment="1">
      <alignment vertical="center" wrapText="1"/>
    </xf>
    <xf numFmtId="43" fontId="4" fillId="0" borderId="17" xfId="5" applyFont="1" applyBorder="1" applyAlignment="1">
      <alignment vertical="center" wrapText="1"/>
    </xf>
    <xf numFmtId="43" fontId="5" fillId="0" borderId="53" xfId="5" applyFont="1" applyBorder="1" applyAlignment="1">
      <alignment horizontal="left" vertical="center" wrapText="1"/>
    </xf>
    <xf numFmtId="43" fontId="4" fillId="0" borderId="53" xfId="5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8" fontId="21" fillId="0" borderId="2" xfId="0" applyNumberFormat="1" applyFont="1" applyBorder="1" applyAlignment="1">
      <alignment horizontal="right" vertical="center" wrapText="1"/>
    </xf>
    <xf numFmtId="8" fontId="21" fillId="0" borderId="3" xfId="0" applyNumberFormat="1" applyFont="1" applyBorder="1" applyAlignment="1">
      <alignment horizontal="right" vertical="center" wrapText="1"/>
    </xf>
    <xf numFmtId="8" fontId="21" fillId="0" borderId="4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27" fillId="0" borderId="3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33" fillId="11" borderId="0" xfId="0" applyFont="1" applyFill="1" applyAlignment="1">
      <alignment horizontal="center" vertical="center"/>
    </xf>
    <xf numFmtId="0" fontId="0" fillId="0" borderId="0" xfId="0"/>
    <xf numFmtId="0" fontId="34" fillId="12" borderId="77" xfId="0" applyFont="1" applyFill="1" applyBorder="1" applyAlignment="1">
      <alignment horizontal="center" vertical="center" wrapText="1"/>
    </xf>
    <xf numFmtId="0" fontId="34" fillId="12" borderId="80" xfId="0" applyFont="1" applyFill="1" applyBorder="1" applyAlignment="1">
      <alignment horizontal="center" vertical="center" wrapText="1"/>
    </xf>
    <xf numFmtId="0" fontId="34" fillId="12" borderId="78" xfId="0" applyFont="1" applyFill="1" applyBorder="1" applyAlignment="1">
      <alignment horizontal="center" vertical="center" wrapText="1"/>
    </xf>
    <xf numFmtId="0" fontId="34" fillId="12" borderId="0" xfId="0" applyFont="1" applyFill="1" applyAlignment="1">
      <alignment horizontal="center" vertical="center" wrapText="1"/>
    </xf>
  </cellXfs>
  <cellStyles count="113">
    <cellStyle name="20% - Ênfase1 2" xfId="81" xr:uid="{F8201FE1-F26F-48A3-96F7-8D29E00F2B16}"/>
    <cellStyle name="20% - Ênfase1 3" xfId="13" xr:uid="{FED7846B-29A5-4D64-ADFD-6E11B69CFC4E}"/>
    <cellStyle name="20% - Ênfase2 2" xfId="85" xr:uid="{0B0C80C5-0E12-4362-9D8B-0E7D797DC4BE}"/>
    <cellStyle name="20% - Ênfase2 3" xfId="14" xr:uid="{96D08F00-ECCB-4C69-A9CC-72DFBCFD8024}"/>
    <cellStyle name="20% - Ênfase3 2" xfId="89" xr:uid="{9F419EE5-CBC8-48AF-888A-0FE66ABECE12}"/>
    <cellStyle name="20% - Ênfase3 3" xfId="15" xr:uid="{ABE7A6CC-F615-40C9-8B65-EC52D4382CC4}"/>
    <cellStyle name="20% - Ênfase4 2" xfId="93" xr:uid="{5A33A562-AD9F-4143-A047-D263E1287F4B}"/>
    <cellStyle name="20% - Ênfase4 3" xfId="16" xr:uid="{688EF5B0-F0AE-48F9-8DD7-0B283FC59765}"/>
    <cellStyle name="20% - Ênfase5 2" xfId="60" xr:uid="{1EBC41B2-850C-4EE7-B0D8-C23405068FC2}"/>
    <cellStyle name="20% - Ênfase5 3" xfId="97" xr:uid="{E242B397-307F-4CB2-8F0C-58C269AC0933}"/>
    <cellStyle name="20% - Ênfase5 4" xfId="17" xr:uid="{60F63807-D65D-4803-81F5-D9C84AD01F8E}"/>
    <cellStyle name="20% - Ênfase6 2" xfId="101" xr:uid="{C4D260C4-13C2-416E-9F55-EFD3D34F6B30}"/>
    <cellStyle name="20% - Ênfase6 3" xfId="18" xr:uid="{B2159420-0975-4972-9081-2B5E04C25A8F}"/>
    <cellStyle name="40% - Ênfase1 2" xfId="61" xr:uid="{BDA90F6A-4A0D-46B1-9C3C-1B02C8E24634}"/>
    <cellStyle name="40% - Ênfase1 3" xfId="82" xr:uid="{5A78A899-F104-4D82-9A96-9142A94A4377}"/>
    <cellStyle name="40% - Ênfase1 4" xfId="19" xr:uid="{3E5B22AB-C889-42B5-81AD-06A34F39213D}"/>
    <cellStyle name="40% - Ênfase2 2" xfId="86" xr:uid="{58CF8E4E-9FF2-4200-869D-73F3ABD87DB9}"/>
    <cellStyle name="40% - Ênfase2 3" xfId="20" xr:uid="{62CBC28B-A363-476A-8CA2-3A66AC509CFB}"/>
    <cellStyle name="40% - Ênfase3 2" xfId="90" xr:uid="{F99F2D63-7905-4283-8370-8D71A6EBAE83}"/>
    <cellStyle name="40% - Ênfase3 3" xfId="21" xr:uid="{994D5F74-4EA8-4F5C-996C-76E64B2DD9A0}"/>
    <cellStyle name="40% - Ênfase4 2" xfId="94" xr:uid="{A946369B-D236-4B25-AFE9-6F9BA4AE763B}"/>
    <cellStyle name="40% - Ênfase4 3" xfId="22" xr:uid="{440DB043-ED53-440A-AEF1-B38639F1A0F4}"/>
    <cellStyle name="40% - Ênfase5 2" xfId="62" xr:uid="{CF539A1E-3D13-498F-897D-A7214E368F15}"/>
    <cellStyle name="40% - Ênfase5 3" xfId="98" xr:uid="{9E79BF00-94D3-4439-863F-7CE8D69277A9}"/>
    <cellStyle name="40% - Ênfase5 4" xfId="23" xr:uid="{0F217130-A6C1-4A3B-B054-2368D8F9EAE4}"/>
    <cellStyle name="40% - Ênfase6 2" xfId="102" xr:uid="{0C68E4AB-2737-4FFE-9B41-9B4D62855794}"/>
    <cellStyle name="40% - Ênfase6 3" xfId="24" xr:uid="{BA43E262-35D3-47D2-B067-6D8E4D2B8D0A}"/>
    <cellStyle name="60% - Ênfase1 2" xfId="63" xr:uid="{C40C276A-3BF2-4290-9114-A578C760365D}"/>
    <cellStyle name="60% - Ênfase1 3" xfId="83" xr:uid="{B673E04F-E32C-4AB4-A93C-929B5A4D3EEF}"/>
    <cellStyle name="60% - Ênfase1 4" xfId="25" xr:uid="{1228A1F6-B312-40BD-BD26-63C6847BBA97}"/>
    <cellStyle name="60% - Ênfase2 2" xfId="87" xr:uid="{AFFF415B-0788-4B3F-B2FA-918BC9836547}"/>
    <cellStyle name="60% - Ênfase2 3" xfId="26" xr:uid="{721BFBAC-FA12-41A9-88C6-2089563AD8B5}"/>
    <cellStyle name="60% - Ênfase3 2" xfId="91" xr:uid="{B4E6780F-C222-410B-9CDC-2FC233283D34}"/>
    <cellStyle name="60% - Ênfase3 3" xfId="27" xr:uid="{5DD58722-A7A1-4755-AA4A-8680CD3202F8}"/>
    <cellStyle name="60% - Ênfase4 2" xfId="95" xr:uid="{66750EA2-1080-4C25-9CA9-EB6E6A12FD69}"/>
    <cellStyle name="60% - Ênfase4 3" xfId="28" xr:uid="{A3337649-9DF6-43D0-8D6A-CF22D94A2EAE}"/>
    <cellStyle name="60% - Ênfase5 2" xfId="99" xr:uid="{BA73F670-6F88-4EB8-B1A2-FA66359CB780}"/>
    <cellStyle name="60% - Ênfase5 3" xfId="29" xr:uid="{A2801023-E52D-4592-9B9B-E9AC288D1C03}"/>
    <cellStyle name="60% - Ênfase6 2" xfId="103" xr:uid="{19F21BFA-A76D-479A-81E3-40D9AD26876E}"/>
    <cellStyle name="60% - Ênfase6 3" xfId="30" xr:uid="{E897813A-04C5-4D51-9AA7-3248401921FE}"/>
    <cellStyle name="Bom 2" xfId="70" xr:uid="{1A31F9C0-2371-454E-B47F-B1DA14ABE092}"/>
    <cellStyle name="Bom 3" xfId="31" xr:uid="{ACDC4BA7-62B6-4ED4-B194-57216436CF1F}"/>
    <cellStyle name="Cálculo 2" xfId="73" xr:uid="{063FC8C6-E748-4376-BF41-BB4FE4EB899D}"/>
    <cellStyle name="Cálculo 3" xfId="32" xr:uid="{F657B989-C6BA-4FAB-9ADF-C7C4AFBB8948}"/>
    <cellStyle name="Célula de Verificação 2" xfId="75" xr:uid="{D39293C2-5B45-40BC-A05E-3368600E3585}"/>
    <cellStyle name="Célula de Verificação 3" xfId="33" xr:uid="{5F4B024A-8BBC-41C5-BBD5-F41670639BD7}"/>
    <cellStyle name="Célula Vinculada 2" xfId="74" xr:uid="{7BC2040C-87F8-488A-9060-4FEC129861EA}"/>
    <cellStyle name="Célula Vinculada 3" xfId="34" xr:uid="{34F8BAB7-6F3C-4F01-BC8B-286863BCAFC4}"/>
    <cellStyle name="Ênfase1 2" xfId="80" xr:uid="{DD520B76-6809-4ED7-A1EC-EA91749778EB}"/>
    <cellStyle name="Ênfase1 3" xfId="35" xr:uid="{A6EF4691-8CA5-4D0D-9D0D-467D07936A30}"/>
    <cellStyle name="Ênfase2 2" xfId="84" xr:uid="{6BC675F6-FBE0-43E0-9F95-7404D939FF6A}"/>
    <cellStyle name="Ênfase2 3" xfId="36" xr:uid="{EA5F10FE-FA87-48D4-8302-0DD561A5F08A}"/>
    <cellStyle name="Ênfase3 2" xfId="88" xr:uid="{2C580959-B9BB-4E26-AC2B-B5ACF89AAA19}"/>
    <cellStyle name="Ênfase3 3" xfId="37" xr:uid="{3EDB771C-F627-4874-B5CC-377388124FC1}"/>
    <cellStyle name="Ênfase4 2" xfId="92" xr:uid="{4D552D1D-9491-4070-8F8E-483BCA366CC1}"/>
    <cellStyle name="Ênfase4 3" xfId="38" xr:uid="{D8F69C96-090B-4BBD-BBDC-AEAF83F30013}"/>
    <cellStyle name="Ênfase5 2" xfId="96" xr:uid="{76455B1B-3584-42F9-ACA8-3E8B745AA4BA}"/>
    <cellStyle name="Ênfase5 3" xfId="39" xr:uid="{0F604E6C-1C64-47C6-A5A3-67F736145EB1}"/>
    <cellStyle name="Ênfase6 2" xfId="100" xr:uid="{4B5C5D55-5546-4018-8558-80070F64D93A}"/>
    <cellStyle name="Ênfase6 3" xfId="40" xr:uid="{70750C82-C41B-4996-9A32-5EC3C3E0B599}"/>
    <cellStyle name="Entrada 2" xfId="71" xr:uid="{76CBF073-0E19-49EA-B629-C45F9DB004B3}"/>
    <cellStyle name="Entrada 3" xfId="41" xr:uid="{698AE85C-1AA5-46E5-B12F-0868E72AF580}"/>
    <cellStyle name="Excel_BuiltIn_Currency" xfId="104" xr:uid="{A0D36FA3-13A7-4499-A3EC-D462C7862C8C}"/>
    <cellStyle name="Heading" xfId="105" xr:uid="{AE0232F1-B40A-4510-BF49-FDFB5CB24249}"/>
    <cellStyle name="Heading1" xfId="106" xr:uid="{D42196DE-0B37-4F57-BC86-8CDF09EE8804}"/>
    <cellStyle name="Hiperlink" xfId="6" builtinId="8"/>
    <cellStyle name="Incorreto" xfId="44" xr:uid="{138749A3-CAAC-40FA-917C-EEA9D45BCEF2}"/>
    <cellStyle name="Incorreto 2" xfId="64" xr:uid="{980CC020-DEF9-45D9-8168-063DDBF6931B}"/>
    <cellStyle name="Incorreto 3" xfId="107" xr:uid="{E8B7BB9D-45AB-4D90-B62D-0D6F9A4E8FEA}"/>
    <cellStyle name="Moeda" xfId="2" builtinId="4"/>
    <cellStyle name="Moeda 2" xfId="112" xr:uid="{F489E095-4D9A-4508-9A46-D316BF2DF97E}"/>
    <cellStyle name="Moeda 2 2" xfId="10" xr:uid="{8E2AED75-2724-482A-A6D5-3E34BDB9C99C}"/>
    <cellStyle name="Moeda 3" xfId="65" xr:uid="{3FD65B08-8BCE-402D-86EE-2A632482EA2E}"/>
    <cellStyle name="Moeda 4" xfId="45" xr:uid="{1F49A10E-47B0-47C3-9F6E-73BF5619C31B}"/>
    <cellStyle name="Neutra" xfId="46" xr:uid="{232D65D8-B5C2-4662-BC78-59D41BEF52A6}"/>
    <cellStyle name="Neutra 2" xfId="108" xr:uid="{4B561587-8F10-4531-A114-D81D3656438A}"/>
    <cellStyle name="Normal" xfId="0" builtinId="0"/>
    <cellStyle name="Normal 2" xfId="3" xr:uid="{BFA73939-564E-4DAC-8D80-E3509CD8DCAE}"/>
    <cellStyle name="Normal 2 2" xfId="59" xr:uid="{AC499E02-1D26-4382-ACC9-3C935E567CFD}"/>
    <cellStyle name="Normal 3" xfId="7" xr:uid="{10707C39-BDC3-41EB-897F-640DE5B6C68E}"/>
    <cellStyle name="Normal 4" xfId="12" xr:uid="{9069491A-DF4B-4DC5-AC75-38D9870E4773}"/>
    <cellStyle name="Normal 7" xfId="11" xr:uid="{88EAE5BC-694B-4A73-8AA1-BC31173986BA}"/>
    <cellStyle name="Nota 2" xfId="77" xr:uid="{C1DB1AE1-7E22-4CC3-B616-E1CA6DEE6C6A}"/>
    <cellStyle name="Nota 3" xfId="47" xr:uid="{F9C0D7B7-A777-49EE-90DE-C7E2FDEF9E11}"/>
    <cellStyle name="Porcentagem" xfId="1" builtinId="5"/>
    <cellStyle name="Porcentagem 2" xfId="4" xr:uid="{00091534-BF87-4A5B-824F-DF4F79CEBE7A}"/>
    <cellStyle name="Result" xfId="109" xr:uid="{CEC1120B-6121-4F2E-AF9E-D433C58C81A8}"/>
    <cellStyle name="Result2" xfId="110" xr:uid="{7A449F60-24C9-43BD-A6C2-25E3DB280025}"/>
    <cellStyle name="Resultado" xfId="48" xr:uid="{CE8D712B-F9F3-4491-BA41-766C06FE2D3A}"/>
    <cellStyle name="Resultado2" xfId="49" xr:uid="{90A5CD5F-3DD4-496E-9127-6758927D6BA4}"/>
    <cellStyle name="Saída 2" xfId="72" xr:uid="{5D1BB967-4692-4DDB-A331-FB6B7F662C15}"/>
    <cellStyle name="Saída 3" xfId="50" xr:uid="{D6E47A72-3347-4A2A-9750-FDEFC3121844}"/>
    <cellStyle name="Texto de Aviso 2" xfId="76" xr:uid="{78E406BD-8B35-4A34-8740-DC18ED73EB8D}"/>
    <cellStyle name="Texto de Aviso 3" xfId="51" xr:uid="{0D63D9F0-2316-4141-8A19-BF399AF86A34}"/>
    <cellStyle name="Texto Explicativo 2" xfId="78" xr:uid="{DA35C794-11BA-4154-A731-E6814706E1A9}"/>
    <cellStyle name="Texto Explicativo 3" xfId="52" xr:uid="{17B30929-2398-4A91-B104-50F11056D8F6}"/>
    <cellStyle name="Título 1 2" xfId="66" xr:uid="{52E497F4-BE92-44C9-8C26-F30F6BE44C9B}"/>
    <cellStyle name="Título 1 3" xfId="53" xr:uid="{ACAF24B3-9A66-46E3-B465-1CBE20C68883}"/>
    <cellStyle name="Título 2 2" xfId="67" xr:uid="{F3622D49-9BCA-419B-94C4-46C50A7DFB97}"/>
    <cellStyle name="Título 2 3" xfId="54" xr:uid="{915EC971-4480-4737-B7DC-52A78E6CF219}"/>
    <cellStyle name="Título 3 2" xfId="68" xr:uid="{4166A610-B6FA-4581-BC25-64AED3B1B899}"/>
    <cellStyle name="Título 3 3" xfId="55" xr:uid="{48C196DA-57D8-4591-A58B-440F6CBE2A37}"/>
    <cellStyle name="Título 4 2" xfId="69" xr:uid="{1C97D789-0E38-48E1-92C9-842A934F2E8B}"/>
    <cellStyle name="Título 4 3" xfId="56" xr:uid="{076E7A8C-DEA4-4C8D-94FC-A6F3CD2F95BC}"/>
    <cellStyle name="Título 5" xfId="57" xr:uid="{F67F9B75-AE0E-42B4-8A0C-4EF86E0BDAB3}"/>
    <cellStyle name="Título 5 2" xfId="111" xr:uid="{0E030DA0-9D35-44A7-AB41-5B7EBEE1A5D1}"/>
    <cellStyle name="Título 6" xfId="42" xr:uid="{26874755-1DD4-4321-9970-ABC8587A24ED}"/>
    <cellStyle name="Título1" xfId="43" xr:uid="{72C9AFF8-2681-4E9B-8690-CE361E6B1B30}"/>
    <cellStyle name="Total 2" xfId="79" xr:uid="{103FD115-9E4E-4889-97FF-DC341212BE39}"/>
    <cellStyle name="Total 3" xfId="58" xr:uid="{8A041A32-0154-4EC2-81CC-4C84664D5806}"/>
    <cellStyle name="Vírgula" xfId="5" builtinId="3"/>
    <cellStyle name="Vírgula 3 2" xfId="9" xr:uid="{94A7514E-21C4-4204-BDA0-F8C589754948}"/>
    <cellStyle name="Vírgula 4" xfId="8" xr:uid="{E956BE0C-F64E-49A9-A418-8E8DD9FED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3257550</xdr:colOff>
      <xdr:row>2</xdr:row>
      <xdr:rowOff>104775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5CA2A81-5C7E-46DC-B797-357AFC53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3228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4</xdr:row>
      <xdr:rowOff>0</xdr:rowOff>
    </xdr:from>
    <xdr:to>
      <xdr:col>1</xdr:col>
      <xdr:colOff>0</xdr:colOff>
      <xdr:row>4</xdr:row>
      <xdr:rowOff>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1768516B-BFDA-4A65-A459-D071545C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3219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ao Bulhoes de Lima Neto" id="{C3346374-EECF-441D-B2D0-6090D6B16003}" userId="S::joao.bulhoes@mj.gov.br::40327f0c-a4de-4390-b9ee-73db245cc5e4" providerId="AD"/>
  <person displayName="Gilberto de Oliveira Maximo" id="{9E38A2BA-215A-4B26-9AD8-502D3705187A}" userId="S::gilberto.maximo@cgu.gov.br::54361949-fca1-499d-979f-9a9df253716a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A7B72489-0345-4490-972F-55C6D810261B}">
    <text>Inserir a data da Proposta</text>
  </threadedComment>
  <threadedComment ref="A40" dT="2020-07-22T21:03:40.58" personId="{9E38A2BA-215A-4B26-9AD8-502D3705187A}" id="{1FDBAB80-36CD-4572-A61C-4D2B22D813BE}">
    <text>Esses percentuais de 13º e Férias foram definidos para coincidirem com os valores que serão recolhidos mensalmente para a Conta Vinculada</text>
  </threadedComment>
  <threadedComment ref="C43" dT="2020-07-23T13:48:10.64" personId="{9E38A2BA-215A-4B26-9AD8-502D3705187A}" id="{7B59CCF2-25B2-42C4-A2AC-620E878BB4EB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5" dT="2020-07-22T21:02:39.01" personId="{9E38A2BA-215A-4B26-9AD8-502D3705187A}" id="{1720CF8B-4E6B-4273-B7AB-4CA6FE4DCF8B}">
    <text>Com exceção do item C (SAT) que varia de empresa para empresa,  todos os percentuais do  Submódulo 2.2 são fixos, definidos em lei.</text>
  </threadedComment>
  <threadedComment ref="D65" dT="2020-07-29T14:13:34.10" personId="{9E38A2BA-215A-4B26-9AD8-502D3705187A}" id="{1F242C39-E3B5-4517-8ED2-B916BE7E337D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  <threadedComment ref="C86" dT="2021-06-24T00:12:07.29" personId="{C3346374-EECF-441D-B2D0-6090D6B16003}" id="{68863816-49FB-4A9C-B1CD-5EE1F022F277}">
    <text>Somando com o percentual de férias do Submódulo 2.1 o resultado é 12,10%, que coincide com o valor a ser recolhido mensalmente para a conta vinculada.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B13B2F83-DA16-4A3B-A7E8-F44EAB036B96}">
    <text>Inserir a data da Proposta</text>
  </threadedComment>
  <threadedComment ref="A40" dT="2020-07-22T21:03:40.58" personId="{9E38A2BA-215A-4B26-9AD8-502D3705187A}" id="{67FD71F1-C6DD-4982-BBE1-2B94C38B23A7}">
    <text>Esses percentuais de 13º e Férias foram definidos para coincidirem com os valores que serão recolhidos mensalmente para a Conta Vinculada</text>
  </threadedComment>
  <threadedComment ref="C43" dT="2020-07-23T13:48:10.64" personId="{9E38A2BA-215A-4B26-9AD8-502D3705187A}" id="{9C31DF41-2662-4DFD-88F1-616979003080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5" dT="2020-07-22T21:02:39.01" personId="{9E38A2BA-215A-4B26-9AD8-502D3705187A}" id="{B1A381C0-42D8-41F5-896D-B19A396C1238}">
    <text>Com exceção do item C (SAT) que varia de empresa para empresa,  todos os percentuais do  Submódulo 2.2 são fixos, definidos em lei.</text>
  </threadedComment>
  <threadedComment ref="D65" dT="2020-07-29T14:13:34.10" personId="{9E38A2BA-215A-4B26-9AD8-502D3705187A}" id="{9FC031A7-9520-49A9-90E1-C90F3999648C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3627AE98-2EE9-4326-8919-14FA263FB4DA}">
    <text>Inserir a data da Proposta</text>
  </threadedComment>
  <threadedComment ref="A40" dT="2020-07-22T21:03:40.58" personId="{9E38A2BA-215A-4B26-9AD8-502D3705187A}" id="{A6EFF94A-17B1-48F7-A842-F786D819A8DF}">
    <text>Esses percentuais de 13º e Férias foram definidos para coincidirem com os valores que serão recolhidos mensalmente para a Conta Vinculada</text>
  </threadedComment>
  <threadedComment ref="C43" dT="2020-07-23T13:48:10.64" personId="{9E38A2BA-215A-4B26-9AD8-502D3705187A}" id="{3C4E2B54-B496-4331-8E71-C13C6B826BB4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5" dT="2020-07-22T21:02:39.01" personId="{9E38A2BA-215A-4B26-9AD8-502D3705187A}" id="{D00341F3-8C71-4879-83AF-C97F8F2C7D6A}">
    <text>Com exceção do item C (SAT) que varia de empresa para empresa,  todos os percentuais do  Submódulo 2.2 são fixos, definidos em lei.</text>
  </threadedComment>
  <threadedComment ref="D65" dT="2020-07-29T14:13:34.10" personId="{9E38A2BA-215A-4B26-9AD8-502D3705187A}" id="{5AFB3395-95AE-4BA2-9835-4D9F4E96054C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DE01703E-9602-4871-9165-3444351F399F}">
    <text>Inserir a data da Proposta</text>
  </threadedComment>
  <threadedComment ref="A40" dT="2020-07-22T21:03:40.58" personId="{9E38A2BA-215A-4B26-9AD8-502D3705187A}" id="{A32AEAD2-30E3-44FF-A71F-1C7D0808A89D}">
    <text>Esses percentuais de 13º e Férias foram definidos para coincidirem com os valores que serão recolhidos mensalmente para a Conta Vinculada</text>
  </threadedComment>
  <threadedComment ref="C43" dT="2020-07-23T13:48:10.64" personId="{9E38A2BA-215A-4B26-9AD8-502D3705187A}" id="{E0844335-5C57-443C-AAF8-DB727ADB6385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5" dT="2020-07-22T21:02:39.01" personId="{9E38A2BA-215A-4B26-9AD8-502D3705187A}" id="{B226D708-711E-417D-8E92-FB3EB56782BF}">
    <text>Com exceção do item C (SAT) que varia de empresa para empresa,  todos os percentuais do  Submódulo 2.2 são fixos, definidos em lei.</text>
  </threadedComment>
  <threadedComment ref="D65" dT="2020-07-29T14:13:34.10" personId="{9E38A2BA-215A-4B26-9AD8-502D3705187A}" id="{AFDF1621-751E-43B5-A995-C3BEFB5ACB38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2FE05C60-44C1-47B8-8A99-549FA133B4D1}">
    <text>Inserir a data da Proposta</text>
  </threadedComment>
  <threadedComment ref="A40" dT="2020-07-22T21:03:40.58" personId="{9E38A2BA-215A-4B26-9AD8-502D3705187A}" id="{6EFB0714-EB87-44CA-AB9F-CE830B17801F}">
    <text>Esses percentuais de 13º e Férias foram definidos para coincidirem com os valores que serão recolhidos mensalmente para a Conta Vinculada</text>
  </threadedComment>
  <threadedComment ref="C43" dT="2020-07-23T13:48:10.64" personId="{9E38A2BA-215A-4B26-9AD8-502D3705187A}" id="{2CB93ABF-F2BD-4914-8FF9-027CF31956DB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5" dT="2020-07-22T21:02:39.01" personId="{9E38A2BA-215A-4B26-9AD8-502D3705187A}" id="{719899A9-0206-4253-8EC0-11F0E0259695}">
    <text>Com exceção do item C (SAT) que varia de empresa para empresa,  todos os percentuais do  Submódulo 2.2 são fixos, definidos em lei.</text>
  </threadedComment>
  <threadedComment ref="D65" dT="2020-07-29T14:13:34.10" personId="{9E38A2BA-215A-4B26-9AD8-502D3705187A}" id="{95DBE0FE-324F-4B97-979A-F31F75203418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D14" dT="2021-06-23T23:32:24.80" personId="{C3346374-EECF-441D-B2D0-6090D6B16003}" id="{7D07033F-F6B3-451C-9FCC-D5AB93DD91EE}">
    <text>Inserir a data da Proposta</text>
  </threadedComment>
  <threadedComment ref="A40" dT="2020-07-22T21:03:40.58" personId="{9E38A2BA-215A-4B26-9AD8-502D3705187A}" id="{A60DB667-FC2D-4987-AF37-343787D575E4}">
    <text>Esses percentuais de 13º e Férias foram definidos para coincidirem com os valores que serão recolhidos mensalmente para a Conta Vinculada</text>
  </threadedComment>
  <threadedComment ref="C43" dT="2020-07-23T13:48:10.64" personId="{9E38A2BA-215A-4B26-9AD8-502D3705187A}" id="{618F6716-7ABE-41CF-9DDF-395BFB422C9C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5" dT="2020-07-22T21:02:39.01" personId="{9E38A2BA-215A-4B26-9AD8-502D3705187A}" id="{6D53812D-1ED6-49A8-B25F-B723B3EB99C6}">
    <text>Com exceção do item C (SAT) que varia de empresa para empresa,  todos os percentuais do  Submódulo 2.2 são fixos, definidos em lei.</text>
  </threadedComment>
  <threadedComment ref="D65" dT="2020-07-29T14:13:34.10" personId="{9E38A2BA-215A-4B26-9AD8-502D3705187A}" id="{A95305F2-3627-44BF-81C5-DDBBD3E86F5F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3.mte.gov.br/sistemas/mediador/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DA47-3F3B-405C-BC4F-976DA10CF26D}">
  <dimension ref="A1:M22"/>
  <sheetViews>
    <sheetView showGridLines="0" tabSelected="1" zoomScale="85" zoomScaleNormal="85" workbookViewId="0">
      <selection activeCell="A21" sqref="A21"/>
    </sheetView>
  </sheetViews>
  <sheetFormatPr defaultRowHeight="13.2" x14ac:dyDescent="0.25"/>
  <cols>
    <col min="1" max="1" width="10.21875" style="1" bestFit="1" customWidth="1"/>
    <col min="2" max="2" width="12" style="1" customWidth="1"/>
    <col min="3" max="3" width="17.5546875" style="1" customWidth="1"/>
    <col min="4" max="4" width="16.6640625" style="1" customWidth="1"/>
    <col min="5" max="5" width="14.109375" style="1" customWidth="1"/>
    <col min="6" max="6" width="12.44140625" style="1" bestFit="1" customWidth="1"/>
    <col min="7" max="7" width="18.33203125" style="1" bestFit="1" customWidth="1"/>
    <col min="8" max="8" width="16" style="1" bestFit="1" customWidth="1"/>
    <col min="9" max="9" width="27.5546875" style="1" customWidth="1"/>
    <col min="10" max="10" width="8.88671875" style="1"/>
    <col min="11" max="11" width="24.44140625" style="1" customWidth="1"/>
    <col min="12" max="13" width="12.88671875" style="1" bestFit="1" customWidth="1"/>
    <col min="14" max="251" width="8.88671875" style="1"/>
    <col min="252" max="252" width="10" style="1" bestFit="1" customWidth="1"/>
    <col min="253" max="253" width="8.88671875" style="1"/>
    <col min="254" max="254" width="15" style="1" bestFit="1" customWidth="1"/>
    <col min="255" max="255" width="14.44140625" style="1" customWidth="1"/>
    <col min="256" max="256" width="10.88671875" style="1" bestFit="1" customWidth="1"/>
    <col min="257" max="257" width="8.88671875" style="1"/>
    <col min="258" max="258" width="19.109375" style="1" customWidth="1"/>
    <col min="259" max="259" width="8.88671875" style="1"/>
    <col min="260" max="260" width="14.5546875" style="1" customWidth="1"/>
    <col min="261" max="261" width="14.109375" style="1" bestFit="1" customWidth="1"/>
    <col min="262" max="262" width="10.5546875" style="1" bestFit="1" customWidth="1"/>
    <col min="263" max="263" width="8.88671875" style="1"/>
    <col min="264" max="264" width="9.5546875" style="1" bestFit="1" customWidth="1"/>
    <col min="265" max="507" width="8.88671875" style="1"/>
    <col min="508" max="508" width="10" style="1" bestFit="1" customWidth="1"/>
    <col min="509" max="509" width="8.88671875" style="1"/>
    <col min="510" max="510" width="15" style="1" bestFit="1" customWidth="1"/>
    <col min="511" max="511" width="14.44140625" style="1" customWidth="1"/>
    <col min="512" max="512" width="10.88671875" style="1" bestFit="1" customWidth="1"/>
    <col min="513" max="513" width="8.88671875" style="1"/>
    <col min="514" max="514" width="19.109375" style="1" customWidth="1"/>
    <col min="515" max="515" width="8.88671875" style="1"/>
    <col min="516" max="516" width="14.5546875" style="1" customWidth="1"/>
    <col min="517" max="517" width="14.109375" style="1" bestFit="1" customWidth="1"/>
    <col min="518" max="518" width="10.5546875" style="1" bestFit="1" customWidth="1"/>
    <col min="519" max="519" width="8.88671875" style="1"/>
    <col min="520" max="520" width="9.5546875" style="1" bestFit="1" customWidth="1"/>
    <col min="521" max="763" width="8.88671875" style="1"/>
    <col min="764" max="764" width="10" style="1" bestFit="1" customWidth="1"/>
    <col min="765" max="765" width="8.88671875" style="1"/>
    <col min="766" max="766" width="15" style="1" bestFit="1" customWidth="1"/>
    <col min="767" max="767" width="14.44140625" style="1" customWidth="1"/>
    <col min="768" max="768" width="10.88671875" style="1" bestFit="1" customWidth="1"/>
    <col min="769" max="769" width="8.88671875" style="1"/>
    <col min="770" max="770" width="19.109375" style="1" customWidth="1"/>
    <col min="771" max="771" width="8.88671875" style="1"/>
    <col min="772" max="772" width="14.5546875" style="1" customWidth="1"/>
    <col min="773" max="773" width="14.109375" style="1" bestFit="1" customWidth="1"/>
    <col min="774" max="774" width="10.5546875" style="1" bestFit="1" customWidth="1"/>
    <col min="775" max="775" width="8.88671875" style="1"/>
    <col min="776" max="776" width="9.5546875" style="1" bestFit="1" customWidth="1"/>
    <col min="777" max="1019" width="8.88671875" style="1"/>
    <col min="1020" max="1020" width="10" style="1" bestFit="1" customWidth="1"/>
    <col min="1021" max="1021" width="8.88671875" style="1"/>
    <col min="1022" max="1022" width="15" style="1" bestFit="1" customWidth="1"/>
    <col min="1023" max="1023" width="14.44140625" style="1" customWidth="1"/>
    <col min="1024" max="1024" width="10.88671875" style="1" bestFit="1" customWidth="1"/>
    <col min="1025" max="1025" width="8.88671875" style="1"/>
    <col min="1026" max="1026" width="19.109375" style="1" customWidth="1"/>
    <col min="1027" max="1027" width="8.88671875" style="1"/>
    <col min="1028" max="1028" width="14.5546875" style="1" customWidth="1"/>
    <col min="1029" max="1029" width="14.109375" style="1" bestFit="1" customWidth="1"/>
    <col min="1030" max="1030" width="10.5546875" style="1" bestFit="1" customWidth="1"/>
    <col min="1031" max="1031" width="8.88671875" style="1"/>
    <col min="1032" max="1032" width="9.5546875" style="1" bestFit="1" customWidth="1"/>
    <col min="1033" max="1275" width="8.88671875" style="1"/>
    <col min="1276" max="1276" width="10" style="1" bestFit="1" customWidth="1"/>
    <col min="1277" max="1277" width="8.88671875" style="1"/>
    <col min="1278" max="1278" width="15" style="1" bestFit="1" customWidth="1"/>
    <col min="1279" max="1279" width="14.44140625" style="1" customWidth="1"/>
    <col min="1280" max="1280" width="10.88671875" style="1" bestFit="1" customWidth="1"/>
    <col min="1281" max="1281" width="8.88671875" style="1"/>
    <col min="1282" max="1282" width="19.109375" style="1" customWidth="1"/>
    <col min="1283" max="1283" width="8.88671875" style="1"/>
    <col min="1284" max="1284" width="14.5546875" style="1" customWidth="1"/>
    <col min="1285" max="1285" width="14.109375" style="1" bestFit="1" customWidth="1"/>
    <col min="1286" max="1286" width="10.5546875" style="1" bestFit="1" customWidth="1"/>
    <col min="1287" max="1287" width="8.88671875" style="1"/>
    <col min="1288" max="1288" width="9.5546875" style="1" bestFit="1" customWidth="1"/>
    <col min="1289" max="1531" width="8.88671875" style="1"/>
    <col min="1532" max="1532" width="10" style="1" bestFit="1" customWidth="1"/>
    <col min="1533" max="1533" width="8.88671875" style="1"/>
    <col min="1534" max="1534" width="15" style="1" bestFit="1" customWidth="1"/>
    <col min="1535" max="1535" width="14.44140625" style="1" customWidth="1"/>
    <col min="1536" max="1536" width="10.88671875" style="1" bestFit="1" customWidth="1"/>
    <col min="1537" max="1537" width="8.88671875" style="1"/>
    <col min="1538" max="1538" width="19.109375" style="1" customWidth="1"/>
    <col min="1539" max="1539" width="8.88671875" style="1"/>
    <col min="1540" max="1540" width="14.5546875" style="1" customWidth="1"/>
    <col min="1541" max="1541" width="14.109375" style="1" bestFit="1" customWidth="1"/>
    <col min="1542" max="1542" width="10.5546875" style="1" bestFit="1" customWidth="1"/>
    <col min="1543" max="1543" width="8.88671875" style="1"/>
    <col min="1544" max="1544" width="9.5546875" style="1" bestFit="1" customWidth="1"/>
    <col min="1545" max="1787" width="8.88671875" style="1"/>
    <col min="1788" max="1788" width="10" style="1" bestFit="1" customWidth="1"/>
    <col min="1789" max="1789" width="8.88671875" style="1"/>
    <col min="1790" max="1790" width="15" style="1" bestFit="1" customWidth="1"/>
    <col min="1791" max="1791" width="14.44140625" style="1" customWidth="1"/>
    <col min="1792" max="1792" width="10.88671875" style="1" bestFit="1" customWidth="1"/>
    <col min="1793" max="1793" width="8.88671875" style="1"/>
    <col min="1794" max="1794" width="19.109375" style="1" customWidth="1"/>
    <col min="1795" max="1795" width="8.88671875" style="1"/>
    <col min="1796" max="1796" width="14.5546875" style="1" customWidth="1"/>
    <col min="1797" max="1797" width="14.109375" style="1" bestFit="1" customWidth="1"/>
    <col min="1798" max="1798" width="10.5546875" style="1" bestFit="1" customWidth="1"/>
    <col min="1799" max="1799" width="8.88671875" style="1"/>
    <col min="1800" max="1800" width="9.5546875" style="1" bestFit="1" customWidth="1"/>
    <col min="1801" max="2043" width="8.88671875" style="1"/>
    <col min="2044" max="2044" width="10" style="1" bestFit="1" customWidth="1"/>
    <col min="2045" max="2045" width="8.88671875" style="1"/>
    <col min="2046" max="2046" width="15" style="1" bestFit="1" customWidth="1"/>
    <col min="2047" max="2047" width="14.44140625" style="1" customWidth="1"/>
    <col min="2048" max="2048" width="10.88671875" style="1" bestFit="1" customWidth="1"/>
    <col min="2049" max="2049" width="8.88671875" style="1"/>
    <col min="2050" max="2050" width="19.109375" style="1" customWidth="1"/>
    <col min="2051" max="2051" width="8.88671875" style="1"/>
    <col min="2052" max="2052" width="14.5546875" style="1" customWidth="1"/>
    <col min="2053" max="2053" width="14.109375" style="1" bestFit="1" customWidth="1"/>
    <col min="2054" max="2054" width="10.5546875" style="1" bestFit="1" customWidth="1"/>
    <col min="2055" max="2055" width="8.88671875" style="1"/>
    <col min="2056" max="2056" width="9.5546875" style="1" bestFit="1" customWidth="1"/>
    <col min="2057" max="2299" width="8.88671875" style="1"/>
    <col min="2300" max="2300" width="10" style="1" bestFit="1" customWidth="1"/>
    <col min="2301" max="2301" width="8.88671875" style="1"/>
    <col min="2302" max="2302" width="15" style="1" bestFit="1" customWidth="1"/>
    <col min="2303" max="2303" width="14.44140625" style="1" customWidth="1"/>
    <col min="2304" max="2304" width="10.88671875" style="1" bestFit="1" customWidth="1"/>
    <col min="2305" max="2305" width="8.88671875" style="1"/>
    <col min="2306" max="2306" width="19.109375" style="1" customWidth="1"/>
    <col min="2307" max="2307" width="8.88671875" style="1"/>
    <col min="2308" max="2308" width="14.5546875" style="1" customWidth="1"/>
    <col min="2309" max="2309" width="14.109375" style="1" bestFit="1" customWidth="1"/>
    <col min="2310" max="2310" width="10.5546875" style="1" bestFit="1" customWidth="1"/>
    <col min="2311" max="2311" width="8.88671875" style="1"/>
    <col min="2312" max="2312" width="9.5546875" style="1" bestFit="1" customWidth="1"/>
    <col min="2313" max="2555" width="8.88671875" style="1"/>
    <col min="2556" max="2556" width="10" style="1" bestFit="1" customWidth="1"/>
    <col min="2557" max="2557" width="8.88671875" style="1"/>
    <col min="2558" max="2558" width="15" style="1" bestFit="1" customWidth="1"/>
    <col min="2559" max="2559" width="14.44140625" style="1" customWidth="1"/>
    <col min="2560" max="2560" width="10.88671875" style="1" bestFit="1" customWidth="1"/>
    <col min="2561" max="2561" width="8.88671875" style="1"/>
    <col min="2562" max="2562" width="19.109375" style="1" customWidth="1"/>
    <col min="2563" max="2563" width="8.88671875" style="1"/>
    <col min="2564" max="2564" width="14.5546875" style="1" customWidth="1"/>
    <col min="2565" max="2565" width="14.109375" style="1" bestFit="1" customWidth="1"/>
    <col min="2566" max="2566" width="10.5546875" style="1" bestFit="1" customWidth="1"/>
    <col min="2567" max="2567" width="8.88671875" style="1"/>
    <col min="2568" max="2568" width="9.5546875" style="1" bestFit="1" customWidth="1"/>
    <col min="2569" max="2811" width="8.88671875" style="1"/>
    <col min="2812" max="2812" width="10" style="1" bestFit="1" customWidth="1"/>
    <col min="2813" max="2813" width="8.88671875" style="1"/>
    <col min="2814" max="2814" width="15" style="1" bestFit="1" customWidth="1"/>
    <col min="2815" max="2815" width="14.44140625" style="1" customWidth="1"/>
    <col min="2816" max="2816" width="10.88671875" style="1" bestFit="1" customWidth="1"/>
    <col min="2817" max="2817" width="8.88671875" style="1"/>
    <col min="2818" max="2818" width="19.109375" style="1" customWidth="1"/>
    <col min="2819" max="2819" width="8.88671875" style="1"/>
    <col min="2820" max="2820" width="14.5546875" style="1" customWidth="1"/>
    <col min="2821" max="2821" width="14.109375" style="1" bestFit="1" customWidth="1"/>
    <col min="2822" max="2822" width="10.5546875" style="1" bestFit="1" customWidth="1"/>
    <col min="2823" max="2823" width="8.88671875" style="1"/>
    <col min="2824" max="2824" width="9.5546875" style="1" bestFit="1" customWidth="1"/>
    <col min="2825" max="3067" width="8.88671875" style="1"/>
    <col min="3068" max="3068" width="10" style="1" bestFit="1" customWidth="1"/>
    <col min="3069" max="3069" width="8.88671875" style="1"/>
    <col min="3070" max="3070" width="15" style="1" bestFit="1" customWidth="1"/>
    <col min="3071" max="3071" width="14.44140625" style="1" customWidth="1"/>
    <col min="3072" max="3072" width="10.88671875" style="1" bestFit="1" customWidth="1"/>
    <col min="3073" max="3073" width="8.88671875" style="1"/>
    <col min="3074" max="3074" width="19.109375" style="1" customWidth="1"/>
    <col min="3075" max="3075" width="8.88671875" style="1"/>
    <col min="3076" max="3076" width="14.5546875" style="1" customWidth="1"/>
    <col min="3077" max="3077" width="14.109375" style="1" bestFit="1" customWidth="1"/>
    <col min="3078" max="3078" width="10.5546875" style="1" bestFit="1" customWidth="1"/>
    <col min="3079" max="3079" width="8.88671875" style="1"/>
    <col min="3080" max="3080" width="9.5546875" style="1" bestFit="1" customWidth="1"/>
    <col min="3081" max="3323" width="8.88671875" style="1"/>
    <col min="3324" max="3324" width="10" style="1" bestFit="1" customWidth="1"/>
    <col min="3325" max="3325" width="8.88671875" style="1"/>
    <col min="3326" max="3326" width="15" style="1" bestFit="1" customWidth="1"/>
    <col min="3327" max="3327" width="14.44140625" style="1" customWidth="1"/>
    <col min="3328" max="3328" width="10.88671875" style="1" bestFit="1" customWidth="1"/>
    <col min="3329" max="3329" width="8.88671875" style="1"/>
    <col min="3330" max="3330" width="19.109375" style="1" customWidth="1"/>
    <col min="3331" max="3331" width="8.88671875" style="1"/>
    <col min="3332" max="3332" width="14.5546875" style="1" customWidth="1"/>
    <col min="3333" max="3333" width="14.109375" style="1" bestFit="1" customWidth="1"/>
    <col min="3334" max="3334" width="10.5546875" style="1" bestFit="1" customWidth="1"/>
    <col min="3335" max="3335" width="8.88671875" style="1"/>
    <col min="3336" max="3336" width="9.5546875" style="1" bestFit="1" customWidth="1"/>
    <col min="3337" max="3579" width="8.88671875" style="1"/>
    <col min="3580" max="3580" width="10" style="1" bestFit="1" customWidth="1"/>
    <col min="3581" max="3581" width="8.88671875" style="1"/>
    <col min="3582" max="3582" width="15" style="1" bestFit="1" customWidth="1"/>
    <col min="3583" max="3583" width="14.44140625" style="1" customWidth="1"/>
    <col min="3584" max="3584" width="10.88671875" style="1" bestFit="1" customWidth="1"/>
    <col min="3585" max="3585" width="8.88671875" style="1"/>
    <col min="3586" max="3586" width="19.109375" style="1" customWidth="1"/>
    <col min="3587" max="3587" width="8.88671875" style="1"/>
    <col min="3588" max="3588" width="14.5546875" style="1" customWidth="1"/>
    <col min="3589" max="3589" width="14.109375" style="1" bestFit="1" customWidth="1"/>
    <col min="3590" max="3590" width="10.5546875" style="1" bestFit="1" customWidth="1"/>
    <col min="3591" max="3591" width="8.88671875" style="1"/>
    <col min="3592" max="3592" width="9.5546875" style="1" bestFit="1" customWidth="1"/>
    <col min="3593" max="3835" width="8.88671875" style="1"/>
    <col min="3836" max="3836" width="10" style="1" bestFit="1" customWidth="1"/>
    <col min="3837" max="3837" width="8.88671875" style="1"/>
    <col min="3838" max="3838" width="15" style="1" bestFit="1" customWidth="1"/>
    <col min="3839" max="3839" width="14.44140625" style="1" customWidth="1"/>
    <col min="3840" max="3840" width="10.88671875" style="1" bestFit="1" customWidth="1"/>
    <col min="3841" max="3841" width="8.88671875" style="1"/>
    <col min="3842" max="3842" width="19.109375" style="1" customWidth="1"/>
    <col min="3843" max="3843" width="8.88671875" style="1"/>
    <col min="3844" max="3844" width="14.5546875" style="1" customWidth="1"/>
    <col min="3845" max="3845" width="14.109375" style="1" bestFit="1" customWidth="1"/>
    <col min="3846" max="3846" width="10.5546875" style="1" bestFit="1" customWidth="1"/>
    <col min="3847" max="3847" width="8.88671875" style="1"/>
    <col min="3848" max="3848" width="9.5546875" style="1" bestFit="1" customWidth="1"/>
    <col min="3849" max="4091" width="8.88671875" style="1"/>
    <col min="4092" max="4092" width="10" style="1" bestFit="1" customWidth="1"/>
    <col min="4093" max="4093" width="8.88671875" style="1"/>
    <col min="4094" max="4094" width="15" style="1" bestFit="1" customWidth="1"/>
    <col min="4095" max="4095" width="14.44140625" style="1" customWidth="1"/>
    <col min="4096" max="4096" width="10.88671875" style="1" bestFit="1" customWidth="1"/>
    <col min="4097" max="4097" width="8.88671875" style="1"/>
    <col min="4098" max="4098" width="19.109375" style="1" customWidth="1"/>
    <col min="4099" max="4099" width="8.88671875" style="1"/>
    <col min="4100" max="4100" width="14.5546875" style="1" customWidth="1"/>
    <col min="4101" max="4101" width="14.109375" style="1" bestFit="1" customWidth="1"/>
    <col min="4102" max="4102" width="10.5546875" style="1" bestFit="1" customWidth="1"/>
    <col min="4103" max="4103" width="8.88671875" style="1"/>
    <col min="4104" max="4104" width="9.5546875" style="1" bestFit="1" customWidth="1"/>
    <col min="4105" max="4347" width="8.88671875" style="1"/>
    <col min="4348" max="4348" width="10" style="1" bestFit="1" customWidth="1"/>
    <col min="4349" max="4349" width="8.88671875" style="1"/>
    <col min="4350" max="4350" width="15" style="1" bestFit="1" customWidth="1"/>
    <col min="4351" max="4351" width="14.44140625" style="1" customWidth="1"/>
    <col min="4352" max="4352" width="10.88671875" style="1" bestFit="1" customWidth="1"/>
    <col min="4353" max="4353" width="8.88671875" style="1"/>
    <col min="4354" max="4354" width="19.109375" style="1" customWidth="1"/>
    <col min="4355" max="4355" width="8.88671875" style="1"/>
    <col min="4356" max="4356" width="14.5546875" style="1" customWidth="1"/>
    <col min="4357" max="4357" width="14.109375" style="1" bestFit="1" customWidth="1"/>
    <col min="4358" max="4358" width="10.5546875" style="1" bestFit="1" customWidth="1"/>
    <col min="4359" max="4359" width="8.88671875" style="1"/>
    <col min="4360" max="4360" width="9.5546875" style="1" bestFit="1" customWidth="1"/>
    <col min="4361" max="4603" width="8.88671875" style="1"/>
    <col min="4604" max="4604" width="10" style="1" bestFit="1" customWidth="1"/>
    <col min="4605" max="4605" width="8.88671875" style="1"/>
    <col min="4606" max="4606" width="15" style="1" bestFit="1" customWidth="1"/>
    <col min="4607" max="4607" width="14.44140625" style="1" customWidth="1"/>
    <col min="4608" max="4608" width="10.88671875" style="1" bestFit="1" customWidth="1"/>
    <col min="4609" max="4609" width="8.88671875" style="1"/>
    <col min="4610" max="4610" width="19.109375" style="1" customWidth="1"/>
    <col min="4611" max="4611" width="8.88671875" style="1"/>
    <col min="4612" max="4612" width="14.5546875" style="1" customWidth="1"/>
    <col min="4613" max="4613" width="14.109375" style="1" bestFit="1" customWidth="1"/>
    <col min="4614" max="4614" width="10.5546875" style="1" bestFit="1" customWidth="1"/>
    <col min="4615" max="4615" width="8.88671875" style="1"/>
    <col min="4616" max="4616" width="9.5546875" style="1" bestFit="1" customWidth="1"/>
    <col min="4617" max="4859" width="8.88671875" style="1"/>
    <col min="4860" max="4860" width="10" style="1" bestFit="1" customWidth="1"/>
    <col min="4861" max="4861" width="8.88671875" style="1"/>
    <col min="4862" max="4862" width="15" style="1" bestFit="1" customWidth="1"/>
    <col min="4863" max="4863" width="14.44140625" style="1" customWidth="1"/>
    <col min="4864" max="4864" width="10.88671875" style="1" bestFit="1" customWidth="1"/>
    <col min="4865" max="4865" width="8.88671875" style="1"/>
    <col min="4866" max="4866" width="19.109375" style="1" customWidth="1"/>
    <col min="4867" max="4867" width="8.88671875" style="1"/>
    <col min="4868" max="4868" width="14.5546875" style="1" customWidth="1"/>
    <col min="4869" max="4869" width="14.109375" style="1" bestFit="1" customWidth="1"/>
    <col min="4870" max="4870" width="10.5546875" style="1" bestFit="1" customWidth="1"/>
    <col min="4871" max="4871" width="8.88671875" style="1"/>
    <col min="4872" max="4872" width="9.5546875" style="1" bestFit="1" customWidth="1"/>
    <col min="4873" max="5115" width="8.88671875" style="1"/>
    <col min="5116" max="5116" width="10" style="1" bestFit="1" customWidth="1"/>
    <col min="5117" max="5117" width="8.88671875" style="1"/>
    <col min="5118" max="5118" width="15" style="1" bestFit="1" customWidth="1"/>
    <col min="5119" max="5119" width="14.44140625" style="1" customWidth="1"/>
    <col min="5120" max="5120" width="10.88671875" style="1" bestFit="1" customWidth="1"/>
    <col min="5121" max="5121" width="8.88671875" style="1"/>
    <col min="5122" max="5122" width="19.109375" style="1" customWidth="1"/>
    <col min="5123" max="5123" width="8.88671875" style="1"/>
    <col min="5124" max="5124" width="14.5546875" style="1" customWidth="1"/>
    <col min="5125" max="5125" width="14.109375" style="1" bestFit="1" customWidth="1"/>
    <col min="5126" max="5126" width="10.5546875" style="1" bestFit="1" customWidth="1"/>
    <col min="5127" max="5127" width="8.88671875" style="1"/>
    <col min="5128" max="5128" width="9.5546875" style="1" bestFit="1" customWidth="1"/>
    <col min="5129" max="5371" width="8.88671875" style="1"/>
    <col min="5372" max="5372" width="10" style="1" bestFit="1" customWidth="1"/>
    <col min="5373" max="5373" width="8.88671875" style="1"/>
    <col min="5374" max="5374" width="15" style="1" bestFit="1" customWidth="1"/>
    <col min="5375" max="5375" width="14.44140625" style="1" customWidth="1"/>
    <col min="5376" max="5376" width="10.88671875" style="1" bestFit="1" customWidth="1"/>
    <col min="5377" max="5377" width="8.88671875" style="1"/>
    <col min="5378" max="5378" width="19.109375" style="1" customWidth="1"/>
    <col min="5379" max="5379" width="8.88671875" style="1"/>
    <col min="5380" max="5380" width="14.5546875" style="1" customWidth="1"/>
    <col min="5381" max="5381" width="14.109375" style="1" bestFit="1" customWidth="1"/>
    <col min="5382" max="5382" width="10.5546875" style="1" bestFit="1" customWidth="1"/>
    <col min="5383" max="5383" width="8.88671875" style="1"/>
    <col min="5384" max="5384" width="9.5546875" style="1" bestFit="1" customWidth="1"/>
    <col min="5385" max="5627" width="8.88671875" style="1"/>
    <col min="5628" max="5628" width="10" style="1" bestFit="1" customWidth="1"/>
    <col min="5629" max="5629" width="8.88671875" style="1"/>
    <col min="5630" max="5630" width="15" style="1" bestFit="1" customWidth="1"/>
    <col min="5631" max="5631" width="14.44140625" style="1" customWidth="1"/>
    <col min="5632" max="5632" width="10.88671875" style="1" bestFit="1" customWidth="1"/>
    <col min="5633" max="5633" width="8.88671875" style="1"/>
    <col min="5634" max="5634" width="19.109375" style="1" customWidth="1"/>
    <col min="5635" max="5635" width="8.88671875" style="1"/>
    <col min="5636" max="5636" width="14.5546875" style="1" customWidth="1"/>
    <col min="5637" max="5637" width="14.109375" style="1" bestFit="1" customWidth="1"/>
    <col min="5638" max="5638" width="10.5546875" style="1" bestFit="1" customWidth="1"/>
    <col min="5639" max="5639" width="8.88671875" style="1"/>
    <col min="5640" max="5640" width="9.5546875" style="1" bestFit="1" customWidth="1"/>
    <col min="5641" max="5883" width="8.88671875" style="1"/>
    <col min="5884" max="5884" width="10" style="1" bestFit="1" customWidth="1"/>
    <col min="5885" max="5885" width="8.88671875" style="1"/>
    <col min="5886" max="5886" width="15" style="1" bestFit="1" customWidth="1"/>
    <col min="5887" max="5887" width="14.44140625" style="1" customWidth="1"/>
    <col min="5888" max="5888" width="10.88671875" style="1" bestFit="1" customWidth="1"/>
    <col min="5889" max="5889" width="8.88671875" style="1"/>
    <col min="5890" max="5890" width="19.109375" style="1" customWidth="1"/>
    <col min="5891" max="5891" width="8.88671875" style="1"/>
    <col min="5892" max="5892" width="14.5546875" style="1" customWidth="1"/>
    <col min="5893" max="5893" width="14.109375" style="1" bestFit="1" customWidth="1"/>
    <col min="5894" max="5894" width="10.5546875" style="1" bestFit="1" customWidth="1"/>
    <col min="5895" max="5895" width="8.88671875" style="1"/>
    <col min="5896" max="5896" width="9.5546875" style="1" bestFit="1" customWidth="1"/>
    <col min="5897" max="6139" width="8.88671875" style="1"/>
    <col min="6140" max="6140" width="10" style="1" bestFit="1" customWidth="1"/>
    <col min="6141" max="6141" width="8.88671875" style="1"/>
    <col min="6142" max="6142" width="15" style="1" bestFit="1" customWidth="1"/>
    <col min="6143" max="6143" width="14.44140625" style="1" customWidth="1"/>
    <col min="6144" max="6144" width="10.88671875" style="1" bestFit="1" customWidth="1"/>
    <col min="6145" max="6145" width="8.88671875" style="1"/>
    <col min="6146" max="6146" width="19.109375" style="1" customWidth="1"/>
    <col min="6147" max="6147" width="8.88671875" style="1"/>
    <col min="6148" max="6148" width="14.5546875" style="1" customWidth="1"/>
    <col min="6149" max="6149" width="14.109375" style="1" bestFit="1" customWidth="1"/>
    <col min="6150" max="6150" width="10.5546875" style="1" bestFit="1" customWidth="1"/>
    <col min="6151" max="6151" width="8.88671875" style="1"/>
    <col min="6152" max="6152" width="9.5546875" style="1" bestFit="1" customWidth="1"/>
    <col min="6153" max="6395" width="8.88671875" style="1"/>
    <col min="6396" max="6396" width="10" style="1" bestFit="1" customWidth="1"/>
    <col min="6397" max="6397" width="8.88671875" style="1"/>
    <col min="6398" max="6398" width="15" style="1" bestFit="1" customWidth="1"/>
    <col min="6399" max="6399" width="14.44140625" style="1" customWidth="1"/>
    <col min="6400" max="6400" width="10.88671875" style="1" bestFit="1" customWidth="1"/>
    <col min="6401" max="6401" width="8.88671875" style="1"/>
    <col min="6402" max="6402" width="19.109375" style="1" customWidth="1"/>
    <col min="6403" max="6403" width="8.88671875" style="1"/>
    <col min="6404" max="6404" width="14.5546875" style="1" customWidth="1"/>
    <col min="6405" max="6405" width="14.109375" style="1" bestFit="1" customWidth="1"/>
    <col min="6406" max="6406" width="10.5546875" style="1" bestFit="1" customWidth="1"/>
    <col min="6407" max="6407" width="8.88671875" style="1"/>
    <col min="6408" max="6408" width="9.5546875" style="1" bestFit="1" customWidth="1"/>
    <col min="6409" max="6651" width="8.88671875" style="1"/>
    <col min="6652" max="6652" width="10" style="1" bestFit="1" customWidth="1"/>
    <col min="6653" max="6653" width="8.88671875" style="1"/>
    <col min="6654" max="6654" width="15" style="1" bestFit="1" customWidth="1"/>
    <col min="6655" max="6655" width="14.44140625" style="1" customWidth="1"/>
    <col min="6656" max="6656" width="10.88671875" style="1" bestFit="1" customWidth="1"/>
    <col min="6657" max="6657" width="8.88671875" style="1"/>
    <col min="6658" max="6658" width="19.109375" style="1" customWidth="1"/>
    <col min="6659" max="6659" width="8.88671875" style="1"/>
    <col min="6660" max="6660" width="14.5546875" style="1" customWidth="1"/>
    <col min="6661" max="6661" width="14.109375" style="1" bestFit="1" customWidth="1"/>
    <col min="6662" max="6662" width="10.5546875" style="1" bestFit="1" customWidth="1"/>
    <col min="6663" max="6663" width="8.88671875" style="1"/>
    <col min="6664" max="6664" width="9.5546875" style="1" bestFit="1" customWidth="1"/>
    <col min="6665" max="6907" width="8.88671875" style="1"/>
    <col min="6908" max="6908" width="10" style="1" bestFit="1" customWidth="1"/>
    <col min="6909" max="6909" width="8.88671875" style="1"/>
    <col min="6910" max="6910" width="15" style="1" bestFit="1" customWidth="1"/>
    <col min="6911" max="6911" width="14.44140625" style="1" customWidth="1"/>
    <col min="6912" max="6912" width="10.88671875" style="1" bestFit="1" customWidth="1"/>
    <col min="6913" max="6913" width="8.88671875" style="1"/>
    <col min="6914" max="6914" width="19.109375" style="1" customWidth="1"/>
    <col min="6915" max="6915" width="8.88671875" style="1"/>
    <col min="6916" max="6916" width="14.5546875" style="1" customWidth="1"/>
    <col min="6917" max="6917" width="14.109375" style="1" bestFit="1" customWidth="1"/>
    <col min="6918" max="6918" width="10.5546875" style="1" bestFit="1" customWidth="1"/>
    <col min="6919" max="6919" width="8.88671875" style="1"/>
    <col min="6920" max="6920" width="9.5546875" style="1" bestFit="1" customWidth="1"/>
    <col min="6921" max="7163" width="8.88671875" style="1"/>
    <col min="7164" max="7164" width="10" style="1" bestFit="1" customWidth="1"/>
    <col min="7165" max="7165" width="8.88671875" style="1"/>
    <col min="7166" max="7166" width="15" style="1" bestFit="1" customWidth="1"/>
    <col min="7167" max="7167" width="14.44140625" style="1" customWidth="1"/>
    <col min="7168" max="7168" width="10.88671875" style="1" bestFit="1" customWidth="1"/>
    <col min="7169" max="7169" width="8.88671875" style="1"/>
    <col min="7170" max="7170" width="19.109375" style="1" customWidth="1"/>
    <col min="7171" max="7171" width="8.88671875" style="1"/>
    <col min="7172" max="7172" width="14.5546875" style="1" customWidth="1"/>
    <col min="7173" max="7173" width="14.109375" style="1" bestFit="1" customWidth="1"/>
    <col min="7174" max="7174" width="10.5546875" style="1" bestFit="1" customWidth="1"/>
    <col min="7175" max="7175" width="8.88671875" style="1"/>
    <col min="7176" max="7176" width="9.5546875" style="1" bestFit="1" customWidth="1"/>
    <col min="7177" max="7419" width="8.88671875" style="1"/>
    <col min="7420" max="7420" width="10" style="1" bestFit="1" customWidth="1"/>
    <col min="7421" max="7421" width="8.88671875" style="1"/>
    <col min="7422" max="7422" width="15" style="1" bestFit="1" customWidth="1"/>
    <col min="7423" max="7423" width="14.44140625" style="1" customWidth="1"/>
    <col min="7424" max="7424" width="10.88671875" style="1" bestFit="1" customWidth="1"/>
    <col min="7425" max="7425" width="8.88671875" style="1"/>
    <col min="7426" max="7426" width="19.109375" style="1" customWidth="1"/>
    <col min="7427" max="7427" width="8.88671875" style="1"/>
    <col min="7428" max="7428" width="14.5546875" style="1" customWidth="1"/>
    <col min="7429" max="7429" width="14.109375" style="1" bestFit="1" customWidth="1"/>
    <col min="7430" max="7430" width="10.5546875" style="1" bestFit="1" customWidth="1"/>
    <col min="7431" max="7431" width="8.88671875" style="1"/>
    <col min="7432" max="7432" width="9.5546875" style="1" bestFit="1" customWidth="1"/>
    <col min="7433" max="7675" width="8.88671875" style="1"/>
    <col min="7676" max="7676" width="10" style="1" bestFit="1" customWidth="1"/>
    <col min="7677" max="7677" width="8.88671875" style="1"/>
    <col min="7678" max="7678" width="15" style="1" bestFit="1" customWidth="1"/>
    <col min="7679" max="7679" width="14.44140625" style="1" customWidth="1"/>
    <col min="7680" max="7680" width="10.88671875" style="1" bestFit="1" customWidth="1"/>
    <col min="7681" max="7681" width="8.88671875" style="1"/>
    <col min="7682" max="7682" width="19.109375" style="1" customWidth="1"/>
    <col min="7683" max="7683" width="8.88671875" style="1"/>
    <col min="7684" max="7684" width="14.5546875" style="1" customWidth="1"/>
    <col min="7685" max="7685" width="14.109375" style="1" bestFit="1" customWidth="1"/>
    <col min="7686" max="7686" width="10.5546875" style="1" bestFit="1" customWidth="1"/>
    <col min="7687" max="7687" width="8.88671875" style="1"/>
    <col min="7688" max="7688" width="9.5546875" style="1" bestFit="1" customWidth="1"/>
    <col min="7689" max="7931" width="8.88671875" style="1"/>
    <col min="7932" max="7932" width="10" style="1" bestFit="1" customWidth="1"/>
    <col min="7933" max="7933" width="8.88671875" style="1"/>
    <col min="7934" max="7934" width="15" style="1" bestFit="1" customWidth="1"/>
    <col min="7935" max="7935" width="14.44140625" style="1" customWidth="1"/>
    <col min="7936" max="7936" width="10.88671875" style="1" bestFit="1" customWidth="1"/>
    <col min="7937" max="7937" width="8.88671875" style="1"/>
    <col min="7938" max="7938" width="19.109375" style="1" customWidth="1"/>
    <col min="7939" max="7939" width="8.88671875" style="1"/>
    <col min="7940" max="7940" width="14.5546875" style="1" customWidth="1"/>
    <col min="7941" max="7941" width="14.109375" style="1" bestFit="1" customWidth="1"/>
    <col min="7942" max="7942" width="10.5546875" style="1" bestFit="1" customWidth="1"/>
    <col min="7943" max="7943" width="8.88671875" style="1"/>
    <col min="7944" max="7944" width="9.5546875" style="1" bestFit="1" customWidth="1"/>
    <col min="7945" max="8187" width="8.88671875" style="1"/>
    <col min="8188" max="8188" width="10" style="1" bestFit="1" customWidth="1"/>
    <col min="8189" max="8189" width="8.88671875" style="1"/>
    <col min="8190" max="8190" width="15" style="1" bestFit="1" customWidth="1"/>
    <col min="8191" max="8191" width="14.44140625" style="1" customWidth="1"/>
    <col min="8192" max="8192" width="10.88671875" style="1" bestFit="1" customWidth="1"/>
    <col min="8193" max="8193" width="8.88671875" style="1"/>
    <col min="8194" max="8194" width="19.109375" style="1" customWidth="1"/>
    <col min="8195" max="8195" width="8.88671875" style="1"/>
    <col min="8196" max="8196" width="14.5546875" style="1" customWidth="1"/>
    <col min="8197" max="8197" width="14.109375" style="1" bestFit="1" customWidth="1"/>
    <col min="8198" max="8198" width="10.5546875" style="1" bestFit="1" customWidth="1"/>
    <col min="8199" max="8199" width="8.88671875" style="1"/>
    <col min="8200" max="8200" width="9.5546875" style="1" bestFit="1" customWidth="1"/>
    <col min="8201" max="8443" width="8.88671875" style="1"/>
    <col min="8444" max="8444" width="10" style="1" bestFit="1" customWidth="1"/>
    <col min="8445" max="8445" width="8.88671875" style="1"/>
    <col min="8446" max="8446" width="15" style="1" bestFit="1" customWidth="1"/>
    <col min="8447" max="8447" width="14.44140625" style="1" customWidth="1"/>
    <col min="8448" max="8448" width="10.88671875" style="1" bestFit="1" customWidth="1"/>
    <col min="8449" max="8449" width="8.88671875" style="1"/>
    <col min="8450" max="8450" width="19.109375" style="1" customWidth="1"/>
    <col min="8451" max="8451" width="8.88671875" style="1"/>
    <col min="8452" max="8452" width="14.5546875" style="1" customWidth="1"/>
    <col min="8453" max="8453" width="14.109375" style="1" bestFit="1" customWidth="1"/>
    <col min="8454" max="8454" width="10.5546875" style="1" bestFit="1" customWidth="1"/>
    <col min="8455" max="8455" width="8.88671875" style="1"/>
    <col min="8456" max="8456" width="9.5546875" style="1" bestFit="1" customWidth="1"/>
    <col min="8457" max="8699" width="8.88671875" style="1"/>
    <col min="8700" max="8700" width="10" style="1" bestFit="1" customWidth="1"/>
    <col min="8701" max="8701" width="8.88671875" style="1"/>
    <col min="8702" max="8702" width="15" style="1" bestFit="1" customWidth="1"/>
    <col min="8703" max="8703" width="14.44140625" style="1" customWidth="1"/>
    <col min="8704" max="8704" width="10.88671875" style="1" bestFit="1" customWidth="1"/>
    <col min="8705" max="8705" width="8.88671875" style="1"/>
    <col min="8706" max="8706" width="19.109375" style="1" customWidth="1"/>
    <col min="8707" max="8707" width="8.88671875" style="1"/>
    <col min="8708" max="8708" width="14.5546875" style="1" customWidth="1"/>
    <col min="8709" max="8709" width="14.109375" style="1" bestFit="1" customWidth="1"/>
    <col min="8710" max="8710" width="10.5546875" style="1" bestFit="1" customWidth="1"/>
    <col min="8711" max="8711" width="8.88671875" style="1"/>
    <col min="8712" max="8712" width="9.5546875" style="1" bestFit="1" customWidth="1"/>
    <col min="8713" max="8955" width="8.88671875" style="1"/>
    <col min="8956" max="8956" width="10" style="1" bestFit="1" customWidth="1"/>
    <col min="8957" max="8957" width="8.88671875" style="1"/>
    <col min="8958" max="8958" width="15" style="1" bestFit="1" customWidth="1"/>
    <col min="8959" max="8959" width="14.44140625" style="1" customWidth="1"/>
    <col min="8960" max="8960" width="10.88671875" style="1" bestFit="1" customWidth="1"/>
    <col min="8961" max="8961" width="8.88671875" style="1"/>
    <col min="8962" max="8962" width="19.109375" style="1" customWidth="1"/>
    <col min="8963" max="8963" width="8.88671875" style="1"/>
    <col min="8964" max="8964" width="14.5546875" style="1" customWidth="1"/>
    <col min="8965" max="8965" width="14.109375" style="1" bestFit="1" customWidth="1"/>
    <col min="8966" max="8966" width="10.5546875" style="1" bestFit="1" customWidth="1"/>
    <col min="8967" max="8967" width="8.88671875" style="1"/>
    <col min="8968" max="8968" width="9.5546875" style="1" bestFit="1" customWidth="1"/>
    <col min="8969" max="9211" width="8.88671875" style="1"/>
    <col min="9212" max="9212" width="10" style="1" bestFit="1" customWidth="1"/>
    <col min="9213" max="9213" width="8.88671875" style="1"/>
    <col min="9214" max="9214" width="15" style="1" bestFit="1" customWidth="1"/>
    <col min="9215" max="9215" width="14.44140625" style="1" customWidth="1"/>
    <col min="9216" max="9216" width="10.88671875" style="1" bestFit="1" customWidth="1"/>
    <col min="9217" max="9217" width="8.88671875" style="1"/>
    <col min="9218" max="9218" width="19.109375" style="1" customWidth="1"/>
    <col min="9219" max="9219" width="8.88671875" style="1"/>
    <col min="9220" max="9220" width="14.5546875" style="1" customWidth="1"/>
    <col min="9221" max="9221" width="14.109375" style="1" bestFit="1" customWidth="1"/>
    <col min="9222" max="9222" width="10.5546875" style="1" bestFit="1" customWidth="1"/>
    <col min="9223" max="9223" width="8.88671875" style="1"/>
    <col min="9224" max="9224" width="9.5546875" style="1" bestFit="1" customWidth="1"/>
    <col min="9225" max="9467" width="8.88671875" style="1"/>
    <col min="9468" max="9468" width="10" style="1" bestFit="1" customWidth="1"/>
    <col min="9469" max="9469" width="8.88671875" style="1"/>
    <col min="9470" max="9470" width="15" style="1" bestFit="1" customWidth="1"/>
    <col min="9471" max="9471" width="14.44140625" style="1" customWidth="1"/>
    <col min="9472" max="9472" width="10.88671875" style="1" bestFit="1" customWidth="1"/>
    <col min="9473" max="9473" width="8.88671875" style="1"/>
    <col min="9474" max="9474" width="19.109375" style="1" customWidth="1"/>
    <col min="9475" max="9475" width="8.88671875" style="1"/>
    <col min="9476" max="9476" width="14.5546875" style="1" customWidth="1"/>
    <col min="9477" max="9477" width="14.109375" style="1" bestFit="1" customWidth="1"/>
    <col min="9478" max="9478" width="10.5546875" style="1" bestFit="1" customWidth="1"/>
    <col min="9479" max="9479" width="8.88671875" style="1"/>
    <col min="9480" max="9480" width="9.5546875" style="1" bestFit="1" customWidth="1"/>
    <col min="9481" max="9723" width="8.88671875" style="1"/>
    <col min="9724" max="9724" width="10" style="1" bestFit="1" customWidth="1"/>
    <col min="9725" max="9725" width="8.88671875" style="1"/>
    <col min="9726" max="9726" width="15" style="1" bestFit="1" customWidth="1"/>
    <col min="9727" max="9727" width="14.44140625" style="1" customWidth="1"/>
    <col min="9728" max="9728" width="10.88671875" style="1" bestFit="1" customWidth="1"/>
    <col min="9729" max="9729" width="8.88671875" style="1"/>
    <col min="9730" max="9730" width="19.109375" style="1" customWidth="1"/>
    <col min="9731" max="9731" width="8.88671875" style="1"/>
    <col min="9732" max="9732" width="14.5546875" style="1" customWidth="1"/>
    <col min="9733" max="9733" width="14.109375" style="1" bestFit="1" customWidth="1"/>
    <col min="9734" max="9734" width="10.5546875" style="1" bestFit="1" customWidth="1"/>
    <col min="9735" max="9735" width="8.88671875" style="1"/>
    <col min="9736" max="9736" width="9.5546875" style="1" bestFit="1" customWidth="1"/>
    <col min="9737" max="9979" width="8.88671875" style="1"/>
    <col min="9980" max="9980" width="10" style="1" bestFit="1" customWidth="1"/>
    <col min="9981" max="9981" width="8.88671875" style="1"/>
    <col min="9982" max="9982" width="15" style="1" bestFit="1" customWidth="1"/>
    <col min="9983" max="9983" width="14.44140625" style="1" customWidth="1"/>
    <col min="9984" max="9984" width="10.88671875" style="1" bestFit="1" customWidth="1"/>
    <col min="9985" max="9985" width="8.88671875" style="1"/>
    <col min="9986" max="9986" width="19.109375" style="1" customWidth="1"/>
    <col min="9987" max="9987" width="8.88671875" style="1"/>
    <col min="9988" max="9988" width="14.5546875" style="1" customWidth="1"/>
    <col min="9989" max="9989" width="14.109375" style="1" bestFit="1" customWidth="1"/>
    <col min="9990" max="9990" width="10.5546875" style="1" bestFit="1" customWidth="1"/>
    <col min="9991" max="9991" width="8.88671875" style="1"/>
    <col min="9992" max="9992" width="9.5546875" style="1" bestFit="1" customWidth="1"/>
    <col min="9993" max="10235" width="8.88671875" style="1"/>
    <col min="10236" max="10236" width="10" style="1" bestFit="1" customWidth="1"/>
    <col min="10237" max="10237" width="8.88671875" style="1"/>
    <col min="10238" max="10238" width="15" style="1" bestFit="1" customWidth="1"/>
    <col min="10239" max="10239" width="14.44140625" style="1" customWidth="1"/>
    <col min="10240" max="10240" width="10.88671875" style="1" bestFit="1" customWidth="1"/>
    <col min="10241" max="10241" width="8.88671875" style="1"/>
    <col min="10242" max="10242" width="19.109375" style="1" customWidth="1"/>
    <col min="10243" max="10243" width="8.88671875" style="1"/>
    <col min="10244" max="10244" width="14.5546875" style="1" customWidth="1"/>
    <col min="10245" max="10245" width="14.109375" style="1" bestFit="1" customWidth="1"/>
    <col min="10246" max="10246" width="10.5546875" style="1" bestFit="1" customWidth="1"/>
    <col min="10247" max="10247" width="8.88671875" style="1"/>
    <col min="10248" max="10248" width="9.5546875" style="1" bestFit="1" customWidth="1"/>
    <col min="10249" max="10491" width="8.88671875" style="1"/>
    <col min="10492" max="10492" width="10" style="1" bestFit="1" customWidth="1"/>
    <col min="10493" max="10493" width="8.88671875" style="1"/>
    <col min="10494" max="10494" width="15" style="1" bestFit="1" customWidth="1"/>
    <col min="10495" max="10495" width="14.44140625" style="1" customWidth="1"/>
    <col min="10496" max="10496" width="10.88671875" style="1" bestFit="1" customWidth="1"/>
    <col min="10497" max="10497" width="8.88671875" style="1"/>
    <col min="10498" max="10498" width="19.109375" style="1" customWidth="1"/>
    <col min="10499" max="10499" width="8.88671875" style="1"/>
    <col min="10500" max="10500" width="14.5546875" style="1" customWidth="1"/>
    <col min="10501" max="10501" width="14.109375" style="1" bestFit="1" customWidth="1"/>
    <col min="10502" max="10502" width="10.5546875" style="1" bestFit="1" customWidth="1"/>
    <col min="10503" max="10503" width="8.88671875" style="1"/>
    <col min="10504" max="10504" width="9.5546875" style="1" bestFit="1" customWidth="1"/>
    <col min="10505" max="10747" width="8.88671875" style="1"/>
    <col min="10748" max="10748" width="10" style="1" bestFit="1" customWidth="1"/>
    <col min="10749" max="10749" width="8.88671875" style="1"/>
    <col min="10750" max="10750" width="15" style="1" bestFit="1" customWidth="1"/>
    <col min="10751" max="10751" width="14.44140625" style="1" customWidth="1"/>
    <col min="10752" max="10752" width="10.88671875" style="1" bestFit="1" customWidth="1"/>
    <col min="10753" max="10753" width="8.88671875" style="1"/>
    <col min="10754" max="10754" width="19.109375" style="1" customWidth="1"/>
    <col min="10755" max="10755" width="8.88671875" style="1"/>
    <col min="10756" max="10756" width="14.5546875" style="1" customWidth="1"/>
    <col min="10757" max="10757" width="14.109375" style="1" bestFit="1" customWidth="1"/>
    <col min="10758" max="10758" width="10.5546875" style="1" bestFit="1" customWidth="1"/>
    <col min="10759" max="10759" width="8.88671875" style="1"/>
    <col min="10760" max="10760" width="9.5546875" style="1" bestFit="1" customWidth="1"/>
    <col min="10761" max="11003" width="8.88671875" style="1"/>
    <col min="11004" max="11004" width="10" style="1" bestFit="1" customWidth="1"/>
    <col min="11005" max="11005" width="8.88671875" style="1"/>
    <col min="11006" max="11006" width="15" style="1" bestFit="1" customWidth="1"/>
    <col min="11007" max="11007" width="14.44140625" style="1" customWidth="1"/>
    <col min="11008" max="11008" width="10.88671875" style="1" bestFit="1" customWidth="1"/>
    <col min="11009" max="11009" width="8.88671875" style="1"/>
    <col min="11010" max="11010" width="19.109375" style="1" customWidth="1"/>
    <col min="11011" max="11011" width="8.88671875" style="1"/>
    <col min="11012" max="11012" width="14.5546875" style="1" customWidth="1"/>
    <col min="11013" max="11013" width="14.109375" style="1" bestFit="1" customWidth="1"/>
    <col min="11014" max="11014" width="10.5546875" style="1" bestFit="1" customWidth="1"/>
    <col min="11015" max="11015" width="8.88671875" style="1"/>
    <col min="11016" max="11016" width="9.5546875" style="1" bestFit="1" customWidth="1"/>
    <col min="11017" max="11259" width="8.88671875" style="1"/>
    <col min="11260" max="11260" width="10" style="1" bestFit="1" customWidth="1"/>
    <col min="11261" max="11261" width="8.88671875" style="1"/>
    <col min="11262" max="11262" width="15" style="1" bestFit="1" customWidth="1"/>
    <col min="11263" max="11263" width="14.44140625" style="1" customWidth="1"/>
    <col min="11264" max="11264" width="10.88671875" style="1" bestFit="1" customWidth="1"/>
    <col min="11265" max="11265" width="8.88671875" style="1"/>
    <col min="11266" max="11266" width="19.109375" style="1" customWidth="1"/>
    <col min="11267" max="11267" width="8.88671875" style="1"/>
    <col min="11268" max="11268" width="14.5546875" style="1" customWidth="1"/>
    <col min="11269" max="11269" width="14.109375" style="1" bestFit="1" customWidth="1"/>
    <col min="11270" max="11270" width="10.5546875" style="1" bestFit="1" customWidth="1"/>
    <col min="11271" max="11271" width="8.88671875" style="1"/>
    <col min="11272" max="11272" width="9.5546875" style="1" bestFit="1" customWidth="1"/>
    <col min="11273" max="11515" width="8.88671875" style="1"/>
    <col min="11516" max="11516" width="10" style="1" bestFit="1" customWidth="1"/>
    <col min="11517" max="11517" width="8.88671875" style="1"/>
    <col min="11518" max="11518" width="15" style="1" bestFit="1" customWidth="1"/>
    <col min="11519" max="11519" width="14.44140625" style="1" customWidth="1"/>
    <col min="11520" max="11520" width="10.88671875" style="1" bestFit="1" customWidth="1"/>
    <col min="11521" max="11521" width="8.88671875" style="1"/>
    <col min="11522" max="11522" width="19.109375" style="1" customWidth="1"/>
    <col min="11523" max="11523" width="8.88671875" style="1"/>
    <col min="11524" max="11524" width="14.5546875" style="1" customWidth="1"/>
    <col min="11525" max="11525" width="14.109375" style="1" bestFit="1" customWidth="1"/>
    <col min="11526" max="11526" width="10.5546875" style="1" bestFit="1" customWidth="1"/>
    <col min="11527" max="11527" width="8.88671875" style="1"/>
    <col min="11528" max="11528" width="9.5546875" style="1" bestFit="1" customWidth="1"/>
    <col min="11529" max="11771" width="8.88671875" style="1"/>
    <col min="11772" max="11772" width="10" style="1" bestFit="1" customWidth="1"/>
    <col min="11773" max="11773" width="8.88671875" style="1"/>
    <col min="11774" max="11774" width="15" style="1" bestFit="1" customWidth="1"/>
    <col min="11775" max="11775" width="14.44140625" style="1" customWidth="1"/>
    <col min="11776" max="11776" width="10.88671875" style="1" bestFit="1" customWidth="1"/>
    <col min="11777" max="11777" width="8.88671875" style="1"/>
    <col min="11778" max="11778" width="19.109375" style="1" customWidth="1"/>
    <col min="11779" max="11779" width="8.88671875" style="1"/>
    <col min="11780" max="11780" width="14.5546875" style="1" customWidth="1"/>
    <col min="11781" max="11781" width="14.109375" style="1" bestFit="1" customWidth="1"/>
    <col min="11782" max="11782" width="10.5546875" style="1" bestFit="1" customWidth="1"/>
    <col min="11783" max="11783" width="8.88671875" style="1"/>
    <col min="11784" max="11784" width="9.5546875" style="1" bestFit="1" customWidth="1"/>
    <col min="11785" max="12027" width="8.88671875" style="1"/>
    <col min="12028" max="12028" width="10" style="1" bestFit="1" customWidth="1"/>
    <col min="12029" max="12029" width="8.88671875" style="1"/>
    <col min="12030" max="12030" width="15" style="1" bestFit="1" customWidth="1"/>
    <col min="12031" max="12031" width="14.44140625" style="1" customWidth="1"/>
    <col min="12032" max="12032" width="10.88671875" style="1" bestFit="1" customWidth="1"/>
    <col min="12033" max="12033" width="8.88671875" style="1"/>
    <col min="12034" max="12034" width="19.109375" style="1" customWidth="1"/>
    <col min="12035" max="12035" width="8.88671875" style="1"/>
    <col min="12036" max="12036" width="14.5546875" style="1" customWidth="1"/>
    <col min="12037" max="12037" width="14.109375" style="1" bestFit="1" customWidth="1"/>
    <col min="12038" max="12038" width="10.5546875" style="1" bestFit="1" customWidth="1"/>
    <col min="12039" max="12039" width="8.88671875" style="1"/>
    <col min="12040" max="12040" width="9.5546875" style="1" bestFit="1" customWidth="1"/>
    <col min="12041" max="12283" width="8.88671875" style="1"/>
    <col min="12284" max="12284" width="10" style="1" bestFit="1" customWidth="1"/>
    <col min="12285" max="12285" width="8.88671875" style="1"/>
    <col min="12286" max="12286" width="15" style="1" bestFit="1" customWidth="1"/>
    <col min="12287" max="12287" width="14.44140625" style="1" customWidth="1"/>
    <col min="12288" max="12288" width="10.88671875" style="1" bestFit="1" customWidth="1"/>
    <col min="12289" max="12289" width="8.88671875" style="1"/>
    <col min="12290" max="12290" width="19.109375" style="1" customWidth="1"/>
    <col min="12291" max="12291" width="8.88671875" style="1"/>
    <col min="12292" max="12292" width="14.5546875" style="1" customWidth="1"/>
    <col min="12293" max="12293" width="14.109375" style="1" bestFit="1" customWidth="1"/>
    <col min="12294" max="12294" width="10.5546875" style="1" bestFit="1" customWidth="1"/>
    <col min="12295" max="12295" width="8.88671875" style="1"/>
    <col min="12296" max="12296" width="9.5546875" style="1" bestFit="1" customWidth="1"/>
    <col min="12297" max="12539" width="8.88671875" style="1"/>
    <col min="12540" max="12540" width="10" style="1" bestFit="1" customWidth="1"/>
    <col min="12541" max="12541" width="8.88671875" style="1"/>
    <col min="12542" max="12542" width="15" style="1" bestFit="1" customWidth="1"/>
    <col min="12543" max="12543" width="14.44140625" style="1" customWidth="1"/>
    <col min="12544" max="12544" width="10.88671875" style="1" bestFit="1" customWidth="1"/>
    <col min="12545" max="12545" width="8.88671875" style="1"/>
    <col min="12546" max="12546" width="19.109375" style="1" customWidth="1"/>
    <col min="12547" max="12547" width="8.88671875" style="1"/>
    <col min="12548" max="12548" width="14.5546875" style="1" customWidth="1"/>
    <col min="12549" max="12549" width="14.109375" style="1" bestFit="1" customWidth="1"/>
    <col min="12550" max="12550" width="10.5546875" style="1" bestFit="1" customWidth="1"/>
    <col min="12551" max="12551" width="8.88671875" style="1"/>
    <col min="12552" max="12552" width="9.5546875" style="1" bestFit="1" customWidth="1"/>
    <col min="12553" max="12795" width="8.88671875" style="1"/>
    <col min="12796" max="12796" width="10" style="1" bestFit="1" customWidth="1"/>
    <col min="12797" max="12797" width="8.88671875" style="1"/>
    <col min="12798" max="12798" width="15" style="1" bestFit="1" customWidth="1"/>
    <col min="12799" max="12799" width="14.44140625" style="1" customWidth="1"/>
    <col min="12800" max="12800" width="10.88671875" style="1" bestFit="1" customWidth="1"/>
    <col min="12801" max="12801" width="8.88671875" style="1"/>
    <col min="12802" max="12802" width="19.109375" style="1" customWidth="1"/>
    <col min="12803" max="12803" width="8.88671875" style="1"/>
    <col min="12804" max="12804" width="14.5546875" style="1" customWidth="1"/>
    <col min="12805" max="12805" width="14.109375" style="1" bestFit="1" customWidth="1"/>
    <col min="12806" max="12806" width="10.5546875" style="1" bestFit="1" customWidth="1"/>
    <col min="12807" max="12807" width="8.88671875" style="1"/>
    <col min="12808" max="12808" width="9.5546875" style="1" bestFit="1" customWidth="1"/>
    <col min="12809" max="13051" width="8.88671875" style="1"/>
    <col min="13052" max="13052" width="10" style="1" bestFit="1" customWidth="1"/>
    <col min="13053" max="13053" width="8.88671875" style="1"/>
    <col min="13054" max="13054" width="15" style="1" bestFit="1" customWidth="1"/>
    <col min="13055" max="13055" width="14.44140625" style="1" customWidth="1"/>
    <col min="13056" max="13056" width="10.88671875" style="1" bestFit="1" customWidth="1"/>
    <col min="13057" max="13057" width="8.88671875" style="1"/>
    <col min="13058" max="13058" width="19.109375" style="1" customWidth="1"/>
    <col min="13059" max="13059" width="8.88671875" style="1"/>
    <col min="13060" max="13060" width="14.5546875" style="1" customWidth="1"/>
    <col min="13061" max="13061" width="14.109375" style="1" bestFit="1" customWidth="1"/>
    <col min="13062" max="13062" width="10.5546875" style="1" bestFit="1" customWidth="1"/>
    <col min="13063" max="13063" width="8.88671875" style="1"/>
    <col min="13064" max="13064" width="9.5546875" style="1" bestFit="1" customWidth="1"/>
    <col min="13065" max="13307" width="8.88671875" style="1"/>
    <col min="13308" max="13308" width="10" style="1" bestFit="1" customWidth="1"/>
    <col min="13309" max="13309" width="8.88671875" style="1"/>
    <col min="13310" max="13310" width="15" style="1" bestFit="1" customWidth="1"/>
    <col min="13311" max="13311" width="14.44140625" style="1" customWidth="1"/>
    <col min="13312" max="13312" width="10.88671875" style="1" bestFit="1" customWidth="1"/>
    <col min="13313" max="13313" width="8.88671875" style="1"/>
    <col min="13314" max="13314" width="19.109375" style="1" customWidth="1"/>
    <col min="13315" max="13315" width="8.88671875" style="1"/>
    <col min="13316" max="13316" width="14.5546875" style="1" customWidth="1"/>
    <col min="13317" max="13317" width="14.109375" style="1" bestFit="1" customWidth="1"/>
    <col min="13318" max="13318" width="10.5546875" style="1" bestFit="1" customWidth="1"/>
    <col min="13319" max="13319" width="8.88671875" style="1"/>
    <col min="13320" max="13320" width="9.5546875" style="1" bestFit="1" customWidth="1"/>
    <col min="13321" max="13563" width="8.88671875" style="1"/>
    <col min="13564" max="13564" width="10" style="1" bestFit="1" customWidth="1"/>
    <col min="13565" max="13565" width="8.88671875" style="1"/>
    <col min="13566" max="13566" width="15" style="1" bestFit="1" customWidth="1"/>
    <col min="13567" max="13567" width="14.44140625" style="1" customWidth="1"/>
    <col min="13568" max="13568" width="10.88671875" style="1" bestFit="1" customWidth="1"/>
    <col min="13569" max="13569" width="8.88671875" style="1"/>
    <col min="13570" max="13570" width="19.109375" style="1" customWidth="1"/>
    <col min="13571" max="13571" width="8.88671875" style="1"/>
    <col min="13572" max="13572" width="14.5546875" style="1" customWidth="1"/>
    <col min="13573" max="13573" width="14.109375" style="1" bestFit="1" customWidth="1"/>
    <col min="13574" max="13574" width="10.5546875" style="1" bestFit="1" customWidth="1"/>
    <col min="13575" max="13575" width="8.88671875" style="1"/>
    <col min="13576" max="13576" width="9.5546875" style="1" bestFit="1" customWidth="1"/>
    <col min="13577" max="13819" width="8.88671875" style="1"/>
    <col min="13820" max="13820" width="10" style="1" bestFit="1" customWidth="1"/>
    <col min="13821" max="13821" width="8.88671875" style="1"/>
    <col min="13822" max="13822" width="15" style="1" bestFit="1" customWidth="1"/>
    <col min="13823" max="13823" width="14.44140625" style="1" customWidth="1"/>
    <col min="13824" max="13824" width="10.88671875" style="1" bestFit="1" customWidth="1"/>
    <col min="13825" max="13825" width="8.88671875" style="1"/>
    <col min="13826" max="13826" width="19.109375" style="1" customWidth="1"/>
    <col min="13827" max="13827" width="8.88671875" style="1"/>
    <col min="13828" max="13828" width="14.5546875" style="1" customWidth="1"/>
    <col min="13829" max="13829" width="14.109375" style="1" bestFit="1" customWidth="1"/>
    <col min="13830" max="13830" width="10.5546875" style="1" bestFit="1" customWidth="1"/>
    <col min="13831" max="13831" width="8.88671875" style="1"/>
    <col min="13832" max="13832" width="9.5546875" style="1" bestFit="1" customWidth="1"/>
    <col min="13833" max="14075" width="8.88671875" style="1"/>
    <col min="14076" max="14076" width="10" style="1" bestFit="1" customWidth="1"/>
    <col min="14077" max="14077" width="8.88671875" style="1"/>
    <col min="14078" max="14078" width="15" style="1" bestFit="1" customWidth="1"/>
    <col min="14079" max="14079" width="14.44140625" style="1" customWidth="1"/>
    <col min="14080" max="14080" width="10.88671875" style="1" bestFit="1" customWidth="1"/>
    <col min="14081" max="14081" width="8.88671875" style="1"/>
    <col min="14082" max="14082" width="19.109375" style="1" customWidth="1"/>
    <col min="14083" max="14083" width="8.88671875" style="1"/>
    <col min="14084" max="14084" width="14.5546875" style="1" customWidth="1"/>
    <col min="14085" max="14085" width="14.109375" style="1" bestFit="1" customWidth="1"/>
    <col min="14086" max="14086" width="10.5546875" style="1" bestFit="1" customWidth="1"/>
    <col min="14087" max="14087" width="8.88671875" style="1"/>
    <col min="14088" max="14088" width="9.5546875" style="1" bestFit="1" customWidth="1"/>
    <col min="14089" max="14331" width="8.88671875" style="1"/>
    <col min="14332" max="14332" width="10" style="1" bestFit="1" customWidth="1"/>
    <col min="14333" max="14333" width="8.88671875" style="1"/>
    <col min="14334" max="14334" width="15" style="1" bestFit="1" customWidth="1"/>
    <col min="14335" max="14335" width="14.44140625" style="1" customWidth="1"/>
    <col min="14336" max="14336" width="10.88671875" style="1" bestFit="1" customWidth="1"/>
    <col min="14337" max="14337" width="8.88671875" style="1"/>
    <col min="14338" max="14338" width="19.109375" style="1" customWidth="1"/>
    <col min="14339" max="14339" width="8.88671875" style="1"/>
    <col min="14340" max="14340" width="14.5546875" style="1" customWidth="1"/>
    <col min="14341" max="14341" width="14.109375" style="1" bestFit="1" customWidth="1"/>
    <col min="14342" max="14342" width="10.5546875" style="1" bestFit="1" customWidth="1"/>
    <col min="14343" max="14343" width="8.88671875" style="1"/>
    <col min="14344" max="14344" width="9.5546875" style="1" bestFit="1" customWidth="1"/>
    <col min="14345" max="14587" width="8.88671875" style="1"/>
    <col min="14588" max="14588" width="10" style="1" bestFit="1" customWidth="1"/>
    <col min="14589" max="14589" width="8.88671875" style="1"/>
    <col min="14590" max="14590" width="15" style="1" bestFit="1" customWidth="1"/>
    <col min="14591" max="14591" width="14.44140625" style="1" customWidth="1"/>
    <col min="14592" max="14592" width="10.88671875" style="1" bestFit="1" customWidth="1"/>
    <col min="14593" max="14593" width="8.88671875" style="1"/>
    <col min="14594" max="14594" width="19.109375" style="1" customWidth="1"/>
    <col min="14595" max="14595" width="8.88671875" style="1"/>
    <col min="14596" max="14596" width="14.5546875" style="1" customWidth="1"/>
    <col min="14597" max="14597" width="14.109375" style="1" bestFit="1" customWidth="1"/>
    <col min="14598" max="14598" width="10.5546875" style="1" bestFit="1" customWidth="1"/>
    <col min="14599" max="14599" width="8.88671875" style="1"/>
    <col min="14600" max="14600" width="9.5546875" style="1" bestFit="1" customWidth="1"/>
    <col min="14601" max="14843" width="8.88671875" style="1"/>
    <col min="14844" max="14844" width="10" style="1" bestFit="1" customWidth="1"/>
    <col min="14845" max="14845" width="8.88671875" style="1"/>
    <col min="14846" max="14846" width="15" style="1" bestFit="1" customWidth="1"/>
    <col min="14847" max="14847" width="14.44140625" style="1" customWidth="1"/>
    <col min="14848" max="14848" width="10.88671875" style="1" bestFit="1" customWidth="1"/>
    <col min="14849" max="14849" width="8.88671875" style="1"/>
    <col min="14850" max="14850" width="19.109375" style="1" customWidth="1"/>
    <col min="14851" max="14851" width="8.88671875" style="1"/>
    <col min="14852" max="14852" width="14.5546875" style="1" customWidth="1"/>
    <col min="14853" max="14853" width="14.109375" style="1" bestFit="1" customWidth="1"/>
    <col min="14854" max="14854" width="10.5546875" style="1" bestFit="1" customWidth="1"/>
    <col min="14855" max="14855" width="8.88671875" style="1"/>
    <col min="14856" max="14856" width="9.5546875" style="1" bestFit="1" customWidth="1"/>
    <col min="14857" max="15099" width="8.88671875" style="1"/>
    <col min="15100" max="15100" width="10" style="1" bestFit="1" customWidth="1"/>
    <col min="15101" max="15101" width="8.88671875" style="1"/>
    <col min="15102" max="15102" width="15" style="1" bestFit="1" customWidth="1"/>
    <col min="15103" max="15103" width="14.44140625" style="1" customWidth="1"/>
    <col min="15104" max="15104" width="10.88671875" style="1" bestFit="1" customWidth="1"/>
    <col min="15105" max="15105" width="8.88671875" style="1"/>
    <col min="15106" max="15106" width="19.109375" style="1" customWidth="1"/>
    <col min="15107" max="15107" width="8.88671875" style="1"/>
    <col min="15108" max="15108" width="14.5546875" style="1" customWidth="1"/>
    <col min="15109" max="15109" width="14.109375" style="1" bestFit="1" customWidth="1"/>
    <col min="15110" max="15110" width="10.5546875" style="1" bestFit="1" customWidth="1"/>
    <col min="15111" max="15111" width="8.88671875" style="1"/>
    <col min="15112" max="15112" width="9.5546875" style="1" bestFit="1" customWidth="1"/>
    <col min="15113" max="15355" width="8.88671875" style="1"/>
    <col min="15356" max="15356" width="10" style="1" bestFit="1" customWidth="1"/>
    <col min="15357" max="15357" width="8.88671875" style="1"/>
    <col min="15358" max="15358" width="15" style="1" bestFit="1" customWidth="1"/>
    <col min="15359" max="15359" width="14.44140625" style="1" customWidth="1"/>
    <col min="15360" max="15360" width="10.88671875" style="1" bestFit="1" customWidth="1"/>
    <col min="15361" max="15361" width="8.88671875" style="1"/>
    <col min="15362" max="15362" width="19.109375" style="1" customWidth="1"/>
    <col min="15363" max="15363" width="8.88671875" style="1"/>
    <col min="15364" max="15364" width="14.5546875" style="1" customWidth="1"/>
    <col min="15365" max="15365" width="14.109375" style="1" bestFit="1" customWidth="1"/>
    <col min="15366" max="15366" width="10.5546875" style="1" bestFit="1" customWidth="1"/>
    <col min="15367" max="15367" width="8.88671875" style="1"/>
    <col min="15368" max="15368" width="9.5546875" style="1" bestFit="1" customWidth="1"/>
    <col min="15369" max="15611" width="8.88671875" style="1"/>
    <col min="15612" max="15612" width="10" style="1" bestFit="1" customWidth="1"/>
    <col min="15613" max="15613" width="8.88671875" style="1"/>
    <col min="15614" max="15614" width="15" style="1" bestFit="1" customWidth="1"/>
    <col min="15615" max="15615" width="14.44140625" style="1" customWidth="1"/>
    <col min="15616" max="15616" width="10.88671875" style="1" bestFit="1" customWidth="1"/>
    <col min="15617" max="15617" width="8.88671875" style="1"/>
    <col min="15618" max="15618" width="19.109375" style="1" customWidth="1"/>
    <col min="15619" max="15619" width="8.88671875" style="1"/>
    <col min="15620" max="15620" width="14.5546875" style="1" customWidth="1"/>
    <col min="15621" max="15621" width="14.109375" style="1" bestFit="1" customWidth="1"/>
    <col min="15622" max="15622" width="10.5546875" style="1" bestFit="1" customWidth="1"/>
    <col min="15623" max="15623" width="8.88671875" style="1"/>
    <col min="15624" max="15624" width="9.5546875" style="1" bestFit="1" customWidth="1"/>
    <col min="15625" max="15867" width="8.88671875" style="1"/>
    <col min="15868" max="15868" width="10" style="1" bestFit="1" customWidth="1"/>
    <col min="15869" max="15869" width="8.88671875" style="1"/>
    <col min="15870" max="15870" width="15" style="1" bestFit="1" customWidth="1"/>
    <col min="15871" max="15871" width="14.44140625" style="1" customWidth="1"/>
    <col min="15872" max="15872" width="10.88671875" style="1" bestFit="1" customWidth="1"/>
    <col min="15873" max="15873" width="8.88671875" style="1"/>
    <col min="15874" max="15874" width="19.109375" style="1" customWidth="1"/>
    <col min="15875" max="15875" width="8.88671875" style="1"/>
    <col min="15876" max="15876" width="14.5546875" style="1" customWidth="1"/>
    <col min="15877" max="15877" width="14.109375" style="1" bestFit="1" customWidth="1"/>
    <col min="15878" max="15878" width="10.5546875" style="1" bestFit="1" customWidth="1"/>
    <col min="15879" max="15879" width="8.88671875" style="1"/>
    <col min="15880" max="15880" width="9.5546875" style="1" bestFit="1" customWidth="1"/>
    <col min="15881" max="16123" width="8.88671875" style="1"/>
    <col min="16124" max="16124" width="10" style="1" bestFit="1" customWidth="1"/>
    <col min="16125" max="16125" width="8.88671875" style="1"/>
    <col min="16126" max="16126" width="15" style="1" bestFit="1" customWidth="1"/>
    <col min="16127" max="16127" width="14.44140625" style="1" customWidth="1"/>
    <col min="16128" max="16128" width="10.88671875" style="1" bestFit="1" customWidth="1"/>
    <col min="16129" max="16129" width="8.88671875" style="1"/>
    <col min="16130" max="16130" width="19.109375" style="1" customWidth="1"/>
    <col min="16131" max="16131" width="8.88671875" style="1"/>
    <col min="16132" max="16132" width="14.5546875" style="1" customWidth="1"/>
    <col min="16133" max="16133" width="14.109375" style="1" bestFit="1" customWidth="1"/>
    <col min="16134" max="16134" width="10.5546875" style="1" bestFit="1" customWidth="1"/>
    <col min="16135" max="16135" width="8.88671875" style="1"/>
    <col min="16136" max="16136" width="9.5546875" style="1" bestFit="1" customWidth="1"/>
    <col min="16137" max="16379" width="8.88671875" style="1"/>
    <col min="16380" max="16384" width="9.109375" style="1" customWidth="1"/>
  </cols>
  <sheetData>
    <row r="1" spans="1:13" ht="22.8" x14ac:dyDescent="0.25">
      <c r="A1" s="296" t="s">
        <v>433</v>
      </c>
      <c r="B1" s="296"/>
      <c r="C1" s="296"/>
      <c r="D1" s="296"/>
      <c r="E1" s="296"/>
      <c r="F1" s="296"/>
      <c r="G1" s="296"/>
      <c r="H1" s="296"/>
      <c r="I1" s="296"/>
    </row>
    <row r="2" spans="1:13" ht="13.8" x14ac:dyDescent="0.25">
      <c r="A2" s="297" t="s">
        <v>434</v>
      </c>
      <c r="B2" s="297"/>
      <c r="C2" s="297"/>
      <c r="D2" s="297"/>
      <c r="E2" s="297"/>
      <c r="F2" s="297"/>
      <c r="G2" s="297"/>
      <c r="H2" s="297"/>
      <c r="I2" s="297"/>
    </row>
    <row r="3" spans="1:13" ht="13.8" x14ac:dyDescent="0.25">
      <c r="A3" s="297" t="s">
        <v>41</v>
      </c>
      <c r="B3" s="297"/>
      <c r="C3" s="297"/>
      <c r="D3" s="297"/>
      <c r="E3" s="297"/>
      <c r="F3" s="297"/>
      <c r="G3" s="297"/>
      <c r="H3" s="297"/>
      <c r="I3" s="297"/>
    </row>
    <row r="4" spans="1:13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3" ht="15.6" x14ac:dyDescent="0.3">
      <c r="A5" s="295" t="s">
        <v>131</v>
      </c>
      <c r="B5" s="295"/>
      <c r="C5" s="295"/>
      <c r="D5" s="295"/>
      <c r="E5" s="295"/>
      <c r="F5" s="295"/>
      <c r="G5" s="295"/>
      <c r="H5" s="295"/>
      <c r="I5" s="295"/>
    </row>
    <row r="6" spans="1:13" x14ac:dyDescent="0.25">
      <c r="A6" s="22"/>
      <c r="B6" s="23"/>
      <c r="C6" s="21"/>
      <c r="D6" s="21"/>
      <c r="E6" s="24"/>
      <c r="F6" s="21"/>
      <c r="G6" s="21"/>
      <c r="H6" s="21"/>
      <c r="I6" s="21"/>
    </row>
    <row r="7" spans="1:13" ht="14.4" x14ac:dyDescent="0.25">
      <c r="A7" s="26" t="s">
        <v>4</v>
      </c>
      <c r="B7" s="300" t="s">
        <v>0</v>
      </c>
      <c r="C7" s="301"/>
      <c r="D7" s="301"/>
      <c r="E7" s="302"/>
      <c r="F7" s="26" t="s">
        <v>40</v>
      </c>
      <c r="G7" s="26" t="s">
        <v>2</v>
      </c>
      <c r="H7" s="26" t="s">
        <v>39</v>
      </c>
      <c r="I7" s="26" t="s">
        <v>1</v>
      </c>
    </row>
    <row r="8" spans="1:13" ht="24.6" customHeight="1" x14ac:dyDescent="0.25">
      <c r="A8" s="7">
        <v>1</v>
      </c>
      <c r="B8" s="292" t="s">
        <v>121</v>
      </c>
      <c r="C8" s="293"/>
      <c r="D8" s="293"/>
      <c r="E8" s="294"/>
      <c r="F8" s="7">
        <v>12</v>
      </c>
      <c r="G8" s="9" t="s">
        <v>127</v>
      </c>
      <c r="H8" s="8">
        <f>'ENCARREGADO '!D132</f>
        <v>7383.4856965051622</v>
      </c>
      <c r="I8" s="8">
        <f>H8*F8*1</f>
        <v>88601.828358061946</v>
      </c>
      <c r="K8" s="259"/>
    </row>
    <row r="9" spans="1:13" ht="24.6" customHeight="1" x14ac:dyDescent="0.25">
      <c r="A9" s="7">
        <v>2</v>
      </c>
      <c r="B9" s="292" t="s">
        <v>122</v>
      </c>
      <c r="C9" s="293"/>
      <c r="D9" s="293"/>
      <c r="E9" s="294"/>
      <c r="F9" s="7">
        <v>12</v>
      </c>
      <c r="G9" s="9" t="s">
        <v>127</v>
      </c>
      <c r="H9" s="8">
        <f>'ELETRICISTA '!D132</f>
        <v>5191.2565239038631</v>
      </c>
      <c r="I9" s="8">
        <f t="shared" ref="I9:I13" si="0">H9*F9*1</f>
        <v>62295.078286846358</v>
      </c>
      <c r="K9" s="259"/>
    </row>
    <row r="10" spans="1:13" ht="24.6" customHeight="1" x14ac:dyDescent="0.25">
      <c r="A10" s="7">
        <v>3</v>
      </c>
      <c r="B10" s="292" t="s">
        <v>123</v>
      </c>
      <c r="C10" s="293"/>
      <c r="D10" s="293"/>
      <c r="E10" s="294"/>
      <c r="F10" s="7">
        <v>12</v>
      </c>
      <c r="G10" s="9" t="s">
        <v>127</v>
      </c>
      <c r="H10" s="8">
        <f>'ENCANADOR '!D132</f>
        <v>5138.5077075773333</v>
      </c>
      <c r="I10" s="8">
        <f t="shared" si="0"/>
        <v>61662.092490928</v>
      </c>
      <c r="K10" s="259"/>
    </row>
    <row r="11" spans="1:13" ht="24.6" customHeight="1" x14ac:dyDescent="0.25">
      <c r="A11" s="7">
        <v>4</v>
      </c>
      <c r="B11" s="292" t="s">
        <v>124</v>
      </c>
      <c r="C11" s="293"/>
      <c r="D11" s="293"/>
      <c r="E11" s="294"/>
      <c r="F11" s="7">
        <v>12</v>
      </c>
      <c r="G11" s="9" t="s">
        <v>127</v>
      </c>
      <c r="H11" s="8">
        <f>'PEDREIRO '!D132</f>
        <v>5177.0713810467205</v>
      </c>
      <c r="I11" s="8">
        <f t="shared" si="0"/>
        <v>62124.856572560646</v>
      </c>
      <c r="K11" s="259"/>
    </row>
    <row r="12" spans="1:13" ht="24.6" customHeight="1" x14ac:dyDescent="0.25">
      <c r="A12" s="7">
        <v>5</v>
      </c>
      <c r="B12" s="292" t="s">
        <v>125</v>
      </c>
      <c r="C12" s="293"/>
      <c r="D12" s="293"/>
      <c r="E12" s="294"/>
      <c r="F12" s="7">
        <v>12</v>
      </c>
      <c r="G12" s="9" t="s">
        <v>127</v>
      </c>
      <c r="H12" s="8">
        <f>SERVENTE!D132</f>
        <v>4364.1895103857851</v>
      </c>
      <c r="I12" s="8">
        <f>H12*F12*2</f>
        <v>104740.54824925883</v>
      </c>
      <c r="K12" s="259"/>
    </row>
    <row r="13" spans="1:13" ht="24.6" customHeight="1" x14ac:dyDescent="0.25">
      <c r="A13" s="7">
        <v>6</v>
      </c>
      <c r="B13" s="292" t="s">
        <v>126</v>
      </c>
      <c r="C13" s="293"/>
      <c r="D13" s="293"/>
      <c r="E13" s="294"/>
      <c r="F13" s="7">
        <v>12</v>
      </c>
      <c r="G13" s="9" t="s">
        <v>127</v>
      </c>
      <c r="H13" s="8">
        <f>'AUX.ELET.'!D132</f>
        <v>4530.615036916397</v>
      </c>
      <c r="I13" s="8">
        <f t="shared" si="0"/>
        <v>54367.380442996764</v>
      </c>
      <c r="K13" s="259"/>
    </row>
    <row r="14" spans="1:13" ht="27.6" customHeight="1" x14ac:dyDescent="0.25">
      <c r="A14" s="7">
        <v>7</v>
      </c>
      <c r="B14" s="292" t="s">
        <v>573</v>
      </c>
      <c r="C14" s="293"/>
      <c r="D14" s="293"/>
      <c r="E14" s="294"/>
      <c r="F14" s="7">
        <v>1</v>
      </c>
      <c r="G14" s="9" t="s">
        <v>128</v>
      </c>
      <c r="H14" s="10" t="s">
        <v>575</v>
      </c>
      <c r="I14" s="8">
        <v>288064.3</v>
      </c>
      <c r="K14" s="259"/>
      <c r="L14" s="259"/>
      <c r="M14" s="259"/>
    </row>
    <row r="15" spans="1:13" ht="28.8" customHeight="1" x14ac:dyDescent="0.25">
      <c r="A15" s="7">
        <v>8</v>
      </c>
      <c r="B15" s="292" t="s">
        <v>5</v>
      </c>
      <c r="C15" s="293"/>
      <c r="D15" s="293"/>
      <c r="E15" s="294"/>
      <c r="F15" s="7">
        <v>1</v>
      </c>
      <c r="G15" s="9" t="s">
        <v>128</v>
      </c>
      <c r="H15" s="185">
        <v>10760.622633345865</v>
      </c>
      <c r="I15" s="8">
        <f>H15</f>
        <v>10760.622633345865</v>
      </c>
      <c r="K15" s="259"/>
    </row>
    <row r="16" spans="1:13" ht="26.4" customHeight="1" x14ac:dyDescent="0.25">
      <c r="A16" s="7">
        <v>9</v>
      </c>
      <c r="B16" s="292" t="s">
        <v>574</v>
      </c>
      <c r="C16" s="293"/>
      <c r="D16" s="293"/>
      <c r="E16" s="294"/>
      <c r="F16" s="7">
        <v>1</v>
      </c>
      <c r="G16" s="9" t="s">
        <v>129</v>
      </c>
      <c r="H16" s="11" t="s">
        <v>576</v>
      </c>
      <c r="I16" s="8">
        <f>ESPECIALIZADOS!F110</f>
        <v>346706.10033874982</v>
      </c>
      <c r="K16" s="259"/>
      <c r="L16" s="259"/>
    </row>
    <row r="17" spans="1:12" ht="24.6" customHeight="1" x14ac:dyDescent="0.25">
      <c r="A17" s="7">
        <v>10</v>
      </c>
      <c r="B17" s="292" t="s">
        <v>6</v>
      </c>
      <c r="C17" s="293"/>
      <c r="D17" s="293"/>
      <c r="E17" s="294"/>
      <c r="F17" s="7">
        <v>1</v>
      </c>
      <c r="G17" s="9" t="s">
        <v>128</v>
      </c>
      <c r="H17" s="60">
        <f>'Serviço Eventual'!J40</f>
        <v>685657.67409882799</v>
      </c>
      <c r="I17" s="8">
        <f>H17</f>
        <v>685657.67409882799</v>
      </c>
      <c r="K17" s="259"/>
      <c r="L17" s="259"/>
    </row>
    <row r="18" spans="1:12" ht="24.6" customHeight="1" x14ac:dyDescent="0.25">
      <c r="A18" s="7">
        <v>11</v>
      </c>
      <c r="B18" s="292" t="s">
        <v>577</v>
      </c>
      <c r="C18" s="293"/>
      <c r="D18" s="293"/>
      <c r="E18" s="294"/>
      <c r="F18" s="7">
        <v>1</v>
      </c>
      <c r="G18" s="9" t="s">
        <v>127</v>
      </c>
      <c r="H18" s="60">
        <f>'Equip e Ferramental'!D100</f>
        <v>413.08140683321312</v>
      </c>
      <c r="I18" s="8">
        <f>H18</f>
        <v>413.08140683321312</v>
      </c>
      <c r="K18" s="259"/>
      <c r="L18" s="259"/>
    </row>
    <row r="19" spans="1:12" ht="9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K19" s="259"/>
    </row>
    <row r="20" spans="1:12" ht="33" customHeight="1" x14ac:dyDescent="0.25">
      <c r="A20" s="299" t="s">
        <v>588</v>
      </c>
      <c r="B20" s="299"/>
      <c r="C20" s="299"/>
      <c r="D20" s="299"/>
      <c r="E20" s="299"/>
      <c r="F20" s="299"/>
      <c r="G20" s="299"/>
      <c r="H20" s="299"/>
      <c r="I20" s="184">
        <f>SUM(I8:I18)</f>
        <v>1765393.5628784094</v>
      </c>
      <c r="K20" s="259"/>
    </row>
    <row r="22" spans="1:12" x14ac:dyDescent="0.25">
      <c r="A22" s="298" t="s">
        <v>585</v>
      </c>
      <c r="B22" s="298"/>
      <c r="C22" s="298"/>
      <c r="D22" s="298"/>
      <c r="E22" s="298"/>
      <c r="F22" s="298"/>
      <c r="G22" s="298"/>
      <c r="H22" s="298"/>
      <c r="I22" s="298"/>
    </row>
  </sheetData>
  <mergeCells count="18">
    <mergeCell ref="A22:I22"/>
    <mergeCell ref="A20:H20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8:E18"/>
    <mergeCell ref="B17:E17"/>
    <mergeCell ref="A5:I5"/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0B87-315A-40AC-92CC-BFC9BDF9C960}">
  <dimension ref="A1:I105"/>
  <sheetViews>
    <sheetView showGridLines="0" topLeftCell="A92" zoomScale="115" zoomScaleNormal="115" workbookViewId="0">
      <selection activeCell="A103" sqref="A103"/>
    </sheetView>
  </sheetViews>
  <sheetFormatPr defaultRowHeight="14.4" x14ac:dyDescent="0.3"/>
  <cols>
    <col min="1" max="1" width="4.77734375" bestFit="1" customWidth="1"/>
    <col min="2" max="2" width="9.21875" customWidth="1"/>
    <col min="3" max="3" width="66.21875" style="282" customWidth="1"/>
    <col min="4" max="4" width="12.21875" customWidth="1"/>
    <col min="5" max="5" width="9.33203125" style="262" bestFit="1" customWidth="1"/>
    <col min="6" max="6" width="14.109375" style="227" customWidth="1"/>
  </cols>
  <sheetData>
    <row r="1" spans="1:9" ht="23.4" x14ac:dyDescent="0.3">
      <c r="A1" s="410" t="str">
        <f>Resumo!A1</f>
        <v>ANEXO K-2</v>
      </c>
      <c r="B1" s="410"/>
      <c r="C1" s="410"/>
      <c r="D1" s="410"/>
      <c r="E1" s="410"/>
      <c r="F1" s="410"/>
    </row>
    <row r="2" spans="1:9" ht="21" x14ac:dyDescent="0.4">
      <c r="A2" s="411" t="str">
        <f>Resumo!A2</f>
        <v>COMPOSIÇÃO DE CUSTO DA ADMINISTRAÇÃO</v>
      </c>
      <c r="B2" s="411"/>
      <c r="C2" s="411"/>
      <c r="D2" s="411"/>
      <c r="E2" s="411"/>
      <c r="F2" s="411"/>
    </row>
    <row r="3" spans="1:9" ht="18" x14ac:dyDescent="0.35">
      <c r="A3" s="409" t="s">
        <v>432</v>
      </c>
      <c r="B3" s="409"/>
      <c r="C3" s="409"/>
      <c r="D3" s="409"/>
      <c r="E3" s="409"/>
      <c r="F3" s="409"/>
    </row>
    <row r="6" spans="1:9" s="197" customFormat="1" ht="57.6" x14ac:dyDescent="0.3">
      <c r="A6" s="196" t="s">
        <v>3</v>
      </c>
      <c r="B6" s="196" t="s">
        <v>400</v>
      </c>
      <c r="C6" s="280" t="s">
        <v>310</v>
      </c>
      <c r="D6" s="196" t="s">
        <v>311</v>
      </c>
      <c r="E6" s="224" t="s">
        <v>401</v>
      </c>
      <c r="F6" s="224" t="s">
        <v>399</v>
      </c>
      <c r="G6" s="232" t="s">
        <v>435</v>
      </c>
      <c r="H6" s="232" t="s">
        <v>436</v>
      </c>
      <c r="I6" s="232" t="s">
        <v>437</v>
      </c>
    </row>
    <row r="7" spans="1:9" x14ac:dyDescent="0.3">
      <c r="A7" s="195">
        <v>1</v>
      </c>
      <c r="B7" s="195" t="s">
        <v>312</v>
      </c>
      <c r="C7" s="281" t="s">
        <v>313</v>
      </c>
      <c r="D7" s="195">
        <v>2</v>
      </c>
      <c r="E7" s="278">
        <v>147.124</v>
      </c>
      <c r="F7" s="225">
        <f t="shared" ref="F7:F66" si="0">D7*E7</f>
        <v>294.24799999999999</v>
      </c>
      <c r="G7" s="233">
        <v>5</v>
      </c>
      <c r="H7" s="234">
        <f t="shared" ref="H7:H36" si="1">1/(G7*12)</f>
        <v>1.6666666666666666E-2</v>
      </c>
      <c r="I7" s="225">
        <f t="shared" ref="I7:I36" si="2">F7*H7</f>
        <v>4.9041333333333332</v>
      </c>
    </row>
    <row r="8" spans="1:9" x14ac:dyDescent="0.3">
      <c r="A8" s="195">
        <v>2</v>
      </c>
      <c r="B8" s="195" t="s">
        <v>312</v>
      </c>
      <c r="C8" s="281" t="s">
        <v>314</v>
      </c>
      <c r="D8" s="195">
        <v>1</v>
      </c>
      <c r="E8" s="278">
        <v>43.961666666666673</v>
      </c>
      <c r="F8" s="225">
        <f t="shared" si="0"/>
        <v>43.961666666666673</v>
      </c>
      <c r="G8" s="233">
        <v>5</v>
      </c>
      <c r="H8" s="234">
        <f t="shared" si="1"/>
        <v>1.6666666666666666E-2</v>
      </c>
      <c r="I8" s="225">
        <f t="shared" si="2"/>
        <v>0.73269444444444454</v>
      </c>
    </row>
    <row r="9" spans="1:9" x14ac:dyDescent="0.3">
      <c r="A9" s="195">
        <v>3</v>
      </c>
      <c r="B9" s="195" t="s">
        <v>312</v>
      </c>
      <c r="C9" s="281" t="s">
        <v>315</v>
      </c>
      <c r="D9" s="195">
        <v>1</v>
      </c>
      <c r="E9" s="278">
        <v>68.414999999999992</v>
      </c>
      <c r="F9" s="225">
        <f t="shared" si="0"/>
        <v>68.414999999999992</v>
      </c>
      <c r="G9" s="233">
        <v>5</v>
      </c>
      <c r="H9" s="234">
        <f t="shared" si="1"/>
        <v>1.6666666666666666E-2</v>
      </c>
      <c r="I9" s="225">
        <f t="shared" si="2"/>
        <v>1.1402499999999998</v>
      </c>
    </row>
    <row r="10" spans="1:9" x14ac:dyDescent="0.3">
      <c r="A10" s="195">
        <v>4</v>
      </c>
      <c r="B10" s="195">
        <v>38470</v>
      </c>
      <c r="C10" s="281" t="s">
        <v>316</v>
      </c>
      <c r="D10" s="195">
        <v>1</v>
      </c>
      <c r="E10" s="278">
        <v>45.098571428571425</v>
      </c>
      <c r="F10" s="225">
        <f t="shared" si="0"/>
        <v>45.098571428571425</v>
      </c>
      <c r="G10" s="233">
        <v>5</v>
      </c>
      <c r="H10" s="234">
        <f t="shared" si="1"/>
        <v>1.6666666666666666E-2</v>
      </c>
      <c r="I10" s="225">
        <f t="shared" si="2"/>
        <v>0.75164285714285706</v>
      </c>
    </row>
    <row r="11" spans="1:9" x14ac:dyDescent="0.3">
      <c r="A11" s="195">
        <v>5</v>
      </c>
      <c r="B11" s="195">
        <v>38467</v>
      </c>
      <c r="C11" s="281" t="s">
        <v>317</v>
      </c>
      <c r="D11" s="195">
        <v>1</v>
      </c>
      <c r="E11" s="278">
        <v>127.32333333333334</v>
      </c>
      <c r="F11" s="225">
        <f t="shared" si="0"/>
        <v>127.32333333333334</v>
      </c>
      <c r="G11" s="233">
        <v>5</v>
      </c>
      <c r="H11" s="234">
        <f t="shared" si="1"/>
        <v>1.6666666666666666E-2</v>
      </c>
      <c r="I11" s="225">
        <f t="shared" si="2"/>
        <v>2.1220555555555558</v>
      </c>
    </row>
    <row r="12" spans="1:9" x14ac:dyDescent="0.3">
      <c r="A12" s="195">
        <v>6</v>
      </c>
      <c r="B12" s="195" t="s">
        <v>312</v>
      </c>
      <c r="C12" s="281" t="s">
        <v>318</v>
      </c>
      <c r="D12" s="195">
        <v>1</v>
      </c>
      <c r="E12" s="278">
        <v>600.11</v>
      </c>
      <c r="F12" s="225">
        <f t="shared" si="0"/>
        <v>600.11</v>
      </c>
      <c r="G12" s="233">
        <v>5</v>
      </c>
      <c r="H12" s="234">
        <f t="shared" si="1"/>
        <v>1.6666666666666666E-2</v>
      </c>
      <c r="I12" s="225">
        <f t="shared" si="2"/>
        <v>10.001833333333334</v>
      </c>
    </row>
    <row r="13" spans="1:9" x14ac:dyDescent="0.3">
      <c r="A13" s="195">
        <v>7</v>
      </c>
      <c r="B13" s="195" t="s">
        <v>312</v>
      </c>
      <c r="C13" s="281" t="s">
        <v>319</v>
      </c>
      <c r="D13" s="195">
        <v>2</v>
      </c>
      <c r="E13" s="278">
        <v>45.222000000000001</v>
      </c>
      <c r="F13" s="225">
        <f t="shared" si="0"/>
        <v>90.444000000000003</v>
      </c>
      <c r="G13" s="233">
        <v>5</v>
      </c>
      <c r="H13" s="234">
        <f t="shared" si="1"/>
        <v>1.6666666666666666E-2</v>
      </c>
      <c r="I13" s="225">
        <f t="shared" si="2"/>
        <v>1.5074000000000001</v>
      </c>
    </row>
    <row r="14" spans="1:9" x14ac:dyDescent="0.3">
      <c r="A14" s="195">
        <v>8</v>
      </c>
      <c r="B14" s="195" t="s">
        <v>312</v>
      </c>
      <c r="C14" s="281" t="s">
        <v>320</v>
      </c>
      <c r="D14" s="195">
        <v>1</v>
      </c>
      <c r="E14" s="278">
        <v>1457.0040000000001</v>
      </c>
      <c r="F14" s="225">
        <f t="shared" si="0"/>
        <v>1457.0040000000001</v>
      </c>
      <c r="G14" s="233">
        <v>5</v>
      </c>
      <c r="H14" s="234">
        <f t="shared" si="1"/>
        <v>1.6666666666666666E-2</v>
      </c>
      <c r="I14" s="225">
        <f t="shared" si="2"/>
        <v>24.2834</v>
      </c>
    </row>
    <row r="15" spans="1:9" ht="28.8" x14ac:dyDescent="0.3">
      <c r="A15" s="195">
        <v>9</v>
      </c>
      <c r="B15" s="195" t="s">
        <v>312</v>
      </c>
      <c r="C15" s="281" t="s">
        <v>321</v>
      </c>
      <c r="D15" s="195">
        <v>1</v>
      </c>
      <c r="E15" s="278">
        <v>869.25666666666666</v>
      </c>
      <c r="F15" s="225">
        <f t="shared" si="0"/>
        <v>869.25666666666666</v>
      </c>
      <c r="G15" s="233">
        <v>5</v>
      </c>
      <c r="H15" s="234">
        <f t="shared" si="1"/>
        <v>1.6666666666666666E-2</v>
      </c>
      <c r="I15" s="225">
        <f t="shared" si="2"/>
        <v>14.487611111111111</v>
      </c>
    </row>
    <row r="16" spans="1:9" x14ac:dyDescent="0.3">
      <c r="A16" s="195">
        <v>10</v>
      </c>
      <c r="B16" s="195" t="s">
        <v>312</v>
      </c>
      <c r="C16" s="281" t="s">
        <v>322</v>
      </c>
      <c r="D16" s="195">
        <v>2</v>
      </c>
      <c r="E16" s="278">
        <v>47.668000000000006</v>
      </c>
      <c r="F16" s="225">
        <f t="shared" si="0"/>
        <v>95.336000000000013</v>
      </c>
      <c r="G16" s="233">
        <v>5</v>
      </c>
      <c r="H16" s="234">
        <f t="shared" si="1"/>
        <v>1.6666666666666666E-2</v>
      </c>
      <c r="I16" s="225">
        <f t="shared" si="2"/>
        <v>1.5889333333333335</v>
      </c>
    </row>
    <row r="17" spans="1:9" x14ac:dyDescent="0.3">
      <c r="A17" s="195">
        <v>11</v>
      </c>
      <c r="B17" s="195" t="s">
        <v>312</v>
      </c>
      <c r="C17" s="281" t="s">
        <v>323</v>
      </c>
      <c r="D17" s="195">
        <v>3</v>
      </c>
      <c r="E17" s="278">
        <v>38</v>
      </c>
      <c r="F17" s="225">
        <f t="shared" si="0"/>
        <v>114</v>
      </c>
      <c r="G17" s="233">
        <v>5</v>
      </c>
      <c r="H17" s="234">
        <f t="shared" si="1"/>
        <v>1.6666666666666666E-2</v>
      </c>
      <c r="I17" s="225">
        <f t="shared" si="2"/>
        <v>1.9</v>
      </c>
    </row>
    <row r="18" spans="1:9" x14ac:dyDescent="0.3">
      <c r="A18" s="195">
        <v>12</v>
      </c>
      <c r="B18" s="195">
        <v>10</v>
      </c>
      <c r="C18" s="281" t="s">
        <v>324</v>
      </c>
      <c r="D18" s="195">
        <v>8</v>
      </c>
      <c r="E18" s="278">
        <v>16.196249999999999</v>
      </c>
      <c r="F18" s="225">
        <f t="shared" si="0"/>
        <v>129.57</v>
      </c>
      <c r="G18" s="233">
        <v>5</v>
      </c>
      <c r="H18" s="234">
        <f t="shared" si="1"/>
        <v>1.6666666666666666E-2</v>
      </c>
      <c r="I18" s="225">
        <f t="shared" si="2"/>
        <v>2.1595</v>
      </c>
    </row>
    <row r="19" spans="1:9" x14ac:dyDescent="0.3">
      <c r="A19" s="195">
        <v>13</v>
      </c>
      <c r="B19" s="195" t="s">
        <v>312</v>
      </c>
      <c r="C19" s="281" t="s">
        <v>325</v>
      </c>
      <c r="D19" s="195">
        <v>15</v>
      </c>
      <c r="E19" s="278">
        <v>0.96250000000000002</v>
      </c>
      <c r="F19" s="225">
        <f t="shared" si="0"/>
        <v>14.4375</v>
      </c>
      <c r="G19" s="233">
        <v>5</v>
      </c>
      <c r="H19" s="234">
        <f t="shared" si="1"/>
        <v>1.6666666666666666E-2</v>
      </c>
      <c r="I19" s="225">
        <f t="shared" si="2"/>
        <v>0.24062500000000001</v>
      </c>
    </row>
    <row r="20" spans="1:9" x14ac:dyDescent="0.3">
      <c r="A20" s="195">
        <v>14</v>
      </c>
      <c r="B20" s="195" t="s">
        <v>312</v>
      </c>
      <c r="C20" s="281" t="s">
        <v>326</v>
      </c>
      <c r="D20" s="195">
        <v>3</v>
      </c>
      <c r="E20" s="278">
        <v>255.05999999999997</v>
      </c>
      <c r="F20" s="225">
        <f t="shared" si="0"/>
        <v>765.18</v>
      </c>
      <c r="G20" s="233">
        <v>5</v>
      </c>
      <c r="H20" s="234">
        <f t="shared" si="1"/>
        <v>1.6666666666666666E-2</v>
      </c>
      <c r="I20" s="225">
        <f t="shared" si="2"/>
        <v>12.752999999999998</v>
      </c>
    </row>
    <row r="21" spans="1:9" x14ac:dyDescent="0.3">
      <c r="A21" s="195">
        <v>15</v>
      </c>
      <c r="B21" s="195">
        <v>2711</v>
      </c>
      <c r="C21" s="281" t="s">
        <v>327</v>
      </c>
      <c r="D21" s="195">
        <v>4</v>
      </c>
      <c r="E21" s="278">
        <v>270.10333333333335</v>
      </c>
      <c r="F21" s="225">
        <f t="shared" si="0"/>
        <v>1080.4133333333334</v>
      </c>
      <c r="G21" s="233">
        <v>5</v>
      </c>
      <c r="H21" s="234">
        <f t="shared" si="1"/>
        <v>1.6666666666666666E-2</v>
      </c>
      <c r="I21" s="225">
        <f t="shared" si="2"/>
        <v>18.006888888888891</v>
      </c>
    </row>
    <row r="22" spans="1:9" x14ac:dyDescent="0.3">
      <c r="A22" s="195">
        <v>16</v>
      </c>
      <c r="B22" s="195" t="s">
        <v>312</v>
      </c>
      <c r="C22" s="281" t="s">
        <v>328</v>
      </c>
      <c r="D22" s="195">
        <v>2</v>
      </c>
      <c r="E22" s="278">
        <v>82.114285714285714</v>
      </c>
      <c r="F22" s="225">
        <f t="shared" si="0"/>
        <v>164.22857142857143</v>
      </c>
      <c r="G22" s="233">
        <v>5</v>
      </c>
      <c r="H22" s="234">
        <f t="shared" si="1"/>
        <v>1.6666666666666666E-2</v>
      </c>
      <c r="I22" s="225">
        <f t="shared" si="2"/>
        <v>2.7371428571428571</v>
      </c>
    </row>
    <row r="23" spans="1:9" x14ac:dyDescent="0.3">
      <c r="A23" s="195">
        <v>17</v>
      </c>
      <c r="B23" s="195" t="s">
        <v>312</v>
      </c>
      <c r="C23" s="281" t="s">
        <v>329</v>
      </c>
      <c r="D23" s="195">
        <v>2</v>
      </c>
      <c r="E23" s="278">
        <v>65.322222222222223</v>
      </c>
      <c r="F23" s="225">
        <f t="shared" si="0"/>
        <v>130.64444444444445</v>
      </c>
      <c r="G23" s="233">
        <v>5</v>
      </c>
      <c r="H23" s="234">
        <f t="shared" si="1"/>
        <v>1.6666666666666666E-2</v>
      </c>
      <c r="I23" s="225">
        <f t="shared" si="2"/>
        <v>2.1774074074074075</v>
      </c>
    </row>
    <row r="24" spans="1:9" x14ac:dyDescent="0.3">
      <c r="A24" s="195">
        <v>18</v>
      </c>
      <c r="B24" s="195" t="s">
        <v>312</v>
      </c>
      <c r="C24" s="281" t="s">
        <v>330</v>
      </c>
      <c r="D24" s="195">
        <v>1</v>
      </c>
      <c r="E24" s="278">
        <v>58.987499999999997</v>
      </c>
      <c r="F24" s="225">
        <f t="shared" si="0"/>
        <v>58.987499999999997</v>
      </c>
      <c r="G24" s="233">
        <v>5</v>
      </c>
      <c r="H24" s="234">
        <f t="shared" si="1"/>
        <v>1.6666666666666666E-2</v>
      </c>
      <c r="I24" s="225">
        <f t="shared" si="2"/>
        <v>0.98312499999999992</v>
      </c>
    </row>
    <row r="25" spans="1:9" x14ac:dyDescent="0.3">
      <c r="A25" s="195">
        <v>19</v>
      </c>
      <c r="B25" s="195" t="s">
        <v>312</v>
      </c>
      <c r="C25" s="281" t="s">
        <v>331</v>
      </c>
      <c r="D25" s="195">
        <v>1</v>
      </c>
      <c r="E25" s="278">
        <v>44.832857142857144</v>
      </c>
      <c r="F25" s="225">
        <f t="shared" si="0"/>
        <v>44.832857142857144</v>
      </c>
      <c r="G25" s="233">
        <v>5</v>
      </c>
      <c r="H25" s="234">
        <f t="shared" si="1"/>
        <v>1.6666666666666666E-2</v>
      </c>
      <c r="I25" s="225">
        <f t="shared" si="2"/>
        <v>0.74721428571428572</v>
      </c>
    </row>
    <row r="26" spans="1:9" x14ac:dyDescent="0.3">
      <c r="A26" s="195">
        <v>20</v>
      </c>
      <c r="B26" s="195" t="s">
        <v>312</v>
      </c>
      <c r="C26" s="281" t="s">
        <v>332</v>
      </c>
      <c r="D26" s="195">
        <v>1</v>
      </c>
      <c r="E26" s="278">
        <v>103.35</v>
      </c>
      <c r="F26" s="225">
        <f t="shared" si="0"/>
        <v>103.35</v>
      </c>
      <c r="G26" s="233">
        <v>5</v>
      </c>
      <c r="H26" s="234">
        <f t="shared" si="1"/>
        <v>1.6666666666666666E-2</v>
      </c>
      <c r="I26" s="225">
        <f t="shared" si="2"/>
        <v>1.7224999999999999</v>
      </c>
    </row>
    <row r="27" spans="1:9" x14ac:dyDescent="0.3">
      <c r="A27" s="195">
        <v>21</v>
      </c>
      <c r="B27" s="195" t="s">
        <v>312</v>
      </c>
      <c r="C27" s="281" t="s">
        <v>333</v>
      </c>
      <c r="D27" s="195">
        <v>1</v>
      </c>
      <c r="E27" s="278">
        <v>248.98666666666668</v>
      </c>
      <c r="F27" s="225">
        <f t="shared" si="0"/>
        <v>248.98666666666668</v>
      </c>
      <c r="G27" s="233">
        <v>5</v>
      </c>
      <c r="H27" s="234">
        <f t="shared" si="1"/>
        <v>1.6666666666666666E-2</v>
      </c>
      <c r="I27" s="225">
        <f t="shared" si="2"/>
        <v>4.1497777777777776</v>
      </c>
    </row>
    <row r="28" spans="1:9" x14ac:dyDescent="0.3">
      <c r="A28" s="195">
        <v>22</v>
      </c>
      <c r="B28" s="195" t="s">
        <v>312</v>
      </c>
      <c r="C28" s="281" t="s">
        <v>334</v>
      </c>
      <c r="D28" s="195">
        <v>1</v>
      </c>
      <c r="E28" s="278">
        <v>337.33857142857141</v>
      </c>
      <c r="F28" s="225">
        <f t="shared" si="0"/>
        <v>337.33857142857141</v>
      </c>
      <c r="G28" s="233">
        <v>5</v>
      </c>
      <c r="H28" s="234">
        <f t="shared" si="1"/>
        <v>1.6666666666666666E-2</v>
      </c>
      <c r="I28" s="225">
        <f t="shared" si="2"/>
        <v>5.6223095238095233</v>
      </c>
    </row>
    <row r="29" spans="1:9" x14ac:dyDescent="0.3">
      <c r="A29" s="195">
        <v>23</v>
      </c>
      <c r="B29" s="195" t="s">
        <v>312</v>
      </c>
      <c r="C29" s="281" t="s">
        <v>335</v>
      </c>
      <c r="D29" s="195">
        <v>1</v>
      </c>
      <c r="E29" s="278">
        <v>12.68</v>
      </c>
      <c r="F29" s="225">
        <f t="shared" si="0"/>
        <v>12.68</v>
      </c>
      <c r="G29" s="233">
        <v>5</v>
      </c>
      <c r="H29" s="234">
        <f t="shared" si="1"/>
        <v>1.6666666666666666E-2</v>
      </c>
      <c r="I29" s="225">
        <f t="shared" si="2"/>
        <v>0.21133333333333332</v>
      </c>
    </row>
    <row r="30" spans="1:9" x14ac:dyDescent="0.3">
      <c r="A30" s="195">
        <v>24</v>
      </c>
      <c r="B30" s="195" t="s">
        <v>312</v>
      </c>
      <c r="C30" s="281" t="s">
        <v>336</v>
      </c>
      <c r="D30" s="195">
        <v>2</v>
      </c>
      <c r="E30" s="278">
        <v>12.055</v>
      </c>
      <c r="F30" s="225">
        <f t="shared" si="0"/>
        <v>24.11</v>
      </c>
      <c r="G30" s="233">
        <v>5</v>
      </c>
      <c r="H30" s="234">
        <f t="shared" si="1"/>
        <v>1.6666666666666666E-2</v>
      </c>
      <c r="I30" s="225">
        <f t="shared" si="2"/>
        <v>0.40183333333333332</v>
      </c>
    </row>
    <row r="31" spans="1:9" x14ac:dyDescent="0.3">
      <c r="A31" s="195">
        <v>25</v>
      </c>
      <c r="B31" s="195" t="s">
        <v>312</v>
      </c>
      <c r="C31" s="281" t="s">
        <v>337</v>
      </c>
      <c r="D31" s="195">
        <v>2</v>
      </c>
      <c r="E31" s="278">
        <v>78.027500000000003</v>
      </c>
      <c r="F31" s="225">
        <f t="shared" si="0"/>
        <v>156.05500000000001</v>
      </c>
      <c r="G31" s="233">
        <v>5</v>
      </c>
      <c r="H31" s="234">
        <f t="shared" si="1"/>
        <v>1.6666666666666666E-2</v>
      </c>
      <c r="I31" s="225">
        <f t="shared" si="2"/>
        <v>2.6009166666666665</v>
      </c>
    </row>
    <row r="32" spans="1:9" x14ac:dyDescent="0.3">
      <c r="A32" s="195">
        <v>26</v>
      </c>
      <c r="B32" s="195" t="s">
        <v>312</v>
      </c>
      <c r="C32" s="281" t="s">
        <v>338</v>
      </c>
      <c r="D32" s="195">
        <v>2</v>
      </c>
      <c r="E32" s="278">
        <v>37.097499999999997</v>
      </c>
      <c r="F32" s="225">
        <f t="shared" si="0"/>
        <v>74.194999999999993</v>
      </c>
      <c r="G32" s="233">
        <v>5</v>
      </c>
      <c r="H32" s="234">
        <f t="shared" si="1"/>
        <v>1.6666666666666666E-2</v>
      </c>
      <c r="I32" s="225">
        <f t="shared" si="2"/>
        <v>1.2365833333333331</v>
      </c>
    </row>
    <row r="33" spans="1:9" ht="28.8" x14ac:dyDescent="0.3">
      <c r="A33" s="195">
        <v>27</v>
      </c>
      <c r="B33" s="195">
        <v>38200</v>
      </c>
      <c r="C33" s="281" t="s">
        <v>339</v>
      </c>
      <c r="D33" s="195">
        <v>1</v>
      </c>
      <c r="E33" s="278">
        <v>103.79666666666667</v>
      </c>
      <c r="F33" s="225">
        <f t="shared" si="0"/>
        <v>103.79666666666667</v>
      </c>
      <c r="G33" s="233">
        <v>5</v>
      </c>
      <c r="H33" s="234">
        <f t="shared" si="1"/>
        <v>1.6666666666666666E-2</v>
      </c>
      <c r="I33" s="225">
        <f t="shared" si="2"/>
        <v>1.7299444444444445</v>
      </c>
    </row>
    <row r="34" spans="1:9" x14ac:dyDescent="0.3">
      <c r="A34" s="195">
        <v>28</v>
      </c>
      <c r="B34" s="195" t="s">
        <v>312</v>
      </c>
      <c r="C34" s="281" t="s">
        <v>340</v>
      </c>
      <c r="D34" s="195">
        <v>1</v>
      </c>
      <c r="E34" s="278">
        <v>114.92818181818183</v>
      </c>
      <c r="F34" s="225">
        <f t="shared" si="0"/>
        <v>114.92818181818183</v>
      </c>
      <c r="G34" s="233">
        <v>5</v>
      </c>
      <c r="H34" s="234">
        <f t="shared" si="1"/>
        <v>1.6666666666666666E-2</v>
      </c>
      <c r="I34" s="225">
        <f t="shared" si="2"/>
        <v>1.9154696969696972</v>
      </c>
    </row>
    <row r="35" spans="1:9" x14ac:dyDescent="0.3">
      <c r="A35" s="195">
        <v>29</v>
      </c>
      <c r="B35" s="195" t="s">
        <v>312</v>
      </c>
      <c r="C35" s="281" t="s">
        <v>341</v>
      </c>
      <c r="D35" s="195">
        <v>1</v>
      </c>
      <c r="E35" s="278">
        <v>309.03285714285715</v>
      </c>
      <c r="F35" s="225">
        <f t="shared" si="0"/>
        <v>309.03285714285715</v>
      </c>
      <c r="G35" s="233">
        <v>5</v>
      </c>
      <c r="H35" s="234">
        <f t="shared" si="1"/>
        <v>1.6666666666666666E-2</v>
      </c>
      <c r="I35" s="225">
        <f t="shared" si="2"/>
        <v>5.1505476190476189</v>
      </c>
    </row>
    <row r="36" spans="1:9" x14ac:dyDescent="0.3">
      <c r="A36" s="195">
        <v>30</v>
      </c>
      <c r="B36" s="195">
        <v>38369</v>
      </c>
      <c r="C36" s="281" t="s">
        <v>342</v>
      </c>
      <c r="D36" s="195">
        <v>3</v>
      </c>
      <c r="E36" s="278">
        <v>15.76125</v>
      </c>
      <c r="F36" s="225">
        <f t="shared" si="0"/>
        <v>47.283749999999998</v>
      </c>
      <c r="G36" s="233">
        <v>5</v>
      </c>
      <c r="H36" s="234">
        <f t="shared" si="1"/>
        <v>1.6666666666666666E-2</v>
      </c>
      <c r="I36" s="225">
        <f t="shared" si="2"/>
        <v>0.7880625</v>
      </c>
    </row>
    <row r="37" spans="1:9" x14ac:dyDescent="0.3">
      <c r="A37" s="195">
        <v>31</v>
      </c>
      <c r="B37" s="195">
        <v>38370</v>
      </c>
      <c r="C37" s="281" t="s">
        <v>343</v>
      </c>
      <c r="D37" s="195">
        <v>3</v>
      </c>
      <c r="E37" s="278">
        <v>15.881111111111112</v>
      </c>
      <c r="F37" s="225">
        <f t="shared" si="0"/>
        <v>47.643333333333338</v>
      </c>
      <c r="G37" s="233">
        <v>5</v>
      </c>
      <c r="H37" s="234">
        <f t="shared" ref="H37:H65" si="3">1/(G37*12)</f>
        <v>1.6666666666666666E-2</v>
      </c>
      <c r="I37" s="225">
        <f t="shared" ref="I37:I65" si="4">F37*H37</f>
        <v>0.79405555555555563</v>
      </c>
    </row>
    <row r="38" spans="1:9" x14ac:dyDescent="0.3">
      <c r="A38" s="195">
        <v>32</v>
      </c>
      <c r="B38" s="195">
        <v>38476</v>
      </c>
      <c r="C38" s="281" t="s">
        <v>344</v>
      </c>
      <c r="D38" s="195">
        <v>2</v>
      </c>
      <c r="E38" s="278">
        <v>380.20333333333332</v>
      </c>
      <c r="F38" s="225">
        <f t="shared" si="0"/>
        <v>760.40666666666664</v>
      </c>
      <c r="G38" s="233">
        <v>5</v>
      </c>
      <c r="H38" s="234">
        <f t="shared" si="3"/>
        <v>1.6666666666666666E-2</v>
      </c>
      <c r="I38" s="225">
        <f t="shared" si="4"/>
        <v>12.673444444444444</v>
      </c>
    </row>
    <row r="39" spans="1:9" x14ac:dyDescent="0.3">
      <c r="A39" s="195">
        <v>33</v>
      </c>
      <c r="B39" s="195">
        <v>38477</v>
      </c>
      <c r="C39" s="281" t="s">
        <v>345</v>
      </c>
      <c r="D39" s="195">
        <v>1</v>
      </c>
      <c r="E39" s="278">
        <v>342.61500000000001</v>
      </c>
      <c r="F39" s="225">
        <f t="shared" si="0"/>
        <v>342.61500000000001</v>
      </c>
      <c r="G39" s="233">
        <v>5</v>
      </c>
      <c r="H39" s="234">
        <f t="shared" si="3"/>
        <v>1.6666666666666666E-2</v>
      </c>
      <c r="I39" s="225">
        <f t="shared" si="4"/>
        <v>5.7102500000000003</v>
      </c>
    </row>
    <row r="40" spans="1:9" x14ac:dyDescent="0.3">
      <c r="A40" s="195">
        <v>34</v>
      </c>
      <c r="B40" s="195">
        <v>38403</v>
      </c>
      <c r="C40" s="281" t="s">
        <v>346</v>
      </c>
      <c r="D40" s="195">
        <v>3</v>
      </c>
      <c r="E40" s="278">
        <v>58.630999999999993</v>
      </c>
      <c r="F40" s="225">
        <f t="shared" si="0"/>
        <v>175.89299999999997</v>
      </c>
      <c r="G40" s="233">
        <v>5</v>
      </c>
      <c r="H40" s="234">
        <f t="shared" si="3"/>
        <v>1.6666666666666666E-2</v>
      </c>
      <c r="I40" s="225">
        <f t="shared" si="4"/>
        <v>2.9315499999999997</v>
      </c>
    </row>
    <row r="41" spans="1:9" x14ac:dyDescent="0.3">
      <c r="A41" s="195">
        <v>35</v>
      </c>
      <c r="B41" s="195">
        <v>12</v>
      </c>
      <c r="C41" s="281" t="s">
        <v>347</v>
      </c>
      <c r="D41" s="195">
        <v>2</v>
      </c>
      <c r="E41" s="278">
        <v>11.35375</v>
      </c>
      <c r="F41" s="225">
        <f t="shared" si="0"/>
        <v>22.7075</v>
      </c>
      <c r="G41" s="233">
        <v>5</v>
      </c>
      <c r="H41" s="234">
        <f t="shared" si="3"/>
        <v>1.6666666666666666E-2</v>
      </c>
      <c r="I41" s="225">
        <f t="shared" si="4"/>
        <v>0.37845833333333334</v>
      </c>
    </row>
    <row r="42" spans="1:9" x14ac:dyDescent="0.3">
      <c r="A42" s="195">
        <v>36</v>
      </c>
      <c r="B42" s="195">
        <v>38367</v>
      </c>
      <c r="C42" s="281" t="s">
        <v>348</v>
      </c>
      <c r="D42" s="195">
        <v>2</v>
      </c>
      <c r="E42" s="278">
        <v>8.2250000000000014</v>
      </c>
      <c r="F42" s="225">
        <f t="shared" si="0"/>
        <v>16.450000000000003</v>
      </c>
      <c r="G42" s="233">
        <v>5</v>
      </c>
      <c r="H42" s="234">
        <f t="shared" si="3"/>
        <v>1.6666666666666666E-2</v>
      </c>
      <c r="I42" s="225">
        <f t="shared" si="4"/>
        <v>0.27416666666666673</v>
      </c>
    </row>
    <row r="43" spans="1:9" x14ac:dyDescent="0.3">
      <c r="A43" s="195">
        <v>37</v>
      </c>
      <c r="B43" s="195" t="s">
        <v>312</v>
      </c>
      <c r="C43" s="281" t="s">
        <v>349</v>
      </c>
      <c r="D43" s="195">
        <v>2</v>
      </c>
      <c r="E43" s="278">
        <v>9.8544444444444466</v>
      </c>
      <c r="F43" s="225">
        <f t="shared" si="0"/>
        <v>19.708888888888893</v>
      </c>
      <c r="G43" s="233">
        <v>5</v>
      </c>
      <c r="H43" s="234">
        <f t="shared" si="3"/>
        <v>1.6666666666666666E-2</v>
      </c>
      <c r="I43" s="225">
        <f t="shared" si="4"/>
        <v>0.32848148148148154</v>
      </c>
    </row>
    <row r="44" spans="1:9" x14ac:dyDescent="0.3">
      <c r="A44" s="195">
        <v>38</v>
      </c>
      <c r="B44" s="195">
        <v>38368</v>
      </c>
      <c r="C44" s="281" t="s">
        <v>350</v>
      </c>
      <c r="D44" s="195">
        <v>2</v>
      </c>
      <c r="E44" s="278">
        <v>5.3150000000000004</v>
      </c>
      <c r="F44" s="225">
        <f t="shared" si="0"/>
        <v>10.63</v>
      </c>
      <c r="G44" s="233">
        <v>5</v>
      </c>
      <c r="H44" s="234">
        <f t="shared" si="3"/>
        <v>1.6666666666666666E-2</v>
      </c>
      <c r="I44" s="225">
        <f t="shared" si="4"/>
        <v>0.17716666666666667</v>
      </c>
    </row>
    <row r="45" spans="1:9" x14ac:dyDescent="0.3">
      <c r="A45" s="195">
        <v>39</v>
      </c>
      <c r="B45" s="195">
        <v>38380</v>
      </c>
      <c r="C45" s="281" t="s">
        <v>351</v>
      </c>
      <c r="D45" s="195">
        <v>1</v>
      </c>
      <c r="E45" s="278">
        <v>96.256666666666661</v>
      </c>
      <c r="F45" s="225">
        <f t="shared" si="0"/>
        <v>96.256666666666661</v>
      </c>
      <c r="G45" s="233">
        <v>5</v>
      </c>
      <c r="H45" s="234">
        <f t="shared" si="3"/>
        <v>1.6666666666666666E-2</v>
      </c>
      <c r="I45" s="225">
        <f t="shared" si="4"/>
        <v>1.6042777777777777</v>
      </c>
    </row>
    <row r="46" spans="1:9" x14ac:dyDescent="0.3">
      <c r="A46" s="195">
        <v>40</v>
      </c>
      <c r="B46" s="195">
        <v>38384</v>
      </c>
      <c r="C46" s="281" t="s">
        <v>352</v>
      </c>
      <c r="D46" s="195">
        <v>2</v>
      </c>
      <c r="E46" s="278">
        <v>10.280000000000001</v>
      </c>
      <c r="F46" s="225">
        <f t="shared" si="0"/>
        <v>20.560000000000002</v>
      </c>
      <c r="G46" s="233">
        <v>5</v>
      </c>
      <c r="H46" s="234">
        <f t="shared" si="3"/>
        <v>1.6666666666666666E-2</v>
      </c>
      <c r="I46" s="225">
        <f t="shared" si="4"/>
        <v>0.34266666666666667</v>
      </c>
    </row>
    <row r="47" spans="1:9" x14ac:dyDescent="0.3">
      <c r="A47" s="195">
        <v>41</v>
      </c>
      <c r="B47" s="195" t="s">
        <v>312</v>
      </c>
      <c r="C47" s="281" t="s">
        <v>353</v>
      </c>
      <c r="D47" s="195">
        <v>1</v>
      </c>
      <c r="E47" s="278">
        <v>545.16666666666663</v>
      </c>
      <c r="F47" s="225">
        <f t="shared" si="0"/>
        <v>545.16666666666663</v>
      </c>
      <c r="G47" s="233">
        <v>10</v>
      </c>
      <c r="H47" s="234">
        <f t="shared" si="3"/>
        <v>8.3333333333333332E-3</v>
      </c>
      <c r="I47" s="225">
        <f t="shared" si="4"/>
        <v>4.5430555555555552</v>
      </c>
    </row>
    <row r="48" spans="1:9" x14ac:dyDescent="0.3">
      <c r="A48" s="195">
        <v>42</v>
      </c>
      <c r="B48" s="195">
        <v>5076</v>
      </c>
      <c r="C48" s="281" t="s">
        <v>354</v>
      </c>
      <c r="D48" s="195">
        <v>4</v>
      </c>
      <c r="E48" s="278">
        <v>18.950000000000003</v>
      </c>
      <c r="F48" s="225">
        <f t="shared" si="0"/>
        <v>75.800000000000011</v>
      </c>
      <c r="G48" s="233">
        <v>5</v>
      </c>
      <c r="H48" s="234">
        <f t="shared" si="3"/>
        <v>1.6666666666666666E-2</v>
      </c>
      <c r="I48" s="225">
        <f t="shared" si="4"/>
        <v>1.2633333333333334</v>
      </c>
    </row>
    <row r="49" spans="1:9" x14ac:dyDescent="0.3">
      <c r="A49" s="195">
        <v>43</v>
      </c>
      <c r="B49" s="195" t="s">
        <v>312</v>
      </c>
      <c r="C49" s="281" t="s">
        <v>355</v>
      </c>
      <c r="D49" s="195">
        <v>1</v>
      </c>
      <c r="E49" s="278">
        <v>138.488</v>
      </c>
      <c r="F49" s="225">
        <f t="shared" si="0"/>
        <v>138.488</v>
      </c>
      <c r="G49" s="233">
        <v>5</v>
      </c>
      <c r="H49" s="234">
        <f t="shared" si="3"/>
        <v>1.6666666666666666E-2</v>
      </c>
      <c r="I49" s="225">
        <f t="shared" si="4"/>
        <v>2.3081333333333331</v>
      </c>
    </row>
    <row r="50" spans="1:9" x14ac:dyDescent="0.3">
      <c r="A50" s="195">
        <v>44</v>
      </c>
      <c r="B50" s="195" t="s">
        <v>312</v>
      </c>
      <c r="C50" s="281" t="s">
        <v>356</v>
      </c>
      <c r="D50" s="195">
        <v>1</v>
      </c>
      <c r="E50" s="278">
        <v>231.56000000000003</v>
      </c>
      <c r="F50" s="225">
        <f t="shared" si="0"/>
        <v>231.56000000000003</v>
      </c>
      <c r="G50" s="233">
        <v>5</v>
      </c>
      <c r="H50" s="234">
        <f t="shared" si="3"/>
        <v>1.6666666666666666E-2</v>
      </c>
      <c r="I50" s="225">
        <f t="shared" si="4"/>
        <v>3.8593333333333337</v>
      </c>
    </row>
    <row r="51" spans="1:9" x14ac:dyDescent="0.3">
      <c r="A51" s="195">
        <v>45</v>
      </c>
      <c r="B51" s="195" t="s">
        <v>312</v>
      </c>
      <c r="C51" s="281" t="s">
        <v>357</v>
      </c>
      <c r="D51" s="195">
        <v>1</v>
      </c>
      <c r="E51" s="278">
        <v>189.92333333333332</v>
      </c>
      <c r="F51" s="225">
        <f t="shared" si="0"/>
        <v>189.92333333333332</v>
      </c>
      <c r="G51" s="233">
        <v>5</v>
      </c>
      <c r="H51" s="234">
        <f t="shared" si="3"/>
        <v>1.6666666666666666E-2</v>
      </c>
      <c r="I51" s="225">
        <f t="shared" si="4"/>
        <v>3.1653888888888888</v>
      </c>
    </row>
    <row r="52" spans="1:9" x14ac:dyDescent="0.3">
      <c r="A52" s="195">
        <v>46</v>
      </c>
      <c r="B52" s="195" t="s">
        <v>312</v>
      </c>
      <c r="C52" s="281" t="s">
        <v>358</v>
      </c>
      <c r="D52" s="195">
        <v>1</v>
      </c>
      <c r="E52" s="278">
        <v>54.660000000000004</v>
      </c>
      <c r="F52" s="225">
        <f t="shared" si="0"/>
        <v>54.660000000000004</v>
      </c>
      <c r="G52" s="233">
        <v>5</v>
      </c>
      <c r="H52" s="234">
        <f t="shared" si="3"/>
        <v>1.6666666666666666E-2</v>
      </c>
      <c r="I52" s="225">
        <f t="shared" si="4"/>
        <v>0.91100000000000003</v>
      </c>
    </row>
    <row r="53" spans="1:9" x14ac:dyDescent="0.3">
      <c r="A53" s="195">
        <v>47</v>
      </c>
      <c r="B53" s="195" t="s">
        <v>312</v>
      </c>
      <c r="C53" s="281" t="s">
        <v>359</v>
      </c>
      <c r="D53" s="195">
        <v>10</v>
      </c>
      <c r="E53" s="278">
        <v>149.73333333333332</v>
      </c>
      <c r="F53" s="225">
        <f t="shared" si="0"/>
        <v>1497.3333333333333</v>
      </c>
      <c r="G53" s="233">
        <v>5</v>
      </c>
      <c r="H53" s="234">
        <f t="shared" si="3"/>
        <v>1.6666666666666666E-2</v>
      </c>
      <c r="I53" s="225">
        <f t="shared" si="4"/>
        <v>24.955555555555556</v>
      </c>
    </row>
    <row r="54" spans="1:9" ht="28.8" x14ac:dyDescent="0.3">
      <c r="A54" s="195">
        <v>48</v>
      </c>
      <c r="B54" s="195" t="s">
        <v>312</v>
      </c>
      <c r="C54" s="281" t="s">
        <v>360</v>
      </c>
      <c r="D54" s="195">
        <v>2</v>
      </c>
      <c r="E54" s="278">
        <v>237.01249999999999</v>
      </c>
      <c r="F54" s="225">
        <f t="shared" si="0"/>
        <v>474.02499999999998</v>
      </c>
      <c r="G54" s="233">
        <v>10</v>
      </c>
      <c r="H54" s="234">
        <f t="shared" si="3"/>
        <v>8.3333333333333332E-3</v>
      </c>
      <c r="I54" s="225">
        <f t="shared" si="4"/>
        <v>3.9502083333333329</v>
      </c>
    </row>
    <row r="55" spans="1:9" x14ac:dyDescent="0.3">
      <c r="A55" s="195">
        <v>49</v>
      </c>
      <c r="B55" s="195" t="s">
        <v>312</v>
      </c>
      <c r="C55" s="281" t="s">
        <v>361</v>
      </c>
      <c r="D55" s="195">
        <v>5</v>
      </c>
      <c r="E55" s="278">
        <v>40.822499999999998</v>
      </c>
      <c r="F55" s="225">
        <f t="shared" si="0"/>
        <v>204.11249999999998</v>
      </c>
      <c r="G55" s="233">
        <v>5</v>
      </c>
      <c r="H55" s="234">
        <f t="shared" si="3"/>
        <v>1.6666666666666666E-2</v>
      </c>
      <c r="I55" s="225">
        <f t="shared" si="4"/>
        <v>3.4018749999999995</v>
      </c>
    </row>
    <row r="56" spans="1:9" x14ac:dyDescent="0.3">
      <c r="A56" s="195">
        <v>50</v>
      </c>
      <c r="B56" s="195" t="s">
        <v>312</v>
      </c>
      <c r="C56" s="281" t="s">
        <v>362</v>
      </c>
      <c r="D56" s="195">
        <v>2</v>
      </c>
      <c r="E56" s="278">
        <v>64.709999999999994</v>
      </c>
      <c r="F56" s="225">
        <f t="shared" si="0"/>
        <v>129.41999999999999</v>
      </c>
      <c r="G56" s="233">
        <v>5</v>
      </c>
      <c r="H56" s="234">
        <f t="shared" si="3"/>
        <v>1.6666666666666666E-2</v>
      </c>
      <c r="I56" s="225">
        <f t="shared" si="4"/>
        <v>2.1569999999999996</v>
      </c>
    </row>
    <row r="57" spans="1:9" x14ac:dyDescent="0.3">
      <c r="A57" s="195">
        <v>51</v>
      </c>
      <c r="B57" s="195">
        <v>3777</v>
      </c>
      <c r="C57" s="281" t="s">
        <v>363</v>
      </c>
      <c r="D57" s="195">
        <v>1</v>
      </c>
      <c r="E57" s="278">
        <v>210.99600000000001</v>
      </c>
      <c r="F57" s="225">
        <f t="shared" si="0"/>
        <v>210.99600000000001</v>
      </c>
      <c r="G57" s="233">
        <v>5</v>
      </c>
      <c r="H57" s="234">
        <f t="shared" si="3"/>
        <v>1.6666666666666666E-2</v>
      </c>
      <c r="I57" s="225">
        <f t="shared" si="4"/>
        <v>3.5165999999999999</v>
      </c>
    </row>
    <row r="58" spans="1:9" x14ac:dyDescent="0.3">
      <c r="A58" s="195">
        <v>52</v>
      </c>
      <c r="B58" s="195">
        <v>37457</v>
      </c>
      <c r="C58" s="281" t="s">
        <v>364</v>
      </c>
      <c r="D58" s="195">
        <v>1</v>
      </c>
      <c r="E58" s="278">
        <v>18.079999999999998</v>
      </c>
      <c r="F58" s="225">
        <f t="shared" si="0"/>
        <v>18.079999999999998</v>
      </c>
      <c r="G58" s="233">
        <v>5</v>
      </c>
      <c r="H58" s="234">
        <f t="shared" si="3"/>
        <v>1.6666666666666666E-2</v>
      </c>
      <c r="I58" s="225">
        <f t="shared" si="4"/>
        <v>0.30133333333333329</v>
      </c>
    </row>
    <row r="59" spans="1:9" x14ac:dyDescent="0.3">
      <c r="A59" s="195">
        <v>53</v>
      </c>
      <c r="B59" s="195" t="s">
        <v>312</v>
      </c>
      <c r="C59" s="281" t="s">
        <v>365</v>
      </c>
      <c r="D59" s="195">
        <v>1</v>
      </c>
      <c r="E59" s="278">
        <v>316.41750000000002</v>
      </c>
      <c r="F59" s="225">
        <f t="shared" si="0"/>
        <v>316.41750000000002</v>
      </c>
      <c r="G59" s="233">
        <v>10</v>
      </c>
      <c r="H59" s="234">
        <f t="shared" si="3"/>
        <v>8.3333333333333332E-3</v>
      </c>
      <c r="I59" s="225">
        <f t="shared" si="4"/>
        <v>2.6368125</v>
      </c>
    </row>
    <row r="60" spans="1:9" x14ac:dyDescent="0.3">
      <c r="A60" s="195">
        <v>54</v>
      </c>
      <c r="B60" s="195" t="s">
        <v>312</v>
      </c>
      <c r="C60" s="281" t="s">
        <v>366</v>
      </c>
      <c r="D60" s="195">
        <v>4</v>
      </c>
      <c r="E60" s="278">
        <v>30.375</v>
      </c>
      <c r="F60" s="225">
        <f t="shared" si="0"/>
        <v>121.5</v>
      </c>
      <c r="G60" s="233">
        <v>5</v>
      </c>
      <c r="H60" s="234">
        <f t="shared" si="3"/>
        <v>1.6666666666666666E-2</v>
      </c>
      <c r="I60" s="225">
        <f t="shared" si="4"/>
        <v>2.0249999999999999</v>
      </c>
    </row>
    <row r="61" spans="1:9" x14ac:dyDescent="0.3">
      <c r="A61" s="195">
        <v>55</v>
      </c>
      <c r="B61" s="195" t="s">
        <v>312</v>
      </c>
      <c r="C61" s="281" t="s">
        <v>367</v>
      </c>
      <c r="D61" s="195">
        <v>1</v>
      </c>
      <c r="E61" s="278">
        <v>68.243333333333339</v>
      </c>
      <c r="F61" s="225">
        <f t="shared" si="0"/>
        <v>68.243333333333339</v>
      </c>
      <c r="G61" s="233">
        <v>5</v>
      </c>
      <c r="H61" s="234">
        <f t="shared" si="3"/>
        <v>1.6666666666666666E-2</v>
      </c>
      <c r="I61" s="225">
        <f t="shared" si="4"/>
        <v>1.137388888888889</v>
      </c>
    </row>
    <row r="62" spans="1:9" x14ac:dyDescent="0.3">
      <c r="A62" s="195">
        <v>56</v>
      </c>
      <c r="B62" s="195" t="s">
        <v>312</v>
      </c>
      <c r="C62" s="281" t="s">
        <v>368</v>
      </c>
      <c r="D62" s="195">
        <v>1</v>
      </c>
      <c r="E62" s="278">
        <v>72.128333333333316</v>
      </c>
      <c r="F62" s="225">
        <f t="shared" si="0"/>
        <v>72.128333333333316</v>
      </c>
      <c r="G62" s="233">
        <v>5</v>
      </c>
      <c r="H62" s="234">
        <f t="shared" si="3"/>
        <v>1.6666666666666666E-2</v>
      </c>
      <c r="I62" s="225">
        <f t="shared" si="4"/>
        <v>1.2021388888888886</v>
      </c>
    </row>
    <row r="63" spans="1:9" x14ac:dyDescent="0.3">
      <c r="A63" s="195">
        <v>57</v>
      </c>
      <c r="B63" s="195" t="s">
        <v>312</v>
      </c>
      <c r="C63" s="281" t="s">
        <v>369</v>
      </c>
      <c r="D63" s="195">
        <v>1</v>
      </c>
      <c r="E63" s="278">
        <v>118.02</v>
      </c>
      <c r="F63" s="225">
        <f t="shared" si="0"/>
        <v>118.02</v>
      </c>
      <c r="G63" s="233">
        <v>5</v>
      </c>
      <c r="H63" s="234">
        <f t="shared" si="3"/>
        <v>1.6666666666666666E-2</v>
      </c>
      <c r="I63" s="225">
        <f t="shared" si="4"/>
        <v>1.9669999999999999</v>
      </c>
    </row>
    <row r="64" spans="1:9" x14ac:dyDescent="0.3">
      <c r="A64" s="195">
        <v>58</v>
      </c>
      <c r="B64" s="195" t="s">
        <v>312</v>
      </c>
      <c r="C64" s="281" t="s">
        <v>370</v>
      </c>
      <c r="D64" s="195">
        <v>1</v>
      </c>
      <c r="E64" s="278">
        <v>2072.9599999999996</v>
      </c>
      <c r="F64" s="225">
        <f t="shared" si="0"/>
        <v>2072.9599999999996</v>
      </c>
      <c r="G64" s="233">
        <v>10</v>
      </c>
      <c r="H64" s="234">
        <f t="shared" si="3"/>
        <v>8.3333333333333332E-3</v>
      </c>
      <c r="I64" s="225">
        <f t="shared" si="4"/>
        <v>17.274666666666661</v>
      </c>
    </row>
    <row r="65" spans="1:9" x14ac:dyDescent="0.3">
      <c r="A65" s="195">
        <v>59</v>
      </c>
      <c r="B65" s="195" t="s">
        <v>312</v>
      </c>
      <c r="C65" s="281" t="s">
        <v>371</v>
      </c>
      <c r="D65" s="195">
        <v>3</v>
      </c>
      <c r="E65" s="278">
        <v>28.636000000000003</v>
      </c>
      <c r="F65" s="225">
        <f t="shared" si="0"/>
        <v>85.908000000000015</v>
      </c>
      <c r="G65" s="233">
        <v>5</v>
      </c>
      <c r="H65" s="234">
        <f t="shared" si="3"/>
        <v>1.6666666666666666E-2</v>
      </c>
      <c r="I65" s="225">
        <f t="shared" si="4"/>
        <v>1.4318000000000002</v>
      </c>
    </row>
    <row r="66" spans="1:9" x14ac:dyDescent="0.3">
      <c r="A66" s="195">
        <v>60</v>
      </c>
      <c r="B66" s="195" t="s">
        <v>312</v>
      </c>
      <c r="C66" s="281" t="s">
        <v>372</v>
      </c>
      <c r="D66" s="195">
        <v>6</v>
      </c>
      <c r="E66" s="278">
        <v>54.045000000000002</v>
      </c>
      <c r="F66" s="225">
        <f t="shared" si="0"/>
        <v>324.27</v>
      </c>
      <c r="G66" s="233">
        <v>5</v>
      </c>
      <c r="H66" s="234">
        <f t="shared" ref="H66:H91" si="5">1/(G66*12)</f>
        <v>1.6666666666666666E-2</v>
      </c>
      <c r="I66" s="225">
        <f t="shared" ref="I66:I91" si="6">F66*H66</f>
        <v>5.4044999999999996</v>
      </c>
    </row>
    <row r="67" spans="1:9" x14ac:dyDescent="0.3">
      <c r="A67" s="195">
        <v>61</v>
      </c>
      <c r="B67" s="195" t="s">
        <v>312</v>
      </c>
      <c r="C67" s="281" t="s">
        <v>373</v>
      </c>
      <c r="D67" s="195">
        <v>3</v>
      </c>
      <c r="E67" s="278">
        <v>32.58</v>
      </c>
      <c r="F67" s="225">
        <f t="shared" ref="F67:F91" si="7">D67*E67</f>
        <v>97.74</v>
      </c>
      <c r="G67" s="233">
        <v>5</v>
      </c>
      <c r="H67" s="234">
        <f t="shared" si="5"/>
        <v>1.6666666666666666E-2</v>
      </c>
      <c r="I67" s="225">
        <f t="shared" si="6"/>
        <v>1.6289999999999998</v>
      </c>
    </row>
    <row r="68" spans="1:9" x14ac:dyDescent="0.3">
      <c r="A68" s="195">
        <v>62</v>
      </c>
      <c r="B68" s="195" t="s">
        <v>312</v>
      </c>
      <c r="C68" s="281" t="s">
        <v>374</v>
      </c>
      <c r="D68" s="195">
        <v>3</v>
      </c>
      <c r="E68" s="278">
        <v>53.217500000000001</v>
      </c>
      <c r="F68" s="225">
        <f t="shared" si="7"/>
        <v>159.6525</v>
      </c>
      <c r="G68" s="233">
        <v>5</v>
      </c>
      <c r="H68" s="234">
        <f t="shared" si="5"/>
        <v>1.6666666666666666E-2</v>
      </c>
      <c r="I68" s="225">
        <f t="shared" si="6"/>
        <v>2.6608749999999999</v>
      </c>
    </row>
    <row r="69" spans="1:9" x14ac:dyDescent="0.3">
      <c r="A69" s="195">
        <v>63</v>
      </c>
      <c r="B69" s="195" t="s">
        <v>312</v>
      </c>
      <c r="C69" s="281" t="s">
        <v>375</v>
      </c>
      <c r="D69" s="195">
        <v>3</v>
      </c>
      <c r="E69" s="278">
        <v>49.474285714285713</v>
      </c>
      <c r="F69" s="225">
        <f t="shared" si="7"/>
        <v>148.42285714285714</v>
      </c>
      <c r="G69" s="233">
        <v>5</v>
      </c>
      <c r="H69" s="234">
        <f t="shared" si="5"/>
        <v>1.6666666666666666E-2</v>
      </c>
      <c r="I69" s="225">
        <f t="shared" si="6"/>
        <v>2.4737142857142858</v>
      </c>
    </row>
    <row r="70" spans="1:9" x14ac:dyDescent="0.3">
      <c r="A70" s="195">
        <v>64</v>
      </c>
      <c r="B70" s="195" t="s">
        <v>312</v>
      </c>
      <c r="C70" s="281" t="s">
        <v>376</v>
      </c>
      <c r="D70" s="195">
        <v>2</v>
      </c>
      <c r="E70" s="278">
        <v>32.405714285714289</v>
      </c>
      <c r="F70" s="225">
        <f t="shared" si="7"/>
        <v>64.811428571428578</v>
      </c>
      <c r="G70" s="233">
        <v>5</v>
      </c>
      <c r="H70" s="234">
        <f t="shared" si="5"/>
        <v>1.6666666666666666E-2</v>
      </c>
      <c r="I70" s="225">
        <f t="shared" si="6"/>
        <v>1.0801904761904764</v>
      </c>
    </row>
    <row r="71" spans="1:9" x14ac:dyDescent="0.3">
      <c r="A71" s="195">
        <v>65</v>
      </c>
      <c r="B71" s="195" t="s">
        <v>312</v>
      </c>
      <c r="C71" s="281" t="s">
        <v>377</v>
      </c>
      <c r="D71" s="195">
        <v>2</v>
      </c>
      <c r="E71" s="278">
        <v>78.95</v>
      </c>
      <c r="F71" s="225">
        <f t="shared" si="7"/>
        <v>157.9</v>
      </c>
      <c r="G71" s="233">
        <v>5</v>
      </c>
      <c r="H71" s="234">
        <f t="shared" si="5"/>
        <v>1.6666666666666666E-2</v>
      </c>
      <c r="I71" s="225">
        <f t="shared" si="6"/>
        <v>2.6316666666666668</v>
      </c>
    </row>
    <row r="72" spans="1:9" x14ac:dyDescent="0.3">
      <c r="A72" s="195">
        <v>66</v>
      </c>
      <c r="B72" s="195" t="s">
        <v>312</v>
      </c>
      <c r="C72" s="281" t="s">
        <v>378</v>
      </c>
      <c r="D72" s="195">
        <v>2</v>
      </c>
      <c r="E72" s="278">
        <v>18.042000000000002</v>
      </c>
      <c r="F72" s="225">
        <f t="shared" si="7"/>
        <v>36.084000000000003</v>
      </c>
      <c r="G72" s="233">
        <v>5</v>
      </c>
      <c r="H72" s="234">
        <f t="shared" si="5"/>
        <v>1.6666666666666666E-2</v>
      </c>
      <c r="I72" s="225">
        <f t="shared" si="6"/>
        <v>0.60140000000000005</v>
      </c>
    </row>
    <row r="73" spans="1:9" x14ac:dyDescent="0.3">
      <c r="A73" s="195">
        <v>67</v>
      </c>
      <c r="B73" s="195" t="s">
        <v>312</v>
      </c>
      <c r="C73" s="281" t="s">
        <v>379</v>
      </c>
      <c r="D73" s="195">
        <v>4</v>
      </c>
      <c r="E73" s="278">
        <v>31.018750000000001</v>
      </c>
      <c r="F73" s="225">
        <f t="shared" si="7"/>
        <v>124.075</v>
      </c>
      <c r="G73" s="233">
        <v>5</v>
      </c>
      <c r="H73" s="234">
        <f t="shared" si="5"/>
        <v>1.6666666666666666E-2</v>
      </c>
      <c r="I73" s="225">
        <f t="shared" si="6"/>
        <v>2.0679166666666666</v>
      </c>
    </row>
    <row r="74" spans="1:9" x14ac:dyDescent="0.3">
      <c r="A74" s="195">
        <v>68</v>
      </c>
      <c r="B74" s="195" t="s">
        <v>312</v>
      </c>
      <c r="C74" s="281" t="s">
        <v>380</v>
      </c>
      <c r="D74" s="195">
        <v>2</v>
      </c>
      <c r="E74" s="278">
        <v>130.42000000000002</v>
      </c>
      <c r="F74" s="225">
        <f t="shared" si="7"/>
        <v>260.84000000000003</v>
      </c>
      <c r="G74" s="233">
        <v>5</v>
      </c>
      <c r="H74" s="234">
        <f t="shared" si="5"/>
        <v>1.6666666666666666E-2</v>
      </c>
      <c r="I74" s="225">
        <f t="shared" si="6"/>
        <v>4.3473333333333342</v>
      </c>
    </row>
    <row r="75" spans="1:9" x14ac:dyDescent="0.3">
      <c r="A75" s="195">
        <v>69</v>
      </c>
      <c r="B75" s="195">
        <v>38376</v>
      </c>
      <c r="C75" s="281" t="s">
        <v>381</v>
      </c>
      <c r="D75" s="195">
        <v>1</v>
      </c>
      <c r="E75" s="278">
        <v>36.58</v>
      </c>
      <c r="F75" s="225">
        <f t="shared" si="7"/>
        <v>36.58</v>
      </c>
      <c r="G75" s="233">
        <v>5</v>
      </c>
      <c r="H75" s="234">
        <f t="shared" si="5"/>
        <v>1.6666666666666666E-2</v>
      </c>
      <c r="I75" s="225">
        <f t="shared" si="6"/>
        <v>0.60966666666666658</v>
      </c>
    </row>
    <row r="76" spans="1:9" x14ac:dyDescent="0.3">
      <c r="A76" s="195">
        <v>70</v>
      </c>
      <c r="B76" s="195">
        <v>38379</v>
      </c>
      <c r="C76" s="281" t="s">
        <v>382</v>
      </c>
      <c r="D76" s="195">
        <v>2</v>
      </c>
      <c r="E76" s="278">
        <v>41.25</v>
      </c>
      <c r="F76" s="225">
        <f t="shared" si="7"/>
        <v>82.5</v>
      </c>
      <c r="G76" s="233">
        <v>5</v>
      </c>
      <c r="H76" s="234">
        <f t="shared" si="5"/>
        <v>1.6666666666666666E-2</v>
      </c>
      <c r="I76" s="225">
        <f t="shared" si="6"/>
        <v>1.375</v>
      </c>
    </row>
    <row r="77" spans="1:9" x14ac:dyDescent="0.3">
      <c r="A77" s="195">
        <v>71</v>
      </c>
      <c r="B77" s="195" t="s">
        <v>383</v>
      </c>
      <c r="C77" s="281" t="s">
        <v>384</v>
      </c>
      <c r="D77" s="195">
        <v>1</v>
      </c>
      <c r="E77" s="278">
        <v>42.402499999999996</v>
      </c>
      <c r="F77" s="225">
        <f t="shared" si="7"/>
        <v>42.402499999999996</v>
      </c>
      <c r="G77" s="233">
        <v>5</v>
      </c>
      <c r="H77" s="234">
        <f t="shared" si="5"/>
        <v>1.6666666666666666E-2</v>
      </c>
      <c r="I77" s="225">
        <f t="shared" si="6"/>
        <v>0.70670833333333327</v>
      </c>
    </row>
    <row r="78" spans="1:9" x14ac:dyDescent="0.3">
      <c r="A78" s="195">
        <v>72</v>
      </c>
      <c r="B78" s="195" t="s">
        <v>312</v>
      </c>
      <c r="C78" s="281" t="s">
        <v>385</v>
      </c>
      <c r="D78" s="195">
        <v>3</v>
      </c>
      <c r="E78" s="278">
        <v>9.0412499999999998</v>
      </c>
      <c r="F78" s="225">
        <f t="shared" si="7"/>
        <v>27.123750000000001</v>
      </c>
      <c r="G78" s="233">
        <v>5</v>
      </c>
      <c r="H78" s="234">
        <f t="shared" si="5"/>
        <v>1.6666666666666666E-2</v>
      </c>
      <c r="I78" s="225">
        <f t="shared" si="6"/>
        <v>0.45206250000000003</v>
      </c>
    </row>
    <row r="79" spans="1:9" x14ac:dyDescent="0.3">
      <c r="A79" s="195">
        <v>73</v>
      </c>
      <c r="B79" s="195" t="s">
        <v>312</v>
      </c>
      <c r="C79" s="281" t="s">
        <v>386</v>
      </c>
      <c r="D79" s="195">
        <v>3</v>
      </c>
      <c r="E79" s="278">
        <v>12.055</v>
      </c>
      <c r="F79" s="225">
        <f t="shared" si="7"/>
        <v>36.164999999999999</v>
      </c>
      <c r="G79" s="233">
        <v>5</v>
      </c>
      <c r="H79" s="234">
        <f t="shared" si="5"/>
        <v>1.6666666666666666E-2</v>
      </c>
      <c r="I79" s="225">
        <f t="shared" si="6"/>
        <v>0.60275000000000001</v>
      </c>
    </row>
    <row r="80" spans="1:9" x14ac:dyDescent="0.3">
      <c r="A80" s="195">
        <v>74</v>
      </c>
      <c r="B80" s="195" t="s">
        <v>312</v>
      </c>
      <c r="C80" s="281" t="s">
        <v>387</v>
      </c>
      <c r="D80" s="195">
        <v>1</v>
      </c>
      <c r="E80" s="278">
        <v>467.53875000000005</v>
      </c>
      <c r="F80" s="225">
        <f t="shared" si="7"/>
        <v>467.53875000000005</v>
      </c>
      <c r="G80" s="233">
        <v>10</v>
      </c>
      <c r="H80" s="234">
        <f t="shared" si="5"/>
        <v>8.3333333333333332E-3</v>
      </c>
      <c r="I80" s="225">
        <f t="shared" si="6"/>
        <v>3.8961562500000002</v>
      </c>
    </row>
    <row r="81" spans="1:9" x14ac:dyDescent="0.3">
      <c r="A81" s="195">
        <v>75</v>
      </c>
      <c r="B81" s="195" t="s">
        <v>312</v>
      </c>
      <c r="C81" s="281" t="s">
        <v>388</v>
      </c>
      <c r="D81" s="195">
        <v>1</v>
      </c>
      <c r="E81" s="278">
        <v>64.820000000000007</v>
      </c>
      <c r="F81" s="225">
        <f t="shared" si="7"/>
        <v>64.820000000000007</v>
      </c>
      <c r="G81" s="233">
        <v>5</v>
      </c>
      <c r="H81" s="234">
        <f t="shared" si="5"/>
        <v>1.6666666666666666E-2</v>
      </c>
      <c r="I81" s="225">
        <f t="shared" si="6"/>
        <v>1.0803333333333334</v>
      </c>
    </row>
    <row r="82" spans="1:9" x14ac:dyDescent="0.3">
      <c r="A82" s="195">
        <v>76</v>
      </c>
      <c r="B82" s="195">
        <v>38465</v>
      </c>
      <c r="C82" s="281" t="s">
        <v>389</v>
      </c>
      <c r="D82" s="195">
        <v>6</v>
      </c>
      <c r="E82" s="278">
        <v>41.754999999999995</v>
      </c>
      <c r="F82" s="225">
        <f t="shared" si="7"/>
        <v>250.52999999999997</v>
      </c>
      <c r="G82" s="233">
        <v>5</v>
      </c>
      <c r="H82" s="234">
        <f t="shared" si="5"/>
        <v>1.6666666666666666E-2</v>
      </c>
      <c r="I82" s="225">
        <f t="shared" si="6"/>
        <v>4.1754999999999995</v>
      </c>
    </row>
    <row r="83" spans="1:9" x14ac:dyDescent="0.3">
      <c r="A83" s="195">
        <v>77</v>
      </c>
      <c r="B83" s="195" t="s">
        <v>312</v>
      </c>
      <c r="C83" s="281" t="s">
        <v>390</v>
      </c>
      <c r="D83" s="195">
        <v>1</v>
      </c>
      <c r="E83" s="278">
        <v>198.59500000000003</v>
      </c>
      <c r="F83" s="225">
        <f t="shared" si="7"/>
        <v>198.59500000000003</v>
      </c>
      <c r="G83" s="233">
        <v>10</v>
      </c>
      <c r="H83" s="234">
        <f t="shared" si="5"/>
        <v>8.3333333333333332E-3</v>
      </c>
      <c r="I83" s="225">
        <f t="shared" si="6"/>
        <v>1.6549583333333335</v>
      </c>
    </row>
    <row r="84" spans="1:9" x14ac:dyDescent="0.3">
      <c r="A84" s="195">
        <v>78</v>
      </c>
      <c r="B84" s="195" t="s">
        <v>312</v>
      </c>
      <c r="C84" s="281" t="s">
        <v>391</v>
      </c>
      <c r="D84" s="195">
        <v>1</v>
      </c>
      <c r="E84" s="278">
        <v>141.67999999999998</v>
      </c>
      <c r="F84" s="225">
        <f t="shared" si="7"/>
        <v>141.67999999999998</v>
      </c>
      <c r="G84" s="233">
        <v>10</v>
      </c>
      <c r="H84" s="234">
        <f t="shared" si="5"/>
        <v>8.3333333333333332E-3</v>
      </c>
      <c r="I84" s="225">
        <f t="shared" si="6"/>
        <v>1.1806666666666665</v>
      </c>
    </row>
    <row r="85" spans="1:9" x14ac:dyDescent="0.3">
      <c r="A85" s="195">
        <v>79</v>
      </c>
      <c r="B85" s="195" t="s">
        <v>312</v>
      </c>
      <c r="C85" s="281" t="s">
        <v>392</v>
      </c>
      <c r="D85" s="195">
        <v>1</v>
      </c>
      <c r="E85" s="278">
        <v>46.092222222222219</v>
      </c>
      <c r="F85" s="225">
        <f t="shared" si="7"/>
        <v>46.092222222222219</v>
      </c>
      <c r="G85" s="233">
        <v>5</v>
      </c>
      <c r="H85" s="234">
        <f t="shared" si="5"/>
        <v>1.6666666666666666E-2</v>
      </c>
      <c r="I85" s="225">
        <f t="shared" si="6"/>
        <v>0.76820370370370361</v>
      </c>
    </row>
    <row r="86" spans="1:9" x14ac:dyDescent="0.3">
      <c r="A86" s="195">
        <v>80</v>
      </c>
      <c r="B86" s="195" t="s">
        <v>312</v>
      </c>
      <c r="C86" s="281" t="s">
        <v>393</v>
      </c>
      <c r="D86" s="195">
        <v>1</v>
      </c>
      <c r="E86" s="278">
        <v>84.806666666666658</v>
      </c>
      <c r="F86" s="225">
        <f t="shared" si="7"/>
        <v>84.806666666666658</v>
      </c>
      <c r="G86" s="233">
        <v>5</v>
      </c>
      <c r="H86" s="234">
        <f t="shared" si="5"/>
        <v>1.6666666666666666E-2</v>
      </c>
      <c r="I86" s="225">
        <f t="shared" si="6"/>
        <v>1.4134444444444443</v>
      </c>
    </row>
    <row r="87" spans="1:9" x14ac:dyDescent="0.3">
      <c r="A87" s="195">
        <v>81</v>
      </c>
      <c r="B87" s="195" t="s">
        <v>312</v>
      </c>
      <c r="C87" s="281" t="s">
        <v>394</v>
      </c>
      <c r="D87" s="195">
        <v>3</v>
      </c>
      <c r="E87" s="278">
        <v>87.674999999999997</v>
      </c>
      <c r="F87" s="225">
        <f t="shared" si="7"/>
        <v>263.02499999999998</v>
      </c>
      <c r="G87" s="233">
        <v>5</v>
      </c>
      <c r="H87" s="234">
        <f t="shared" si="5"/>
        <v>1.6666666666666666E-2</v>
      </c>
      <c r="I87" s="225">
        <f t="shared" si="6"/>
        <v>4.3837499999999991</v>
      </c>
    </row>
    <row r="88" spans="1:9" x14ac:dyDescent="0.3">
      <c r="A88" s="195">
        <v>82</v>
      </c>
      <c r="B88" s="195">
        <v>10667</v>
      </c>
      <c r="C88" s="281" t="s">
        <v>395</v>
      </c>
      <c r="D88" s="195">
        <v>1</v>
      </c>
      <c r="E88" s="279">
        <v>13361.005000000001</v>
      </c>
      <c r="F88" s="225">
        <f t="shared" si="7"/>
        <v>13361.005000000001</v>
      </c>
      <c r="G88" s="233">
        <v>15</v>
      </c>
      <c r="H88" s="234">
        <f t="shared" si="5"/>
        <v>5.5555555555555558E-3</v>
      </c>
      <c r="I88" s="225">
        <f t="shared" si="6"/>
        <v>74.227805555555562</v>
      </c>
    </row>
    <row r="89" spans="1:9" x14ac:dyDescent="0.3">
      <c r="A89" s="195">
        <v>83</v>
      </c>
      <c r="B89" s="195">
        <v>10535</v>
      </c>
      <c r="C89" s="281" t="s">
        <v>396</v>
      </c>
      <c r="D89" s="195">
        <v>1</v>
      </c>
      <c r="E89" s="278">
        <v>4999.7049999999999</v>
      </c>
      <c r="F89" s="225">
        <f t="shared" si="7"/>
        <v>4999.7049999999999</v>
      </c>
      <c r="G89" s="233">
        <v>10</v>
      </c>
      <c r="H89" s="234">
        <f t="shared" si="5"/>
        <v>8.3333333333333332E-3</v>
      </c>
      <c r="I89" s="225">
        <f t="shared" si="6"/>
        <v>41.664208333333335</v>
      </c>
    </row>
    <row r="90" spans="1:9" x14ac:dyDescent="0.3">
      <c r="A90" s="195">
        <v>84</v>
      </c>
      <c r="B90" s="195"/>
      <c r="C90" s="281" t="s">
        <v>397</v>
      </c>
      <c r="D90" s="195">
        <v>1</v>
      </c>
      <c r="E90" s="278">
        <v>236.68666666666664</v>
      </c>
      <c r="F90" s="225">
        <f t="shared" si="7"/>
        <v>236.68666666666664</v>
      </c>
      <c r="G90" s="233">
        <v>5</v>
      </c>
      <c r="H90" s="234">
        <f t="shared" si="5"/>
        <v>1.6666666666666666E-2</v>
      </c>
      <c r="I90" s="225">
        <f t="shared" si="6"/>
        <v>3.9447777777777771</v>
      </c>
    </row>
    <row r="91" spans="1:9" ht="13.8" customHeight="1" x14ac:dyDescent="0.3">
      <c r="A91" s="195">
        <v>85</v>
      </c>
      <c r="B91" s="195"/>
      <c r="C91" s="281" t="s">
        <v>398</v>
      </c>
      <c r="D91" s="195">
        <v>1</v>
      </c>
      <c r="E91" s="278">
        <v>51.2</v>
      </c>
      <c r="F91" s="225">
        <f t="shared" si="7"/>
        <v>51.2</v>
      </c>
      <c r="G91" s="233">
        <v>5</v>
      </c>
      <c r="H91" s="234">
        <f t="shared" si="5"/>
        <v>1.6666666666666666E-2</v>
      </c>
      <c r="I91" s="225">
        <f t="shared" si="6"/>
        <v>0.85333333333333339</v>
      </c>
    </row>
    <row r="92" spans="1:9" ht="18" x14ac:dyDescent="0.35">
      <c r="A92" s="408" t="s">
        <v>399</v>
      </c>
      <c r="B92" s="408"/>
      <c r="C92" s="408"/>
      <c r="D92" s="408"/>
      <c r="E92" s="408"/>
      <c r="F92" s="226">
        <f>SUM(F7:F91)</f>
        <v>37627.112534992782</v>
      </c>
      <c r="G92" s="235"/>
      <c r="H92" s="235"/>
      <c r="I92" s="235"/>
    </row>
    <row r="93" spans="1:9" x14ac:dyDescent="0.3">
      <c r="G93" s="235"/>
      <c r="H93" s="235"/>
      <c r="I93" s="235"/>
    </row>
    <row r="94" spans="1:9" ht="57.6" x14ac:dyDescent="0.3">
      <c r="A94" s="228" t="s">
        <v>3</v>
      </c>
      <c r="B94" s="228" t="s">
        <v>427</v>
      </c>
      <c r="C94" s="283" t="s">
        <v>428</v>
      </c>
      <c r="D94" s="228" t="s">
        <v>429</v>
      </c>
      <c r="E94" s="224" t="s">
        <v>401</v>
      </c>
      <c r="F94" s="224" t="s">
        <v>399</v>
      </c>
      <c r="G94" s="232" t="s">
        <v>435</v>
      </c>
      <c r="H94" s="232" t="s">
        <v>436</v>
      </c>
      <c r="I94" s="232" t="s">
        <v>438</v>
      </c>
    </row>
    <row r="95" spans="1:9" x14ac:dyDescent="0.3">
      <c r="A95" s="229">
        <v>1</v>
      </c>
      <c r="B95" s="229" t="s">
        <v>312</v>
      </c>
      <c r="C95" s="284" t="s">
        <v>430</v>
      </c>
      <c r="D95" s="229">
        <v>1</v>
      </c>
      <c r="E95" s="278">
        <v>895.29500000000007</v>
      </c>
      <c r="F95" s="225">
        <f t="shared" ref="F95:F96" si="8">D95*E95</f>
        <v>895.29500000000007</v>
      </c>
      <c r="G95" s="233">
        <v>10</v>
      </c>
      <c r="H95" s="234">
        <f>1/(G95*12)</f>
        <v>8.3333333333333332E-3</v>
      </c>
      <c r="I95" s="225">
        <f>F95*H95</f>
        <v>7.4607916666666672</v>
      </c>
    </row>
    <row r="96" spans="1:9" x14ac:dyDescent="0.3">
      <c r="A96" s="229">
        <v>2</v>
      </c>
      <c r="B96" s="229" t="s">
        <v>312</v>
      </c>
      <c r="C96" s="284" t="s">
        <v>431</v>
      </c>
      <c r="D96" s="229">
        <v>1</v>
      </c>
      <c r="E96" s="278">
        <v>451.01</v>
      </c>
      <c r="F96" s="225">
        <f t="shared" si="8"/>
        <v>451.01</v>
      </c>
      <c r="G96" s="233">
        <v>10</v>
      </c>
      <c r="H96" s="234">
        <f>1/(G96*12)</f>
        <v>8.3333333333333332E-3</v>
      </c>
      <c r="I96" s="225">
        <f>F96*H96</f>
        <v>3.7584166666666667</v>
      </c>
    </row>
    <row r="97" spans="1:6" ht="18" x14ac:dyDescent="0.35">
      <c r="A97" s="408" t="s">
        <v>399</v>
      </c>
      <c r="B97" s="408"/>
      <c r="C97" s="408"/>
      <c r="D97" s="408"/>
      <c r="E97" s="408"/>
      <c r="F97" s="226">
        <f>SUM(F95:F96)</f>
        <v>1346.3050000000001</v>
      </c>
    </row>
    <row r="100" spans="1:6" ht="18" x14ac:dyDescent="0.3">
      <c r="C100" s="198" t="s">
        <v>402</v>
      </c>
      <c r="D100" s="260">
        <f>SUM(I:I)</f>
        <v>413.08140683321312</v>
      </c>
    </row>
    <row r="101" spans="1:6" x14ac:dyDescent="0.3">
      <c r="D101" s="247"/>
    </row>
    <row r="102" spans="1:6" ht="15.6" x14ac:dyDescent="0.3">
      <c r="A102" s="261" t="s">
        <v>557</v>
      </c>
    </row>
    <row r="103" spans="1:6" ht="15.6" x14ac:dyDescent="0.3">
      <c r="A103" s="261" t="s">
        <v>578</v>
      </c>
    </row>
    <row r="105" spans="1:6" x14ac:dyDescent="0.3">
      <c r="D105" s="285"/>
    </row>
  </sheetData>
  <mergeCells count="5">
    <mergeCell ref="A92:E92"/>
    <mergeCell ref="A3:F3"/>
    <mergeCell ref="A97:E97"/>
    <mergeCell ref="A1:F1"/>
    <mergeCell ref="A2:F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F32E1-6AFC-4D3B-8476-A2488EB444B0}">
  <dimension ref="B1:L129"/>
  <sheetViews>
    <sheetView showGridLines="0" zoomScaleNormal="100" workbookViewId="0">
      <pane xSplit="6" ySplit="3" topLeftCell="G95" activePane="bottomRight" state="frozen"/>
      <selection pane="topRight" activeCell="G1" sqref="G1"/>
      <selection pane="bottomLeft" activeCell="A4" sqref="A4"/>
      <selection pane="bottomRight" activeCell="H108" sqref="H108"/>
    </sheetView>
  </sheetViews>
  <sheetFormatPr defaultRowHeight="14.4" x14ac:dyDescent="0.3"/>
  <cols>
    <col min="1" max="1" width="1.44140625" customWidth="1"/>
    <col min="2" max="2" width="15.33203125" style="235" customWidth="1"/>
    <col min="3" max="3" width="78.109375" style="235" customWidth="1"/>
    <col min="4" max="4" width="11.109375" style="235" customWidth="1"/>
    <col min="5" max="5" width="13.33203125" style="236" customWidth="1"/>
    <col min="6" max="6" width="18.6640625" style="236" customWidth="1"/>
    <col min="9" max="9" width="8.88671875" style="235"/>
    <col min="10" max="10" width="7.5546875" style="235" customWidth="1"/>
    <col min="11" max="11" width="15" style="235" customWidth="1"/>
    <col min="12" max="12" width="15.109375" style="235" customWidth="1"/>
  </cols>
  <sheetData>
    <row r="1" spans="2:8" ht="4.5" customHeight="1" x14ac:dyDescent="0.3"/>
    <row r="2" spans="2:8" x14ac:dyDescent="0.3">
      <c r="B2" s="412" t="s">
        <v>440</v>
      </c>
      <c r="C2" s="412"/>
      <c r="D2" s="412"/>
      <c r="E2" s="412"/>
      <c r="F2" s="412"/>
    </row>
    <row r="3" spans="2:8" x14ac:dyDescent="0.3">
      <c r="B3" s="237" t="s">
        <v>427</v>
      </c>
      <c r="C3" s="237" t="s">
        <v>0</v>
      </c>
      <c r="D3" s="237" t="s">
        <v>441</v>
      </c>
      <c r="E3" s="238" t="s">
        <v>442</v>
      </c>
      <c r="F3" s="238" t="s">
        <v>1</v>
      </c>
    </row>
    <row r="4" spans="2:8" x14ac:dyDescent="0.3">
      <c r="B4" s="233" t="s">
        <v>443</v>
      </c>
      <c r="C4" s="233" t="s">
        <v>444</v>
      </c>
      <c r="D4" s="233">
        <v>15</v>
      </c>
      <c r="E4" s="239">
        <v>95</v>
      </c>
      <c r="F4" s="239">
        <f>D4*E4</f>
        <v>1425</v>
      </c>
    </row>
    <row r="5" spans="2:8" x14ac:dyDescent="0.3">
      <c r="B5" s="233" t="s">
        <v>443</v>
      </c>
      <c r="C5" s="233" t="s">
        <v>445</v>
      </c>
      <c r="D5" s="233">
        <v>1</v>
      </c>
      <c r="E5" s="239">
        <v>2425</v>
      </c>
      <c r="F5" s="239">
        <f t="shared" ref="F5:F68" si="0">D5*E5</f>
        <v>2425</v>
      </c>
      <c r="H5">
        <f>COUNTIF(B4:B107,"cotação")</f>
        <v>70</v>
      </c>
    </row>
    <row r="6" spans="2:8" x14ac:dyDescent="0.3">
      <c r="B6" s="233" t="s">
        <v>443</v>
      </c>
      <c r="C6" s="233" t="s">
        <v>446</v>
      </c>
      <c r="D6" s="233">
        <v>11</v>
      </c>
      <c r="E6" s="239">
        <v>165</v>
      </c>
      <c r="F6" s="239">
        <f t="shared" si="0"/>
        <v>1815</v>
      </c>
      <c r="H6">
        <v>34</v>
      </c>
    </row>
    <row r="7" spans="2:8" x14ac:dyDescent="0.3">
      <c r="B7" s="233" t="s">
        <v>443</v>
      </c>
      <c r="C7" s="233" t="s">
        <v>447</v>
      </c>
      <c r="D7" s="233">
        <v>8</v>
      </c>
      <c r="E7" s="239">
        <v>211.01</v>
      </c>
      <c r="F7" s="239">
        <f t="shared" si="0"/>
        <v>1688.08</v>
      </c>
    </row>
    <row r="8" spans="2:8" x14ac:dyDescent="0.3">
      <c r="B8" s="233" t="s">
        <v>443</v>
      </c>
      <c r="C8" s="233" t="s">
        <v>448</v>
      </c>
      <c r="D8" s="233">
        <v>6</v>
      </c>
      <c r="E8" s="239">
        <v>185.49</v>
      </c>
      <c r="F8" s="239">
        <f t="shared" si="0"/>
        <v>1112.94</v>
      </c>
    </row>
    <row r="9" spans="2:8" x14ac:dyDescent="0.3">
      <c r="B9" s="233" t="s">
        <v>443</v>
      </c>
      <c r="C9" s="233" t="s">
        <v>449</v>
      </c>
      <c r="D9" s="233">
        <v>10</v>
      </c>
      <c r="E9" s="239">
        <v>21</v>
      </c>
      <c r="F9" s="239">
        <f t="shared" si="0"/>
        <v>210</v>
      </c>
    </row>
    <row r="10" spans="2:8" x14ac:dyDescent="0.3">
      <c r="B10" s="233" t="s">
        <v>443</v>
      </c>
      <c r="C10" s="235" t="s">
        <v>450</v>
      </c>
      <c r="D10" s="233">
        <v>16</v>
      </c>
      <c r="E10" s="239">
        <v>31</v>
      </c>
      <c r="F10" s="239">
        <f t="shared" si="0"/>
        <v>496</v>
      </c>
    </row>
    <row r="11" spans="2:8" x14ac:dyDescent="0.3">
      <c r="B11" s="233" t="s">
        <v>443</v>
      </c>
      <c r="C11" s="233" t="s">
        <v>451</v>
      </c>
      <c r="D11" s="233">
        <v>3</v>
      </c>
      <c r="E11" s="239">
        <v>2500</v>
      </c>
      <c r="F11" s="239">
        <f t="shared" si="0"/>
        <v>7500</v>
      </c>
    </row>
    <row r="12" spans="2:8" x14ac:dyDescent="0.3">
      <c r="B12" s="233" t="s">
        <v>443</v>
      </c>
      <c r="C12" s="233" t="s">
        <v>452</v>
      </c>
      <c r="D12" s="233">
        <v>5</v>
      </c>
      <c r="E12" s="239">
        <v>872</v>
      </c>
      <c r="F12" s="239">
        <f t="shared" si="0"/>
        <v>4360</v>
      </c>
    </row>
    <row r="13" spans="2:8" x14ac:dyDescent="0.3">
      <c r="B13" s="199" t="s">
        <v>443</v>
      </c>
      <c r="C13" s="233" t="s">
        <v>453</v>
      </c>
      <c r="D13" s="233">
        <v>2</v>
      </c>
      <c r="E13" s="239">
        <v>91.67</v>
      </c>
      <c r="F13" s="239">
        <f t="shared" si="0"/>
        <v>183.34</v>
      </c>
    </row>
    <row r="14" spans="2:8" x14ac:dyDescent="0.3">
      <c r="B14" s="233" t="s">
        <v>443</v>
      </c>
      <c r="C14" s="235" t="s">
        <v>454</v>
      </c>
      <c r="D14" s="233">
        <v>2</v>
      </c>
      <c r="E14" s="239">
        <v>1259.8</v>
      </c>
      <c r="F14" s="239">
        <f t="shared" si="0"/>
        <v>2519.6</v>
      </c>
    </row>
    <row r="15" spans="2:8" x14ac:dyDescent="0.3">
      <c r="B15" s="233" t="s">
        <v>443</v>
      </c>
      <c r="C15" s="233" t="s">
        <v>455</v>
      </c>
      <c r="D15" s="233">
        <v>2</v>
      </c>
      <c r="E15" s="239">
        <v>795.16</v>
      </c>
      <c r="F15" s="239">
        <f t="shared" si="0"/>
        <v>1590.32</v>
      </c>
    </row>
    <row r="16" spans="2:8" x14ac:dyDescent="0.3">
      <c r="B16" s="233" t="s">
        <v>443</v>
      </c>
      <c r="C16" s="233" t="s">
        <v>456</v>
      </c>
      <c r="D16" s="233">
        <v>10</v>
      </c>
      <c r="E16" s="239">
        <v>12</v>
      </c>
      <c r="F16" s="239">
        <f t="shared" si="0"/>
        <v>120</v>
      </c>
    </row>
    <row r="17" spans="2:6" x14ac:dyDescent="0.3">
      <c r="B17" s="233" t="s">
        <v>443</v>
      </c>
      <c r="C17" s="233" t="s">
        <v>457</v>
      </c>
      <c r="D17" s="233">
        <v>10</v>
      </c>
      <c r="E17" s="239">
        <v>7</v>
      </c>
      <c r="F17" s="239">
        <f t="shared" si="0"/>
        <v>70</v>
      </c>
    </row>
    <row r="18" spans="2:6" x14ac:dyDescent="0.3">
      <c r="B18" s="233" t="s">
        <v>443</v>
      </c>
      <c r="C18" s="233" t="s">
        <v>458</v>
      </c>
      <c r="D18" s="233">
        <v>136</v>
      </c>
      <c r="E18" s="239">
        <v>19.05</v>
      </c>
      <c r="F18" s="239">
        <f t="shared" si="0"/>
        <v>2590.8000000000002</v>
      </c>
    </row>
    <row r="19" spans="2:6" x14ac:dyDescent="0.3">
      <c r="B19" s="233" t="s">
        <v>443</v>
      </c>
      <c r="C19" s="233" t="s">
        <v>459</v>
      </c>
      <c r="D19" s="233">
        <v>88</v>
      </c>
      <c r="E19" s="239">
        <v>17.260000000000002</v>
      </c>
      <c r="F19" s="239">
        <f t="shared" si="0"/>
        <v>1518.88</v>
      </c>
    </row>
    <row r="20" spans="2:6" x14ac:dyDescent="0.3">
      <c r="B20" s="233" t="s">
        <v>443</v>
      </c>
      <c r="C20" s="233" t="s">
        <v>460</v>
      </c>
      <c r="D20" s="233">
        <v>115</v>
      </c>
      <c r="E20" s="239">
        <v>156.5</v>
      </c>
      <c r="F20" s="239">
        <f t="shared" si="0"/>
        <v>17997.5</v>
      </c>
    </row>
    <row r="21" spans="2:6" x14ac:dyDescent="0.3">
      <c r="B21" s="233">
        <v>38165</v>
      </c>
      <c r="C21" s="233" t="s">
        <v>461</v>
      </c>
      <c r="D21" s="233">
        <v>1</v>
      </c>
      <c r="E21" s="239">
        <v>55.17</v>
      </c>
      <c r="F21" s="239">
        <f t="shared" si="0"/>
        <v>55.17</v>
      </c>
    </row>
    <row r="22" spans="2:6" x14ac:dyDescent="0.3">
      <c r="B22" s="233">
        <v>11581</v>
      </c>
      <c r="C22" s="233" t="s">
        <v>462</v>
      </c>
      <c r="D22" s="233">
        <v>16.399999999999999</v>
      </c>
      <c r="E22" s="239">
        <v>16.43</v>
      </c>
      <c r="F22" s="239">
        <f t="shared" si="0"/>
        <v>269.452</v>
      </c>
    </row>
    <row r="23" spans="2:6" x14ac:dyDescent="0.3">
      <c r="B23" s="233">
        <v>36888</v>
      </c>
      <c r="C23" s="233" t="s">
        <v>463</v>
      </c>
      <c r="D23" s="233">
        <v>30.6</v>
      </c>
      <c r="E23" s="239">
        <v>7.18</v>
      </c>
      <c r="F23" s="239">
        <f t="shared" si="0"/>
        <v>219.708</v>
      </c>
    </row>
    <row r="24" spans="2:6" x14ac:dyDescent="0.3">
      <c r="B24" s="233">
        <v>38179</v>
      </c>
      <c r="C24" s="233" t="s">
        <v>464</v>
      </c>
      <c r="D24" s="233">
        <v>4</v>
      </c>
      <c r="E24" s="239">
        <v>37.049999999999997</v>
      </c>
      <c r="F24" s="239">
        <f t="shared" si="0"/>
        <v>148.19999999999999</v>
      </c>
    </row>
    <row r="25" spans="2:6" x14ac:dyDescent="0.3">
      <c r="B25" s="233">
        <v>88325</v>
      </c>
      <c r="C25" s="233" t="s">
        <v>465</v>
      </c>
      <c r="D25" s="233">
        <v>40</v>
      </c>
      <c r="E25" s="239">
        <v>16.48</v>
      </c>
      <c r="F25" s="239">
        <f t="shared" si="0"/>
        <v>659.2</v>
      </c>
    </row>
    <row r="26" spans="2:6" x14ac:dyDescent="0.3">
      <c r="B26" s="233">
        <v>88243</v>
      </c>
      <c r="C26" s="233" t="s">
        <v>466</v>
      </c>
      <c r="D26" s="233">
        <v>32</v>
      </c>
      <c r="E26" s="239">
        <v>18.440000000000001</v>
      </c>
      <c r="F26" s="239">
        <f t="shared" si="0"/>
        <v>590.08000000000004</v>
      </c>
    </row>
    <row r="27" spans="2:6" x14ac:dyDescent="0.3">
      <c r="B27" s="233" t="s">
        <v>443</v>
      </c>
      <c r="C27" s="233" t="s">
        <v>467</v>
      </c>
      <c r="D27" s="233">
        <v>1</v>
      </c>
      <c r="E27" s="239">
        <v>8586.85</v>
      </c>
      <c r="F27" s="239">
        <f t="shared" si="0"/>
        <v>8586.85</v>
      </c>
    </row>
    <row r="28" spans="2:6" x14ac:dyDescent="0.3">
      <c r="B28" s="233" t="s">
        <v>443</v>
      </c>
      <c r="C28" s="233" t="s">
        <v>468</v>
      </c>
      <c r="D28" s="233">
        <v>1</v>
      </c>
      <c r="E28" s="239">
        <v>9623.9699999999993</v>
      </c>
      <c r="F28" s="239">
        <f t="shared" si="0"/>
        <v>9623.9699999999993</v>
      </c>
    </row>
    <row r="29" spans="2:6" x14ac:dyDescent="0.3">
      <c r="B29" s="233" t="s">
        <v>443</v>
      </c>
      <c r="C29" s="233" t="s">
        <v>469</v>
      </c>
      <c r="D29" s="233">
        <v>1</v>
      </c>
      <c r="E29" s="239">
        <v>7289.71</v>
      </c>
      <c r="F29" s="239">
        <f t="shared" si="0"/>
        <v>7289.71</v>
      </c>
    </row>
    <row r="30" spans="2:6" x14ac:dyDescent="0.3">
      <c r="B30" s="233" t="s">
        <v>443</v>
      </c>
      <c r="C30" s="233" t="s">
        <v>470</v>
      </c>
      <c r="D30" s="233">
        <f>1.86+12.37+8.55+2.88</f>
        <v>25.66</v>
      </c>
      <c r="E30" s="239">
        <v>91.37</v>
      </c>
      <c r="F30" s="239">
        <f t="shared" si="0"/>
        <v>2344.5542</v>
      </c>
    </row>
    <row r="31" spans="2:6" x14ac:dyDescent="0.3">
      <c r="B31" s="233" t="s">
        <v>443</v>
      </c>
      <c r="C31" s="233" t="s">
        <v>471</v>
      </c>
      <c r="D31" s="233">
        <v>22.45</v>
      </c>
      <c r="E31" s="239">
        <v>129.13</v>
      </c>
      <c r="F31" s="239">
        <f t="shared" si="0"/>
        <v>2898.9684999999999</v>
      </c>
    </row>
    <row r="32" spans="2:6" x14ac:dyDescent="0.3">
      <c r="B32" s="233" t="s">
        <v>443</v>
      </c>
      <c r="C32" s="233" t="s">
        <v>470</v>
      </c>
      <c r="D32" s="233">
        <v>40</v>
      </c>
      <c r="E32" s="239">
        <v>91.37</v>
      </c>
      <c r="F32" s="239">
        <f t="shared" si="0"/>
        <v>3654.8</v>
      </c>
    </row>
    <row r="33" spans="2:6" x14ac:dyDescent="0.3">
      <c r="B33" s="233" t="s">
        <v>443</v>
      </c>
      <c r="C33" s="233" t="s">
        <v>472</v>
      </c>
      <c r="D33" s="233">
        <v>1</v>
      </c>
      <c r="E33" s="239">
        <v>151</v>
      </c>
      <c r="F33" s="239">
        <f t="shared" si="0"/>
        <v>151</v>
      </c>
    </row>
    <row r="34" spans="2:6" x14ac:dyDescent="0.3">
      <c r="B34" s="233" t="s">
        <v>443</v>
      </c>
      <c r="C34" s="233" t="s">
        <v>473</v>
      </c>
      <c r="D34" s="233">
        <v>1</v>
      </c>
      <c r="E34" s="239">
        <v>344</v>
      </c>
      <c r="F34" s="239">
        <f t="shared" si="0"/>
        <v>344</v>
      </c>
    </row>
    <row r="35" spans="2:6" x14ac:dyDescent="0.3">
      <c r="B35" s="233" t="s">
        <v>443</v>
      </c>
      <c r="C35" s="233" t="s">
        <v>474</v>
      </c>
      <c r="D35" s="233">
        <v>1</v>
      </c>
      <c r="E35" s="239">
        <v>464</v>
      </c>
      <c r="F35" s="239">
        <f t="shared" si="0"/>
        <v>464</v>
      </c>
    </row>
    <row r="36" spans="2:6" x14ac:dyDescent="0.3">
      <c r="B36" s="233" t="s">
        <v>443</v>
      </c>
      <c r="C36" s="235" t="s">
        <v>475</v>
      </c>
      <c r="D36" s="233">
        <v>1</v>
      </c>
      <c r="E36" s="239">
        <v>943</v>
      </c>
      <c r="F36" s="239">
        <f t="shared" si="0"/>
        <v>943</v>
      </c>
    </row>
    <row r="37" spans="2:6" x14ac:dyDescent="0.3">
      <c r="B37" s="233" t="s">
        <v>443</v>
      </c>
      <c r="C37" s="233" t="s">
        <v>476</v>
      </c>
      <c r="D37" s="233">
        <v>1</v>
      </c>
      <c r="E37" s="239">
        <v>868</v>
      </c>
      <c r="F37" s="239">
        <f t="shared" si="0"/>
        <v>868</v>
      </c>
    </row>
    <row r="38" spans="2:6" x14ac:dyDescent="0.3">
      <c r="B38" s="233" t="s">
        <v>443</v>
      </c>
      <c r="C38" s="233" t="s">
        <v>477</v>
      </c>
      <c r="D38" s="233">
        <v>1</v>
      </c>
      <c r="E38" s="239">
        <v>1494.5</v>
      </c>
      <c r="F38" s="239">
        <f t="shared" si="0"/>
        <v>1494.5</v>
      </c>
    </row>
    <row r="39" spans="2:6" x14ac:dyDescent="0.3">
      <c r="B39" s="233" t="s">
        <v>443</v>
      </c>
      <c r="C39" s="233" t="s">
        <v>478</v>
      </c>
      <c r="D39" s="233">
        <v>1</v>
      </c>
      <c r="E39" s="239">
        <v>1435</v>
      </c>
      <c r="F39" s="239">
        <f t="shared" si="0"/>
        <v>1435</v>
      </c>
    </row>
    <row r="40" spans="2:6" x14ac:dyDescent="0.3">
      <c r="B40" s="233" t="s">
        <v>443</v>
      </c>
      <c r="C40" s="233" t="s">
        <v>479</v>
      </c>
      <c r="D40" s="233">
        <v>1</v>
      </c>
      <c r="E40" s="239">
        <v>688</v>
      </c>
      <c r="F40" s="239">
        <f t="shared" si="0"/>
        <v>688</v>
      </c>
    </row>
    <row r="41" spans="2:6" x14ac:dyDescent="0.3">
      <c r="B41" s="233" t="s">
        <v>443</v>
      </c>
      <c r="C41" s="233" t="s">
        <v>480</v>
      </c>
      <c r="D41" s="233">
        <v>1</v>
      </c>
      <c r="E41" s="239">
        <v>636</v>
      </c>
      <c r="F41" s="239">
        <f t="shared" si="0"/>
        <v>636</v>
      </c>
    </row>
    <row r="42" spans="2:6" x14ac:dyDescent="0.3">
      <c r="B42" s="233" t="s">
        <v>443</v>
      </c>
      <c r="C42" s="233" t="s">
        <v>481</v>
      </c>
      <c r="D42" s="233">
        <v>1</v>
      </c>
      <c r="E42" s="239">
        <v>945</v>
      </c>
      <c r="F42" s="239">
        <f t="shared" si="0"/>
        <v>945</v>
      </c>
    </row>
    <row r="43" spans="2:6" x14ac:dyDescent="0.3">
      <c r="B43" s="233" t="s">
        <v>443</v>
      </c>
      <c r="C43" s="233" t="s">
        <v>482</v>
      </c>
      <c r="D43" s="233">
        <v>1</v>
      </c>
      <c r="E43" s="239">
        <v>660</v>
      </c>
      <c r="F43" s="239">
        <f t="shared" si="0"/>
        <v>660</v>
      </c>
    </row>
    <row r="44" spans="2:6" x14ac:dyDescent="0.3">
      <c r="B44" s="233" t="s">
        <v>443</v>
      </c>
      <c r="C44" s="233" t="s">
        <v>483</v>
      </c>
      <c r="D44" s="233">
        <v>1</v>
      </c>
      <c r="E44" s="239">
        <v>300</v>
      </c>
      <c r="F44" s="239">
        <f t="shared" si="0"/>
        <v>300</v>
      </c>
    </row>
    <row r="45" spans="2:6" x14ac:dyDescent="0.3">
      <c r="B45" s="233" t="s">
        <v>443</v>
      </c>
      <c r="C45" s="233" t="s">
        <v>484</v>
      </c>
      <c r="D45" s="233">
        <v>1</v>
      </c>
      <c r="E45" s="239">
        <v>982.5</v>
      </c>
      <c r="F45" s="239">
        <f t="shared" si="0"/>
        <v>982.5</v>
      </c>
    </row>
    <row r="46" spans="2:6" x14ac:dyDescent="0.3">
      <c r="B46" s="233" t="s">
        <v>443</v>
      </c>
      <c r="C46" s="233" t="s">
        <v>485</v>
      </c>
      <c r="D46" s="233">
        <v>1</v>
      </c>
      <c r="E46" s="239">
        <v>1026</v>
      </c>
      <c r="F46" s="239">
        <f t="shared" si="0"/>
        <v>1026</v>
      </c>
    </row>
    <row r="47" spans="2:6" x14ac:dyDescent="0.3">
      <c r="B47" s="233" t="s">
        <v>443</v>
      </c>
      <c r="C47" s="233" t="s">
        <v>486</v>
      </c>
      <c r="D47" s="233">
        <v>1</v>
      </c>
      <c r="E47" s="239">
        <v>1200</v>
      </c>
      <c r="F47" s="239">
        <f t="shared" si="0"/>
        <v>1200</v>
      </c>
    </row>
    <row r="48" spans="2:6" x14ac:dyDescent="0.3">
      <c r="B48" s="233" t="s">
        <v>443</v>
      </c>
      <c r="C48" s="233" t="s">
        <v>487</v>
      </c>
      <c r="D48" s="233">
        <v>1</v>
      </c>
      <c r="E48" s="239">
        <v>10579.63</v>
      </c>
      <c r="F48" s="239">
        <f t="shared" si="0"/>
        <v>10579.63</v>
      </c>
    </row>
    <row r="49" spans="2:6" x14ac:dyDescent="0.3">
      <c r="B49" s="233" t="s">
        <v>443</v>
      </c>
      <c r="C49" s="233" t="s">
        <v>488</v>
      </c>
      <c r="D49" s="233">
        <v>1</v>
      </c>
      <c r="E49" s="239">
        <v>26330.03</v>
      </c>
      <c r="F49" s="239">
        <f t="shared" si="0"/>
        <v>26330.03</v>
      </c>
    </row>
    <row r="50" spans="2:6" x14ac:dyDescent="0.3">
      <c r="B50" s="233" t="s">
        <v>443</v>
      </c>
      <c r="C50" s="233" t="s">
        <v>489</v>
      </c>
      <c r="D50" s="233">
        <v>1</v>
      </c>
      <c r="E50" s="239">
        <v>23174.07</v>
      </c>
      <c r="F50" s="239">
        <f t="shared" si="0"/>
        <v>23174.07</v>
      </c>
    </row>
    <row r="51" spans="2:6" x14ac:dyDescent="0.3">
      <c r="B51" s="233">
        <v>3099</v>
      </c>
      <c r="C51" s="231" t="s">
        <v>541</v>
      </c>
      <c r="D51" s="233">
        <v>2</v>
      </c>
      <c r="E51" s="239">
        <v>88.02</v>
      </c>
      <c r="F51" s="239">
        <f t="shared" si="0"/>
        <v>176.04</v>
      </c>
    </row>
    <row r="52" spans="2:6" x14ac:dyDescent="0.3">
      <c r="B52" s="233">
        <v>3103</v>
      </c>
      <c r="C52" s="233" t="s">
        <v>490</v>
      </c>
      <c r="D52" s="233">
        <v>2</v>
      </c>
      <c r="E52" s="239">
        <v>36.33</v>
      </c>
      <c r="F52" s="239">
        <f t="shared" si="0"/>
        <v>72.66</v>
      </c>
    </row>
    <row r="53" spans="2:6" x14ac:dyDescent="0.3">
      <c r="B53" s="233">
        <v>11581</v>
      </c>
      <c r="C53" s="233" t="s">
        <v>462</v>
      </c>
      <c r="D53" s="233">
        <v>7.8</v>
      </c>
      <c r="E53" s="239">
        <v>16.43</v>
      </c>
      <c r="F53" s="239">
        <f t="shared" si="0"/>
        <v>128.154</v>
      </c>
    </row>
    <row r="54" spans="2:6" x14ac:dyDescent="0.3">
      <c r="B54" s="233">
        <v>36888</v>
      </c>
      <c r="C54" s="233" t="s">
        <v>463</v>
      </c>
      <c r="D54" s="233">
        <v>108.64</v>
      </c>
      <c r="E54" s="239">
        <v>7.18</v>
      </c>
      <c r="F54" s="239">
        <f t="shared" si="0"/>
        <v>780.03519999999992</v>
      </c>
    </row>
    <row r="55" spans="2:6" x14ac:dyDescent="0.3">
      <c r="B55" s="233">
        <v>36223</v>
      </c>
      <c r="C55" s="233" t="s">
        <v>491</v>
      </c>
      <c r="D55" s="233">
        <v>50</v>
      </c>
      <c r="E55" s="239">
        <v>127.08</v>
      </c>
      <c r="F55" s="239">
        <f t="shared" si="0"/>
        <v>6354</v>
      </c>
    </row>
    <row r="56" spans="2:6" x14ac:dyDescent="0.3">
      <c r="B56" s="233">
        <v>38168</v>
      </c>
      <c r="C56" s="233" t="s">
        <v>492</v>
      </c>
      <c r="D56" s="233">
        <v>6</v>
      </c>
      <c r="E56" s="239">
        <v>113.29</v>
      </c>
      <c r="F56" s="239">
        <f t="shared" si="0"/>
        <v>679.74</v>
      </c>
    </row>
    <row r="57" spans="2:6" x14ac:dyDescent="0.3">
      <c r="B57" s="233">
        <v>20259</v>
      </c>
      <c r="C57" s="240" t="s">
        <v>493</v>
      </c>
      <c r="D57" s="233">
        <v>44.32</v>
      </c>
      <c r="E57" s="239">
        <v>12.5</v>
      </c>
      <c r="F57" s="239">
        <f t="shared" si="0"/>
        <v>554</v>
      </c>
    </row>
    <row r="58" spans="2:6" x14ac:dyDescent="0.3">
      <c r="B58" s="233">
        <v>4356</v>
      </c>
      <c r="C58" s="233" t="s">
        <v>494</v>
      </c>
      <c r="D58" s="233">
        <v>300</v>
      </c>
      <c r="E58" s="239">
        <v>0.21</v>
      </c>
      <c r="F58" s="239">
        <f t="shared" si="0"/>
        <v>63</v>
      </c>
    </row>
    <row r="59" spans="2:6" x14ac:dyDescent="0.3">
      <c r="B59" s="233">
        <v>39961</v>
      </c>
      <c r="C59" s="233" t="s">
        <v>495</v>
      </c>
      <c r="D59" s="233">
        <v>6</v>
      </c>
      <c r="E59" s="239">
        <v>22.59</v>
      </c>
      <c r="F59" s="239">
        <f t="shared" si="0"/>
        <v>135.54</v>
      </c>
    </row>
    <row r="60" spans="2:6" x14ac:dyDescent="0.3">
      <c r="B60" s="233">
        <v>11575</v>
      </c>
      <c r="C60" s="233" t="s">
        <v>496</v>
      </c>
      <c r="D60" s="233">
        <v>8</v>
      </c>
      <c r="E60" s="239">
        <v>44.81</v>
      </c>
      <c r="F60" s="239">
        <f t="shared" si="0"/>
        <v>358.48</v>
      </c>
    </row>
    <row r="61" spans="2:6" x14ac:dyDescent="0.3">
      <c r="B61" s="233" t="s">
        <v>443</v>
      </c>
      <c r="C61" s="233" t="s">
        <v>497</v>
      </c>
      <c r="D61" s="233">
        <v>5</v>
      </c>
      <c r="E61" s="239">
        <v>915</v>
      </c>
      <c r="F61" s="239">
        <f t="shared" si="0"/>
        <v>4575</v>
      </c>
    </row>
    <row r="62" spans="2:6" x14ac:dyDescent="0.3">
      <c r="B62" s="233">
        <v>11186</v>
      </c>
      <c r="C62" s="233" t="s">
        <v>498</v>
      </c>
      <c r="D62" s="233">
        <v>3.63</v>
      </c>
      <c r="E62" s="239">
        <v>436.26</v>
      </c>
      <c r="F62" s="239">
        <f t="shared" si="0"/>
        <v>1583.6237999999998</v>
      </c>
    </row>
    <row r="63" spans="2:6" x14ac:dyDescent="0.3">
      <c r="B63" s="233">
        <v>1015</v>
      </c>
      <c r="C63" s="233" t="s">
        <v>499</v>
      </c>
      <c r="D63" s="233">
        <v>100</v>
      </c>
      <c r="E63" s="239">
        <v>236.05</v>
      </c>
      <c r="F63" s="239">
        <f t="shared" si="0"/>
        <v>23605</v>
      </c>
    </row>
    <row r="64" spans="2:6" x14ac:dyDescent="0.3">
      <c r="B64" s="233">
        <v>11838</v>
      </c>
      <c r="C64" s="233" t="s">
        <v>500</v>
      </c>
      <c r="D64" s="233">
        <v>28</v>
      </c>
      <c r="E64" s="239">
        <v>29.88</v>
      </c>
      <c r="F64" s="239">
        <f t="shared" si="0"/>
        <v>836.64</v>
      </c>
    </row>
    <row r="65" spans="2:6" x14ac:dyDescent="0.3">
      <c r="B65" s="233">
        <v>39468</v>
      </c>
      <c r="C65" s="233" t="s">
        <v>501</v>
      </c>
      <c r="D65" s="233">
        <v>4</v>
      </c>
      <c r="E65" s="239">
        <v>155.76</v>
      </c>
      <c r="F65" s="239">
        <f t="shared" si="0"/>
        <v>623.04</v>
      </c>
    </row>
    <row r="66" spans="2:6" x14ac:dyDescent="0.3">
      <c r="B66" s="233">
        <v>88266</v>
      </c>
      <c r="C66" s="233" t="s">
        <v>502</v>
      </c>
      <c r="D66" s="233">
        <v>172</v>
      </c>
      <c r="E66" s="239">
        <v>23.34</v>
      </c>
      <c r="F66" s="239">
        <f t="shared" si="0"/>
        <v>4014.48</v>
      </c>
    </row>
    <row r="67" spans="2:6" x14ac:dyDescent="0.3">
      <c r="B67" s="233">
        <v>88243</v>
      </c>
      <c r="C67" s="233" t="s">
        <v>466</v>
      </c>
      <c r="D67" s="233">
        <v>156</v>
      </c>
      <c r="E67" s="239">
        <v>18.440000000000001</v>
      </c>
      <c r="F67" s="239">
        <f t="shared" si="0"/>
        <v>2876.6400000000003</v>
      </c>
    </row>
    <row r="68" spans="2:6" x14ac:dyDescent="0.3">
      <c r="B68" s="233" t="s">
        <v>443</v>
      </c>
      <c r="C68" s="233" t="s">
        <v>503</v>
      </c>
      <c r="D68" s="233">
        <v>28</v>
      </c>
      <c r="E68" s="239">
        <v>10.58</v>
      </c>
      <c r="F68" s="239">
        <f t="shared" si="0"/>
        <v>296.24</v>
      </c>
    </row>
    <row r="69" spans="2:6" x14ac:dyDescent="0.3">
      <c r="B69" s="233" t="s">
        <v>443</v>
      </c>
      <c r="C69" s="233" t="s">
        <v>504</v>
      </c>
      <c r="D69" s="233">
        <v>6</v>
      </c>
      <c r="E69" s="239">
        <v>34.380000000000003</v>
      </c>
      <c r="F69" s="239">
        <f t="shared" ref="F69:F107" si="1">D69*E69</f>
        <v>206.28000000000003</v>
      </c>
    </row>
    <row r="70" spans="2:6" x14ac:dyDescent="0.3">
      <c r="B70" s="233" t="s">
        <v>443</v>
      </c>
      <c r="C70" s="233" t="s">
        <v>505</v>
      </c>
      <c r="D70" s="233">
        <v>4</v>
      </c>
      <c r="E70" s="239">
        <v>10.75</v>
      </c>
      <c r="F70" s="239">
        <f t="shared" si="1"/>
        <v>43</v>
      </c>
    </row>
    <row r="71" spans="2:6" x14ac:dyDescent="0.3">
      <c r="B71" s="233" t="s">
        <v>443</v>
      </c>
      <c r="C71" s="233" t="s">
        <v>506</v>
      </c>
      <c r="D71" s="233">
        <v>3</v>
      </c>
      <c r="E71" s="239">
        <v>3</v>
      </c>
      <c r="F71" s="239">
        <f t="shared" si="1"/>
        <v>9</v>
      </c>
    </row>
    <row r="72" spans="2:6" x14ac:dyDescent="0.3">
      <c r="B72" s="233" t="s">
        <v>443</v>
      </c>
      <c r="C72" s="233" t="s">
        <v>507</v>
      </c>
      <c r="D72" s="233">
        <v>1</v>
      </c>
      <c r="E72" s="239">
        <v>16000</v>
      </c>
      <c r="F72" s="239">
        <f t="shared" si="1"/>
        <v>16000</v>
      </c>
    </row>
    <row r="73" spans="2:6" x14ac:dyDescent="0.3">
      <c r="B73" s="233" t="s">
        <v>443</v>
      </c>
      <c r="C73" s="233" t="s">
        <v>508</v>
      </c>
      <c r="D73" s="233">
        <v>20</v>
      </c>
      <c r="E73" s="239">
        <v>0.5</v>
      </c>
      <c r="F73" s="239">
        <f t="shared" si="1"/>
        <v>10</v>
      </c>
    </row>
    <row r="74" spans="2:6" x14ac:dyDescent="0.3">
      <c r="B74" s="233" t="s">
        <v>443</v>
      </c>
      <c r="C74" s="233" t="s">
        <v>509</v>
      </c>
      <c r="D74" s="233">
        <v>2</v>
      </c>
      <c r="E74" s="239">
        <v>12</v>
      </c>
      <c r="F74" s="239">
        <f t="shared" si="1"/>
        <v>24</v>
      </c>
    </row>
    <row r="75" spans="2:6" x14ac:dyDescent="0.3">
      <c r="B75" s="233" t="s">
        <v>443</v>
      </c>
      <c r="C75" s="233" t="s">
        <v>510</v>
      </c>
      <c r="D75" s="233">
        <v>10</v>
      </c>
      <c r="E75" s="239">
        <v>5.5</v>
      </c>
      <c r="F75" s="239">
        <f t="shared" si="1"/>
        <v>55</v>
      </c>
    </row>
    <row r="76" spans="2:6" x14ac:dyDescent="0.3">
      <c r="B76" s="233" t="s">
        <v>443</v>
      </c>
      <c r="C76" s="233" t="s">
        <v>511</v>
      </c>
      <c r="D76" s="233">
        <v>2</v>
      </c>
      <c r="E76" s="239">
        <v>750</v>
      </c>
      <c r="F76" s="239">
        <f t="shared" si="1"/>
        <v>1500</v>
      </c>
    </row>
    <row r="77" spans="2:6" x14ac:dyDescent="0.3">
      <c r="B77" s="233" t="s">
        <v>443</v>
      </c>
      <c r="C77" s="233" t="s">
        <v>512</v>
      </c>
      <c r="D77" s="233">
        <v>2</v>
      </c>
      <c r="E77" s="239">
        <v>95</v>
      </c>
      <c r="F77" s="239">
        <f t="shared" si="1"/>
        <v>190</v>
      </c>
    </row>
    <row r="78" spans="2:6" x14ac:dyDescent="0.3">
      <c r="B78" s="233" t="s">
        <v>443</v>
      </c>
      <c r="C78" s="233" t="s">
        <v>513</v>
      </c>
      <c r="D78" s="233">
        <v>1</v>
      </c>
      <c r="E78" s="239">
        <v>920</v>
      </c>
      <c r="F78" s="239">
        <f t="shared" si="1"/>
        <v>920</v>
      </c>
    </row>
    <row r="79" spans="2:6" x14ac:dyDescent="0.3">
      <c r="B79" s="233" t="s">
        <v>443</v>
      </c>
      <c r="C79" s="233" t="s">
        <v>514</v>
      </c>
      <c r="D79" s="233">
        <v>1</v>
      </c>
      <c r="E79" s="239">
        <v>920</v>
      </c>
      <c r="F79" s="239">
        <f t="shared" si="1"/>
        <v>920</v>
      </c>
    </row>
    <row r="80" spans="2:6" x14ac:dyDescent="0.3">
      <c r="B80" s="233" t="s">
        <v>443</v>
      </c>
      <c r="C80" s="233" t="s">
        <v>515</v>
      </c>
      <c r="D80" s="233">
        <v>1</v>
      </c>
      <c r="E80" s="239">
        <v>578</v>
      </c>
      <c r="F80" s="239">
        <f t="shared" si="1"/>
        <v>578</v>
      </c>
    </row>
    <row r="81" spans="2:6" x14ac:dyDescent="0.3">
      <c r="B81" s="233" t="s">
        <v>443</v>
      </c>
      <c r="C81" s="233" t="s">
        <v>516</v>
      </c>
      <c r="D81" s="233">
        <v>1</v>
      </c>
      <c r="E81" s="239">
        <v>472</v>
      </c>
      <c r="F81" s="239">
        <f t="shared" si="1"/>
        <v>472</v>
      </c>
    </row>
    <row r="82" spans="2:6" x14ac:dyDescent="0.3">
      <c r="B82" s="233" t="s">
        <v>443</v>
      </c>
      <c r="C82" s="233" t="s">
        <v>517</v>
      </c>
      <c r="D82" s="233">
        <v>1</v>
      </c>
      <c r="E82" s="239">
        <v>75</v>
      </c>
      <c r="F82" s="239">
        <f t="shared" si="1"/>
        <v>75</v>
      </c>
    </row>
    <row r="83" spans="2:6" x14ac:dyDescent="0.3">
      <c r="B83" s="233" t="s">
        <v>443</v>
      </c>
      <c r="C83" s="233" t="s">
        <v>518</v>
      </c>
      <c r="D83" s="233">
        <v>20</v>
      </c>
      <c r="E83" s="239">
        <v>6.25</v>
      </c>
      <c r="F83" s="239">
        <f t="shared" si="1"/>
        <v>125</v>
      </c>
    </row>
    <row r="84" spans="2:6" x14ac:dyDescent="0.3">
      <c r="B84" s="233" t="s">
        <v>443</v>
      </c>
      <c r="C84" s="233" t="s">
        <v>519</v>
      </c>
      <c r="D84" s="233">
        <v>1</v>
      </c>
      <c r="E84" s="239">
        <v>35</v>
      </c>
      <c r="F84" s="239">
        <f t="shared" si="1"/>
        <v>35</v>
      </c>
    </row>
    <row r="85" spans="2:6" x14ac:dyDescent="0.3">
      <c r="B85" s="233" t="s">
        <v>443</v>
      </c>
      <c r="C85" s="233" t="s">
        <v>520</v>
      </c>
      <c r="D85" s="233">
        <v>1</v>
      </c>
      <c r="E85" s="239">
        <v>36.799999999999997</v>
      </c>
      <c r="F85" s="239">
        <f t="shared" si="1"/>
        <v>36.799999999999997</v>
      </c>
    </row>
    <row r="86" spans="2:6" x14ac:dyDescent="0.3">
      <c r="B86" s="233" t="s">
        <v>443</v>
      </c>
      <c r="C86" s="233" t="s">
        <v>521</v>
      </c>
      <c r="D86" s="233">
        <v>1</v>
      </c>
      <c r="E86" s="239">
        <v>68</v>
      </c>
      <c r="F86" s="239">
        <f t="shared" si="1"/>
        <v>68</v>
      </c>
    </row>
    <row r="87" spans="2:6" x14ac:dyDescent="0.3">
      <c r="B87" s="233" t="s">
        <v>443</v>
      </c>
      <c r="C87" s="233" t="s">
        <v>522</v>
      </c>
      <c r="D87" s="233">
        <v>1</v>
      </c>
      <c r="E87" s="239">
        <v>45</v>
      </c>
      <c r="F87" s="239">
        <f t="shared" si="1"/>
        <v>45</v>
      </c>
    </row>
    <row r="88" spans="2:6" x14ac:dyDescent="0.3">
      <c r="B88" s="233" t="s">
        <v>443</v>
      </c>
      <c r="C88" s="233" t="s">
        <v>523</v>
      </c>
      <c r="D88" s="233">
        <v>1</v>
      </c>
      <c r="E88" s="239">
        <v>7</v>
      </c>
      <c r="F88" s="239">
        <f t="shared" si="1"/>
        <v>7</v>
      </c>
    </row>
    <row r="89" spans="2:6" x14ac:dyDescent="0.3">
      <c r="B89" s="233" t="s">
        <v>443</v>
      </c>
      <c r="C89" s="233" t="s">
        <v>524</v>
      </c>
      <c r="D89" s="233">
        <v>2</v>
      </c>
      <c r="E89" s="239">
        <v>1190</v>
      </c>
      <c r="F89" s="239">
        <f t="shared" si="1"/>
        <v>2380</v>
      </c>
    </row>
    <row r="90" spans="2:6" x14ac:dyDescent="0.3">
      <c r="B90" s="233" t="s">
        <v>443</v>
      </c>
      <c r="C90" s="233" t="s">
        <v>525</v>
      </c>
      <c r="D90" s="233">
        <v>2</v>
      </c>
      <c r="E90" s="239">
        <v>1800</v>
      </c>
      <c r="F90" s="239">
        <f t="shared" si="1"/>
        <v>3600</v>
      </c>
    </row>
    <row r="91" spans="2:6" x14ac:dyDescent="0.3">
      <c r="B91" s="233">
        <v>11795</v>
      </c>
      <c r="C91" s="233" t="s">
        <v>526</v>
      </c>
      <c r="D91" s="233">
        <v>9.6999999999999993</v>
      </c>
      <c r="E91" s="239">
        <v>422.64</v>
      </c>
      <c r="F91" s="239">
        <f t="shared" si="1"/>
        <v>4099.6079999999993</v>
      </c>
    </row>
    <row r="92" spans="2:6" x14ac:dyDescent="0.3">
      <c r="B92" s="233">
        <v>7584</v>
      </c>
      <c r="C92" s="233" t="s">
        <v>527</v>
      </c>
      <c r="D92" s="233">
        <v>40</v>
      </c>
      <c r="E92" s="239">
        <v>1.4</v>
      </c>
      <c r="F92" s="239">
        <f t="shared" si="1"/>
        <v>56</v>
      </c>
    </row>
    <row r="93" spans="2:6" x14ac:dyDescent="0.3">
      <c r="B93" s="233">
        <v>39961</v>
      </c>
      <c r="C93" s="233" t="s">
        <v>495</v>
      </c>
      <c r="D93" s="233">
        <v>5</v>
      </c>
      <c r="E93" s="239">
        <v>22.59</v>
      </c>
      <c r="F93" s="239">
        <f t="shared" si="1"/>
        <v>112.95</v>
      </c>
    </row>
    <row r="94" spans="2:6" x14ac:dyDescent="0.3">
      <c r="B94" s="233">
        <v>37596</v>
      </c>
      <c r="C94" s="233" t="s">
        <v>528</v>
      </c>
      <c r="D94" s="233">
        <v>30</v>
      </c>
      <c r="E94" s="239">
        <v>1.87</v>
      </c>
      <c r="F94" s="239">
        <f t="shared" si="1"/>
        <v>56.1</v>
      </c>
    </row>
    <row r="95" spans="2:6" x14ac:dyDescent="0.3">
      <c r="B95" s="233">
        <v>37591</v>
      </c>
      <c r="C95" s="233" t="s">
        <v>529</v>
      </c>
      <c r="D95" s="233">
        <v>20</v>
      </c>
      <c r="E95" s="239">
        <v>26.55</v>
      </c>
      <c r="F95" s="239">
        <f t="shared" si="1"/>
        <v>531</v>
      </c>
    </row>
    <row r="96" spans="2:6" x14ac:dyDescent="0.3">
      <c r="B96" s="233">
        <v>4755</v>
      </c>
      <c r="C96" s="233" t="s">
        <v>530</v>
      </c>
      <c r="D96" s="233">
        <v>40</v>
      </c>
      <c r="E96" s="239">
        <v>17.25</v>
      </c>
      <c r="F96" s="239">
        <f t="shared" si="1"/>
        <v>690</v>
      </c>
    </row>
    <row r="97" spans="2:8" x14ac:dyDescent="0.3">
      <c r="B97" s="233">
        <v>242</v>
      </c>
      <c r="C97" s="233" t="s">
        <v>531</v>
      </c>
      <c r="D97" s="233">
        <v>40</v>
      </c>
      <c r="E97" s="239">
        <v>13.85</v>
      </c>
      <c r="F97" s="239">
        <f t="shared" si="1"/>
        <v>554</v>
      </c>
    </row>
    <row r="98" spans="2:8" x14ac:dyDescent="0.3">
      <c r="B98" s="233">
        <v>11575</v>
      </c>
      <c r="C98" s="233" t="s">
        <v>496</v>
      </c>
      <c r="D98" s="233">
        <v>4</v>
      </c>
      <c r="E98" s="239">
        <v>44.81</v>
      </c>
      <c r="F98" s="239">
        <f t="shared" si="1"/>
        <v>179.24</v>
      </c>
    </row>
    <row r="99" spans="2:8" x14ac:dyDescent="0.3">
      <c r="B99" s="233">
        <v>88325</v>
      </c>
      <c r="C99" s="233" t="s">
        <v>532</v>
      </c>
      <c r="D99" s="233">
        <v>8</v>
      </c>
      <c r="E99" s="239">
        <v>16.48</v>
      </c>
      <c r="F99" s="239">
        <f t="shared" si="1"/>
        <v>131.84</v>
      </c>
    </row>
    <row r="100" spans="2:8" x14ac:dyDescent="0.3">
      <c r="B100" s="233">
        <v>88243</v>
      </c>
      <c r="C100" s="233" t="s">
        <v>531</v>
      </c>
      <c r="D100" s="233">
        <v>4</v>
      </c>
      <c r="E100" s="239">
        <v>18.440000000000001</v>
      </c>
      <c r="F100" s="239">
        <f t="shared" si="1"/>
        <v>73.760000000000005</v>
      </c>
    </row>
    <row r="101" spans="2:8" x14ac:dyDescent="0.3">
      <c r="B101" s="233" t="s">
        <v>443</v>
      </c>
      <c r="C101" s="233" t="s">
        <v>533</v>
      </c>
      <c r="D101" s="233">
        <v>1</v>
      </c>
      <c r="E101" s="239">
        <v>442.8</v>
      </c>
      <c r="F101" s="239">
        <f t="shared" si="1"/>
        <v>442.8</v>
      </c>
    </row>
    <row r="102" spans="2:8" x14ac:dyDescent="0.3">
      <c r="B102" s="233" t="s">
        <v>443</v>
      </c>
      <c r="C102" s="240" t="s">
        <v>534</v>
      </c>
      <c r="D102" s="233">
        <v>2</v>
      </c>
      <c r="E102" s="239">
        <v>980</v>
      </c>
      <c r="F102" s="239">
        <f t="shared" si="1"/>
        <v>1960</v>
      </c>
    </row>
    <row r="103" spans="2:8" x14ac:dyDescent="0.3">
      <c r="B103" s="233" t="s">
        <v>443</v>
      </c>
      <c r="C103" s="233" t="s">
        <v>535</v>
      </c>
      <c r="D103" s="233">
        <v>1</v>
      </c>
      <c r="E103" s="239">
        <v>1350</v>
      </c>
      <c r="F103" s="239">
        <f t="shared" si="1"/>
        <v>1350</v>
      </c>
    </row>
    <row r="104" spans="2:8" x14ac:dyDescent="0.3">
      <c r="B104" s="233" t="s">
        <v>443</v>
      </c>
      <c r="C104" s="233" t="s">
        <v>536</v>
      </c>
      <c r="D104" s="233">
        <v>120</v>
      </c>
      <c r="E104" s="239">
        <v>27.07</v>
      </c>
      <c r="F104" s="239">
        <f t="shared" si="1"/>
        <v>3248.4</v>
      </c>
    </row>
    <row r="105" spans="2:8" x14ac:dyDescent="0.3">
      <c r="B105" s="233" t="s">
        <v>443</v>
      </c>
      <c r="C105" s="233" t="s">
        <v>537</v>
      </c>
      <c r="D105" s="233">
        <v>120</v>
      </c>
      <c r="E105" s="239">
        <v>21.49</v>
      </c>
      <c r="F105" s="239">
        <f t="shared" si="1"/>
        <v>2578.7999999999997</v>
      </c>
    </row>
    <row r="106" spans="2:8" x14ac:dyDescent="0.3">
      <c r="B106" s="233">
        <v>1525</v>
      </c>
      <c r="C106" s="233" t="s">
        <v>538</v>
      </c>
      <c r="D106" s="233">
        <v>8</v>
      </c>
      <c r="E106" s="239">
        <v>396.1</v>
      </c>
      <c r="F106" s="239">
        <f t="shared" si="1"/>
        <v>3168.8</v>
      </c>
    </row>
    <row r="107" spans="2:8" x14ac:dyDescent="0.3">
      <c r="B107" s="233">
        <v>90585</v>
      </c>
      <c r="C107" s="233" t="s">
        <v>539</v>
      </c>
      <c r="D107" s="233">
        <v>24</v>
      </c>
      <c r="E107" s="239">
        <v>0.87</v>
      </c>
      <c r="F107" s="239">
        <f t="shared" si="1"/>
        <v>20.88</v>
      </c>
    </row>
    <row r="108" spans="2:8" x14ac:dyDescent="0.3">
      <c r="B108" s="300" t="s">
        <v>399</v>
      </c>
      <c r="C108" s="301"/>
      <c r="D108" s="301"/>
      <c r="E108" s="302"/>
      <c r="F108" s="241">
        <f>SUM(F4:F107)+D121</f>
        <v>283547.43795859982</v>
      </c>
    </row>
    <row r="109" spans="2:8" x14ac:dyDescent="0.3">
      <c r="B109" s="300" t="s">
        <v>2</v>
      </c>
      <c r="C109" s="301"/>
      <c r="D109" s="301"/>
      <c r="E109" s="302"/>
      <c r="F109" s="242">
        <f>BDI!C19</f>
        <v>0.22274460610492852</v>
      </c>
    </row>
    <row r="110" spans="2:8" x14ac:dyDescent="0.3">
      <c r="B110" s="413" t="s">
        <v>540</v>
      </c>
      <c r="C110" s="414"/>
      <c r="D110" s="414"/>
      <c r="E110" s="415"/>
      <c r="F110" s="243">
        <f>F108*(1+F109)</f>
        <v>346706.10033874982</v>
      </c>
    </row>
    <row r="111" spans="2:8" x14ac:dyDescent="0.3">
      <c r="B111"/>
      <c r="C111"/>
      <c r="D111"/>
      <c r="E111"/>
      <c r="F111"/>
    </row>
    <row r="112" spans="2:8" x14ac:dyDescent="0.3">
      <c r="B112"/>
      <c r="C112"/>
      <c r="D112"/>
      <c r="E112"/>
      <c r="F112" s="227"/>
      <c r="H112" t="s">
        <v>543</v>
      </c>
    </row>
    <row r="113" spans="3:12" customFormat="1" x14ac:dyDescent="0.3">
      <c r="F113" s="227">
        <f>TRUNC(F110,2)</f>
        <v>346706.1</v>
      </c>
      <c r="H113" t="s">
        <v>544</v>
      </c>
      <c r="I113" s="235"/>
      <c r="J113" s="235"/>
      <c r="K113" s="235"/>
      <c r="L113" s="235"/>
    </row>
    <row r="114" spans="3:12" customFormat="1" ht="15" thickBot="1" x14ac:dyDescent="0.35">
      <c r="C114" t="s">
        <v>542</v>
      </c>
      <c r="F114" s="227"/>
      <c r="H114">
        <v>2021</v>
      </c>
      <c r="I114" s="235"/>
      <c r="J114" s="235"/>
      <c r="K114" s="235"/>
      <c r="L114" s="235"/>
    </row>
    <row r="115" spans="3:12" customFormat="1" ht="15.6" thickTop="1" thickBot="1" x14ac:dyDescent="0.35">
      <c r="F115" s="227"/>
      <c r="H115" s="244"/>
      <c r="I115" s="245"/>
      <c r="J115" s="245"/>
      <c r="K115" s="245"/>
      <c r="L115" s="245"/>
    </row>
    <row r="116" spans="3:12" customFormat="1" ht="15.6" thickTop="1" thickBot="1" x14ac:dyDescent="0.35">
      <c r="H116" s="244"/>
      <c r="I116" s="245"/>
      <c r="J116" s="245"/>
      <c r="K116" s="245"/>
      <c r="L116" s="245"/>
    </row>
    <row r="117" spans="3:12" customFormat="1" ht="16.8" thickTop="1" thickBot="1" x14ac:dyDescent="0.35">
      <c r="H117" s="416" t="s">
        <v>545</v>
      </c>
      <c r="I117" s="417"/>
      <c r="J117" s="417"/>
      <c r="K117" s="417"/>
      <c r="L117" s="417"/>
    </row>
    <row r="118" spans="3:12" customFormat="1" ht="15.6" thickTop="1" thickBot="1" x14ac:dyDescent="0.35">
      <c r="H118" s="244"/>
      <c r="I118" s="245"/>
      <c r="J118" s="245"/>
      <c r="K118" s="245"/>
      <c r="L118" s="245"/>
    </row>
    <row r="119" spans="3:12" customFormat="1" ht="15" thickTop="1" x14ac:dyDescent="0.3">
      <c r="H119" s="418" t="s">
        <v>546</v>
      </c>
      <c r="I119" s="420" t="s">
        <v>547</v>
      </c>
      <c r="J119" s="420"/>
      <c r="K119" s="420"/>
      <c r="L119" s="248" t="s">
        <v>548</v>
      </c>
    </row>
    <row r="120" spans="3:12" customFormat="1" x14ac:dyDescent="0.3">
      <c r="C120" s="258" t="s">
        <v>556</v>
      </c>
      <c r="D120" s="247">
        <f>SUMIF(B4:B107,"Cotação",F4:F107)</f>
        <v>195992.36269999997</v>
      </c>
      <c r="E120" s="236"/>
      <c r="F120" s="236"/>
      <c r="H120" s="419"/>
      <c r="I120" s="421" t="s">
        <v>551</v>
      </c>
      <c r="J120" s="421" t="s">
        <v>552</v>
      </c>
      <c r="K120" s="421"/>
      <c r="L120" s="249" t="s">
        <v>549</v>
      </c>
    </row>
    <row r="121" spans="3:12" customFormat="1" x14ac:dyDescent="0.3">
      <c r="C121" s="258" t="s">
        <v>555</v>
      </c>
      <c r="D121" s="247">
        <f>D120*(K123/100)</f>
        <v>33098.014258599796</v>
      </c>
      <c r="H121" s="419"/>
      <c r="I121" s="421"/>
      <c r="J121" s="421" t="s">
        <v>553</v>
      </c>
      <c r="K121" s="246" t="s">
        <v>554</v>
      </c>
      <c r="L121" s="249" t="s">
        <v>550</v>
      </c>
    </row>
    <row r="122" spans="3:12" customFormat="1" x14ac:dyDescent="0.3">
      <c r="H122" s="419"/>
      <c r="I122" s="421"/>
      <c r="J122" s="421"/>
      <c r="K122" s="246" t="s">
        <v>154</v>
      </c>
      <c r="L122" s="249"/>
    </row>
    <row r="123" spans="3:12" customFormat="1" x14ac:dyDescent="0.3">
      <c r="H123" s="250">
        <v>44348</v>
      </c>
      <c r="I123" s="252">
        <v>2.2999999999999998</v>
      </c>
      <c r="J123" s="252">
        <v>9.3887</v>
      </c>
      <c r="K123" s="252">
        <v>16.8874</v>
      </c>
      <c r="L123" s="253">
        <v>3199.2977999999998</v>
      </c>
    </row>
    <row r="124" spans="3:12" customFormat="1" x14ac:dyDescent="0.3">
      <c r="H124" s="250">
        <v>44317</v>
      </c>
      <c r="I124" s="254">
        <v>1.8</v>
      </c>
      <c r="J124" s="254">
        <v>6.9292999999999996</v>
      </c>
      <c r="K124" s="254">
        <v>14.6251</v>
      </c>
      <c r="L124" s="255">
        <v>3127.3683999999998</v>
      </c>
    </row>
    <row r="125" spans="3:12" customFormat="1" x14ac:dyDescent="0.3">
      <c r="H125" s="250">
        <v>44287</v>
      </c>
      <c r="I125" s="252">
        <v>0.95</v>
      </c>
      <c r="J125" s="252">
        <v>5.0385999999999997</v>
      </c>
      <c r="K125" s="252">
        <v>12.8348</v>
      </c>
      <c r="L125" s="253">
        <v>3072.0711000000001</v>
      </c>
    </row>
    <row r="126" spans="3:12" customFormat="1" x14ac:dyDescent="0.3">
      <c r="H126" s="250">
        <v>44256</v>
      </c>
      <c r="I126" s="254">
        <v>2</v>
      </c>
      <c r="J126" s="254">
        <v>4.0502000000000002</v>
      </c>
      <c r="K126" s="254">
        <v>11.9741</v>
      </c>
      <c r="L126" s="255">
        <v>3043.1610999999998</v>
      </c>
    </row>
    <row r="127" spans="3:12" customFormat="1" x14ac:dyDescent="0.3">
      <c r="H127" s="250">
        <v>44228</v>
      </c>
      <c r="I127" s="252">
        <v>1.07</v>
      </c>
      <c r="J127" s="252">
        <v>2.0099999999999998</v>
      </c>
      <c r="K127" s="252">
        <v>10.1957</v>
      </c>
      <c r="L127" s="253">
        <v>2983.4911999999999</v>
      </c>
    </row>
    <row r="128" spans="3:12" customFormat="1" ht="15" thickBot="1" x14ac:dyDescent="0.35">
      <c r="H128" s="251">
        <v>44197</v>
      </c>
      <c r="I128" s="256">
        <v>0.93</v>
      </c>
      <c r="J128" s="256">
        <v>0.93</v>
      </c>
      <c r="K128" s="256">
        <v>9.4107000000000003</v>
      </c>
      <c r="L128" s="257">
        <v>2951.9058</v>
      </c>
    </row>
    <row r="129" spans="9:12" customFormat="1" ht="15" thickTop="1" x14ac:dyDescent="0.3">
      <c r="I129" s="235"/>
      <c r="J129" s="235"/>
      <c r="K129" s="235"/>
      <c r="L129" s="235"/>
    </row>
  </sheetData>
  <autoFilter ref="B3:F110" xr:uid="{764A71DA-5F83-4653-9A32-0277FAA85242}"/>
  <mergeCells count="10">
    <mergeCell ref="H119:H122"/>
    <mergeCell ref="I119:K119"/>
    <mergeCell ref="I120:I122"/>
    <mergeCell ref="J120:K120"/>
    <mergeCell ref="J121:J122"/>
    <mergeCell ref="B2:F2"/>
    <mergeCell ref="B108:E108"/>
    <mergeCell ref="B109:E109"/>
    <mergeCell ref="B110:E110"/>
    <mergeCell ref="H117:L1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9575-D075-476C-8253-51F1FF2E0A98}">
  <dimension ref="A4:G35"/>
  <sheetViews>
    <sheetView showGridLines="0" topLeftCell="A7" zoomScaleNormal="100" workbookViewId="0">
      <selection activeCell="C14" sqref="C14"/>
    </sheetView>
  </sheetViews>
  <sheetFormatPr defaultRowHeight="14.4" outlineLevelRow="1" x14ac:dyDescent="0.3"/>
  <cols>
    <col min="1" max="1" width="49.109375" style="30" customWidth="1"/>
    <col min="2" max="2" width="19.33203125" style="30" bestFit="1" customWidth="1"/>
    <col min="3" max="3" width="15" style="30" customWidth="1"/>
    <col min="4" max="4" width="11.5546875" style="30" customWidth="1"/>
    <col min="5" max="5" width="10.33203125" style="30" customWidth="1"/>
    <col min="6" max="6" width="11.5546875" style="30" customWidth="1"/>
    <col min="7" max="7" width="19" style="30" customWidth="1"/>
    <col min="8" max="255" width="8.88671875" style="30"/>
    <col min="256" max="256" width="49.109375" style="30" customWidth="1"/>
    <col min="257" max="257" width="19.33203125" style="30" bestFit="1" customWidth="1"/>
    <col min="258" max="258" width="15" style="30" customWidth="1"/>
    <col min="259" max="259" width="13.109375" style="30" customWidth="1"/>
    <col min="260" max="260" width="11.5546875" style="30" customWidth="1"/>
    <col min="261" max="261" width="10.33203125" style="30" customWidth="1"/>
    <col min="262" max="262" width="11.5546875" style="30" customWidth="1"/>
    <col min="263" max="263" width="61.88671875" style="30" customWidth="1"/>
    <col min="264" max="511" width="8.88671875" style="30"/>
    <col min="512" max="512" width="49.109375" style="30" customWidth="1"/>
    <col min="513" max="513" width="19.33203125" style="30" bestFit="1" customWidth="1"/>
    <col min="514" max="514" width="15" style="30" customWidth="1"/>
    <col min="515" max="515" width="13.109375" style="30" customWidth="1"/>
    <col min="516" max="516" width="11.5546875" style="30" customWidth="1"/>
    <col min="517" max="517" width="10.33203125" style="30" customWidth="1"/>
    <col min="518" max="518" width="11.5546875" style="30" customWidth="1"/>
    <col min="519" max="519" width="61.88671875" style="30" customWidth="1"/>
    <col min="520" max="767" width="8.88671875" style="30"/>
    <col min="768" max="768" width="49.109375" style="30" customWidth="1"/>
    <col min="769" max="769" width="19.33203125" style="30" bestFit="1" customWidth="1"/>
    <col min="770" max="770" width="15" style="30" customWidth="1"/>
    <col min="771" max="771" width="13.109375" style="30" customWidth="1"/>
    <col min="772" max="772" width="11.5546875" style="30" customWidth="1"/>
    <col min="773" max="773" width="10.33203125" style="30" customWidth="1"/>
    <col min="774" max="774" width="11.5546875" style="30" customWidth="1"/>
    <col min="775" max="775" width="61.88671875" style="30" customWidth="1"/>
    <col min="776" max="1023" width="8.88671875" style="30"/>
    <col min="1024" max="1024" width="49.109375" style="30" customWidth="1"/>
    <col min="1025" max="1025" width="19.33203125" style="30" bestFit="1" customWidth="1"/>
    <col min="1026" max="1026" width="15" style="30" customWidth="1"/>
    <col min="1027" max="1027" width="13.109375" style="30" customWidth="1"/>
    <col min="1028" max="1028" width="11.5546875" style="30" customWidth="1"/>
    <col min="1029" max="1029" width="10.33203125" style="30" customWidth="1"/>
    <col min="1030" max="1030" width="11.5546875" style="30" customWidth="1"/>
    <col min="1031" max="1031" width="61.88671875" style="30" customWidth="1"/>
    <col min="1032" max="1279" width="8.88671875" style="30"/>
    <col min="1280" max="1280" width="49.109375" style="30" customWidth="1"/>
    <col min="1281" max="1281" width="19.33203125" style="30" bestFit="1" customWidth="1"/>
    <col min="1282" max="1282" width="15" style="30" customWidth="1"/>
    <col min="1283" max="1283" width="13.109375" style="30" customWidth="1"/>
    <col min="1284" max="1284" width="11.5546875" style="30" customWidth="1"/>
    <col min="1285" max="1285" width="10.33203125" style="30" customWidth="1"/>
    <col min="1286" max="1286" width="11.5546875" style="30" customWidth="1"/>
    <col min="1287" max="1287" width="61.88671875" style="30" customWidth="1"/>
    <col min="1288" max="1535" width="8.88671875" style="30"/>
    <col min="1536" max="1536" width="49.109375" style="30" customWidth="1"/>
    <col min="1537" max="1537" width="19.33203125" style="30" bestFit="1" customWidth="1"/>
    <col min="1538" max="1538" width="15" style="30" customWidth="1"/>
    <col min="1539" max="1539" width="13.109375" style="30" customWidth="1"/>
    <col min="1540" max="1540" width="11.5546875" style="30" customWidth="1"/>
    <col min="1541" max="1541" width="10.33203125" style="30" customWidth="1"/>
    <col min="1542" max="1542" width="11.5546875" style="30" customWidth="1"/>
    <col min="1543" max="1543" width="61.88671875" style="30" customWidth="1"/>
    <col min="1544" max="1791" width="8.88671875" style="30"/>
    <col min="1792" max="1792" width="49.109375" style="30" customWidth="1"/>
    <col min="1793" max="1793" width="19.33203125" style="30" bestFit="1" customWidth="1"/>
    <col min="1794" max="1794" width="15" style="30" customWidth="1"/>
    <col min="1795" max="1795" width="13.109375" style="30" customWidth="1"/>
    <col min="1796" max="1796" width="11.5546875" style="30" customWidth="1"/>
    <col min="1797" max="1797" width="10.33203125" style="30" customWidth="1"/>
    <col min="1798" max="1798" width="11.5546875" style="30" customWidth="1"/>
    <col min="1799" max="1799" width="61.88671875" style="30" customWidth="1"/>
    <col min="1800" max="2047" width="8.88671875" style="30"/>
    <col min="2048" max="2048" width="49.109375" style="30" customWidth="1"/>
    <col min="2049" max="2049" width="19.33203125" style="30" bestFit="1" customWidth="1"/>
    <col min="2050" max="2050" width="15" style="30" customWidth="1"/>
    <col min="2051" max="2051" width="13.109375" style="30" customWidth="1"/>
    <col min="2052" max="2052" width="11.5546875" style="30" customWidth="1"/>
    <col min="2053" max="2053" width="10.33203125" style="30" customWidth="1"/>
    <col min="2054" max="2054" width="11.5546875" style="30" customWidth="1"/>
    <col min="2055" max="2055" width="61.88671875" style="30" customWidth="1"/>
    <col min="2056" max="2303" width="8.88671875" style="30"/>
    <col min="2304" max="2304" width="49.109375" style="30" customWidth="1"/>
    <col min="2305" max="2305" width="19.33203125" style="30" bestFit="1" customWidth="1"/>
    <col min="2306" max="2306" width="15" style="30" customWidth="1"/>
    <col min="2307" max="2307" width="13.109375" style="30" customWidth="1"/>
    <col min="2308" max="2308" width="11.5546875" style="30" customWidth="1"/>
    <col min="2309" max="2309" width="10.33203125" style="30" customWidth="1"/>
    <col min="2310" max="2310" width="11.5546875" style="30" customWidth="1"/>
    <col min="2311" max="2311" width="61.88671875" style="30" customWidth="1"/>
    <col min="2312" max="2559" width="8.88671875" style="30"/>
    <col min="2560" max="2560" width="49.109375" style="30" customWidth="1"/>
    <col min="2561" max="2561" width="19.33203125" style="30" bestFit="1" customWidth="1"/>
    <col min="2562" max="2562" width="15" style="30" customWidth="1"/>
    <col min="2563" max="2563" width="13.109375" style="30" customWidth="1"/>
    <col min="2564" max="2564" width="11.5546875" style="30" customWidth="1"/>
    <col min="2565" max="2565" width="10.33203125" style="30" customWidth="1"/>
    <col min="2566" max="2566" width="11.5546875" style="30" customWidth="1"/>
    <col min="2567" max="2567" width="61.88671875" style="30" customWidth="1"/>
    <col min="2568" max="2815" width="8.88671875" style="30"/>
    <col min="2816" max="2816" width="49.109375" style="30" customWidth="1"/>
    <col min="2817" max="2817" width="19.33203125" style="30" bestFit="1" customWidth="1"/>
    <col min="2818" max="2818" width="15" style="30" customWidth="1"/>
    <col min="2819" max="2819" width="13.109375" style="30" customWidth="1"/>
    <col min="2820" max="2820" width="11.5546875" style="30" customWidth="1"/>
    <col min="2821" max="2821" width="10.33203125" style="30" customWidth="1"/>
    <col min="2822" max="2822" width="11.5546875" style="30" customWidth="1"/>
    <col min="2823" max="2823" width="61.88671875" style="30" customWidth="1"/>
    <col min="2824" max="3071" width="8.88671875" style="30"/>
    <col min="3072" max="3072" width="49.109375" style="30" customWidth="1"/>
    <col min="3073" max="3073" width="19.33203125" style="30" bestFit="1" customWidth="1"/>
    <col min="3074" max="3074" width="15" style="30" customWidth="1"/>
    <col min="3075" max="3075" width="13.109375" style="30" customWidth="1"/>
    <col min="3076" max="3076" width="11.5546875" style="30" customWidth="1"/>
    <col min="3077" max="3077" width="10.33203125" style="30" customWidth="1"/>
    <col min="3078" max="3078" width="11.5546875" style="30" customWidth="1"/>
    <col min="3079" max="3079" width="61.88671875" style="30" customWidth="1"/>
    <col min="3080" max="3327" width="8.88671875" style="30"/>
    <col min="3328" max="3328" width="49.109375" style="30" customWidth="1"/>
    <col min="3329" max="3329" width="19.33203125" style="30" bestFit="1" customWidth="1"/>
    <col min="3330" max="3330" width="15" style="30" customWidth="1"/>
    <col min="3331" max="3331" width="13.109375" style="30" customWidth="1"/>
    <col min="3332" max="3332" width="11.5546875" style="30" customWidth="1"/>
    <col min="3333" max="3333" width="10.33203125" style="30" customWidth="1"/>
    <col min="3334" max="3334" width="11.5546875" style="30" customWidth="1"/>
    <col min="3335" max="3335" width="61.88671875" style="30" customWidth="1"/>
    <col min="3336" max="3583" width="8.88671875" style="30"/>
    <col min="3584" max="3584" width="49.109375" style="30" customWidth="1"/>
    <col min="3585" max="3585" width="19.33203125" style="30" bestFit="1" customWidth="1"/>
    <col min="3586" max="3586" width="15" style="30" customWidth="1"/>
    <col min="3587" max="3587" width="13.109375" style="30" customWidth="1"/>
    <col min="3588" max="3588" width="11.5546875" style="30" customWidth="1"/>
    <col min="3589" max="3589" width="10.33203125" style="30" customWidth="1"/>
    <col min="3590" max="3590" width="11.5546875" style="30" customWidth="1"/>
    <col min="3591" max="3591" width="61.88671875" style="30" customWidth="1"/>
    <col min="3592" max="3839" width="8.88671875" style="30"/>
    <col min="3840" max="3840" width="49.109375" style="30" customWidth="1"/>
    <col min="3841" max="3841" width="19.33203125" style="30" bestFit="1" customWidth="1"/>
    <col min="3842" max="3842" width="15" style="30" customWidth="1"/>
    <col min="3843" max="3843" width="13.109375" style="30" customWidth="1"/>
    <col min="3844" max="3844" width="11.5546875" style="30" customWidth="1"/>
    <col min="3845" max="3845" width="10.33203125" style="30" customWidth="1"/>
    <col min="3846" max="3846" width="11.5546875" style="30" customWidth="1"/>
    <col min="3847" max="3847" width="61.88671875" style="30" customWidth="1"/>
    <col min="3848" max="4095" width="8.88671875" style="30"/>
    <col min="4096" max="4096" width="49.109375" style="30" customWidth="1"/>
    <col min="4097" max="4097" width="19.33203125" style="30" bestFit="1" customWidth="1"/>
    <col min="4098" max="4098" width="15" style="30" customWidth="1"/>
    <col min="4099" max="4099" width="13.109375" style="30" customWidth="1"/>
    <col min="4100" max="4100" width="11.5546875" style="30" customWidth="1"/>
    <col min="4101" max="4101" width="10.33203125" style="30" customWidth="1"/>
    <col min="4102" max="4102" width="11.5546875" style="30" customWidth="1"/>
    <col min="4103" max="4103" width="61.88671875" style="30" customWidth="1"/>
    <col min="4104" max="4351" width="8.88671875" style="30"/>
    <col min="4352" max="4352" width="49.109375" style="30" customWidth="1"/>
    <col min="4353" max="4353" width="19.33203125" style="30" bestFit="1" customWidth="1"/>
    <col min="4354" max="4354" width="15" style="30" customWidth="1"/>
    <col min="4355" max="4355" width="13.109375" style="30" customWidth="1"/>
    <col min="4356" max="4356" width="11.5546875" style="30" customWidth="1"/>
    <col min="4357" max="4357" width="10.33203125" style="30" customWidth="1"/>
    <col min="4358" max="4358" width="11.5546875" style="30" customWidth="1"/>
    <col min="4359" max="4359" width="61.88671875" style="30" customWidth="1"/>
    <col min="4360" max="4607" width="8.88671875" style="30"/>
    <col min="4608" max="4608" width="49.109375" style="30" customWidth="1"/>
    <col min="4609" max="4609" width="19.33203125" style="30" bestFit="1" customWidth="1"/>
    <col min="4610" max="4610" width="15" style="30" customWidth="1"/>
    <col min="4611" max="4611" width="13.109375" style="30" customWidth="1"/>
    <col min="4612" max="4612" width="11.5546875" style="30" customWidth="1"/>
    <col min="4613" max="4613" width="10.33203125" style="30" customWidth="1"/>
    <col min="4614" max="4614" width="11.5546875" style="30" customWidth="1"/>
    <col min="4615" max="4615" width="61.88671875" style="30" customWidth="1"/>
    <col min="4616" max="4863" width="8.88671875" style="30"/>
    <col min="4864" max="4864" width="49.109375" style="30" customWidth="1"/>
    <col min="4865" max="4865" width="19.33203125" style="30" bestFit="1" customWidth="1"/>
    <col min="4866" max="4866" width="15" style="30" customWidth="1"/>
    <col min="4867" max="4867" width="13.109375" style="30" customWidth="1"/>
    <col min="4868" max="4868" width="11.5546875" style="30" customWidth="1"/>
    <col min="4869" max="4869" width="10.33203125" style="30" customWidth="1"/>
    <col min="4870" max="4870" width="11.5546875" style="30" customWidth="1"/>
    <col min="4871" max="4871" width="61.88671875" style="30" customWidth="1"/>
    <col min="4872" max="5119" width="8.88671875" style="30"/>
    <col min="5120" max="5120" width="49.109375" style="30" customWidth="1"/>
    <col min="5121" max="5121" width="19.33203125" style="30" bestFit="1" customWidth="1"/>
    <col min="5122" max="5122" width="15" style="30" customWidth="1"/>
    <col min="5123" max="5123" width="13.109375" style="30" customWidth="1"/>
    <col min="5124" max="5124" width="11.5546875" style="30" customWidth="1"/>
    <col min="5125" max="5125" width="10.33203125" style="30" customWidth="1"/>
    <col min="5126" max="5126" width="11.5546875" style="30" customWidth="1"/>
    <col min="5127" max="5127" width="61.88671875" style="30" customWidth="1"/>
    <col min="5128" max="5375" width="8.88671875" style="30"/>
    <col min="5376" max="5376" width="49.109375" style="30" customWidth="1"/>
    <col min="5377" max="5377" width="19.33203125" style="30" bestFit="1" customWidth="1"/>
    <col min="5378" max="5378" width="15" style="30" customWidth="1"/>
    <col min="5379" max="5379" width="13.109375" style="30" customWidth="1"/>
    <col min="5380" max="5380" width="11.5546875" style="30" customWidth="1"/>
    <col min="5381" max="5381" width="10.33203125" style="30" customWidth="1"/>
    <col min="5382" max="5382" width="11.5546875" style="30" customWidth="1"/>
    <col min="5383" max="5383" width="61.88671875" style="30" customWidth="1"/>
    <col min="5384" max="5631" width="8.88671875" style="30"/>
    <col min="5632" max="5632" width="49.109375" style="30" customWidth="1"/>
    <col min="5633" max="5633" width="19.33203125" style="30" bestFit="1" customWidth="1"/>
    <col min="5634" max="5634" width="15" style="30" customWidth="1"/>
    <col min="5635" max="5635" width="13.109375" style="30" customWidth="1"/>
    <col min="5636" max="5636" width="11.5546875" style="30" customWidth="1"/>
    <col min="5637" max="5637" width="10.33203125" style="30" customWidth="1"/>
    <col min="5638" max="5638" width="11.5546875" style="30" customWidth="1"/>
    <col min="5639" max="5639" width="61.88671875" style="30" customWidth="1"/>
    <col min="5640" max="5887" width="8.88671875" style="30"/>
    <col min="5888" max="5888" width="49.109375" style="30" customWidth="1"/>
    <col min="5889" max="5889" width="19.33203125" style="30" bestFit="1" customWidth="1"/>
    <col min="5890" max="5890" width="15" style="30" customWidth="1"/>
    <col min="5891" max="5891" width="13.109375" style="30" customWidth="1"/>
    <col min="5892" max="5892" width="11.5546875" style="30" customWidth="1"/>
    <col min="5893" max="5893" width="10.33203125" style="30" customWidth="1"/>
    <col min="5894" max="5894" width="11.5546875" style="30" customWidth="1"/>
    <col min="5895" max="5895" width="61.88671875" style="30" customWidth="1"/>
    <col min="5896" max="6143" width="8.88671875" style="30"/>
    <col min="6144" max="6144" width="49.109375" style="30" customWidth="1"/>
    <col min="6145" max="6145" width="19.33203125" style="30" bestFit="1" customWidth="1"/>
    <col min="6146" max="6146" width="15" style="30" customWidth="1"/>
    <col min="6147" max="6147" width="13.109375" style="30" customWidth="1"/>
    <col min="6148" max="6148" width="11.5546875" style="30" customWidth="1"/>
    <col min="6149" max="6149" width="10.33203125" style="30" customWidth="1"/>
    <col min="6150" max="6150" width="11.5546875" style="30" customWidth="1"/>
    <col min="6151" max="6151" width="61.88671875" style="30" customWidth="1"/>
    <col min="6152" max="6399" width="8.88671875" style="30"/>
    <col min="6400" max="6400" width="49.109375" style="30" customWidth="1"/>
    <col min="6401" max="6401" width="19.33203125" style="30" bestFit="1" customWidth="1"/>
    <col min="6402" max="6402" width="15" style="30" customWidth="1"/>
    <col min="6403" max="6403" width="13.109375" style="30" customWidth="1"/>
    <col min="6404" max="6404" width="11.5546875" style="30" customWidth="1"/>
    <col min="6405" max="6405" width="10.33203125" style="30" customWidth="1"/>
    <col min="6406" max="6406" width="11.5546875" style="30" customWidth="1"/>
    <col min="6407" max="6407" width="61.88671875" style="30" customWidth="1"/>
    <col min="6408" max="6655" width="8.88671875" style="30"/>
    <col min="6656" max="6656" width="49.109375" style="30" customWidth="1"/>
    <col min="6657" max="6657" width="19.33203125" style="30" bestFit="1" customWidth="1"/>
    <col min="6658" max="6658" width="15" style="30" customWidth="1"/>
    <col min="6659" max="6659" width="13.109375" style="30" customWidth="1"/>
    <col min="6660" max="6660" width="11.5546875" style="30" customWidth="1"/>
    <col min="6661" max="6661" width="10.33203125" style="30" customWidth="1"/>
    <col min="6662" max="6662" width="11.5546875" style="30" customWidth="1"/>
    <col min="6663" max="6663" width="61.88671875" style="30" customWidth="1"/>
    <col min="6664" max="6911" width="8.88671875" style="30"/>
    <col min="6912" max="6912" width="49.109375" style="30" customWidth="1"/>
    <col min="6913" max="6913" width="19.33203125" style="30" bestFit="1" customWidth="1"/>
    <col min="6914" max="6914" width="15" style="30" customWidth="1"/>
    <col min="6915" max="6915" width="13.109375" style="30" customWidth="1"/>
    <col min="6916" max="6916" width="11.5546875" style="30" customWidth="1"/>
    <col min="6917" max="6917" width="10.33203125" style="30" customWidth="1"/>
    <col min="6918" max="6918" width="11.5546875" style="30" customWidth="1"/>
    <col min="6919" max="6919" width="61.88671875" style="30" customWidth="1"/>
    <col min="6920" max="7167" width="8.88671875" style="30"/>
    <col min="7168" max="7168" width="49.109375" style="30" customWidth="1"/>
    <col min="7169" max="7169" width="19.33203125" style="30" bestFit="1" customWidth="1"/>
    <col min="7170" max="7170" width="15" style="30" customWidth="1"/>
    <col min="7171" max="7171" width="13.109375" style="30" customWidth="1"/>
    <col min="7172" max="7172" width="11.5546875" style="30" customWidth="1"/>
    <col min="7173" max="7173" width="10.33203125" style="30" customWidth="1"/>
    <col min="7174" max="7174" width="11.5546875" style="30" customWidth="1"/>
    <col min="7175" max="7175" width="61.88671875" style="30" customWidth="1"/>
    <col min="7176" max="7423" width="8.88671875" style="30"/>
    <col min="7424" max="7424" width="49.109375" style="30" customWidth="1"/>
    <col min="7425" max="7425" width="19.33203125" style="30" bestFit="1" customWidth="1"/>
    <col min="7426" max="7426" width="15" style="30" customWidth="1"/>
    <col min="7427" max="7427" width="13.109375" style="30" customWidth="1"/>
    <col min="7428" max="7428" width="11.5546875" style="30" customWidth="1"/>
    <col min="7429" max="7429" width="10.33203125" style="30" customWidth="1"/>
    <col min="7430" max="7430" width="11.5546875" style="30" customWidth="1"/>
    <col min="7431" max="7431" width="61.88671875" style="30" customWidth="1"/>
    <col min="7432" max="7679" width="8.88671875" style="30"/>
    <col min="7680" max="7680" width="49.109375" style="30" customWidth="1"/>
    <col min="7681" max="7681" width="19.33203125" style="30" bestFit="1" customWidth="1"/>
    <col min="7682" max="7682" width="15" style="30" customWidth="1"/>
    <col min="7683" max="7683" width="13.109375" style="30" customWidth="1"/>
    <col min="7684" max="7684" width="11.5546875" style="30" customWidth="1"/>
    <col min="7685" max="7685" width="10.33203125" style="30" customWidth="1"/>
    <col min="7686" max="7686" width="11.5546875" style="30" customWidth="1"/>
    <col min="7687" max="7687" width="61.88671875" style="30" customWidth="1"/>
    <col min="7688" max="7935" width="8.88671875" style="30"/>
    <col min="7936" max="7936" width="49.109375" style="30" customWidth="1"/>
    <col min="7937" max="7937" width="19.33203125" style="30" bestFit="1" customWidth="1"/>
    <col min="7938" max="7938" width="15" style="30" customWidth="1"/>
    <col min="7939" max="7939" width="13.109375" style="30" customWidth="1"/>
    <col min="7940" max="7940" width="11.5546875" style="30" customWidth="1"/>
    <col min="7941" max="7941" width="10.33203125" style="30" customWidth="1"/>
    <col min="7942" max="7942" width="11.5546875" style="30" customWidth="1"/>
    <col min="7943" max="7943" width="61.88671875" style="30" customWidth="1"/>
    <col min="7944" max="8191" width="8.88671875" style="30"/>
    <col min="8192" max="8192" width="49.109375" style="30" customWidth="1"/>
    <col min="8193" max="8193" width="19.33203125" style="30" bestFit="1" customWidth="1"/>
    <col min="8194" max="8194" width="15" style="30" customWidth="1"/>
    <col min="8195" max="8195" width="13.109375" style="30" customWidth="1"/>
    <col min="8196" max="8196" width="11.5546875" style="30" customWidth="1"/>
    <col min="8197" max="8197" width="10.33203125" style="30" customWidth="1"/>
    <col min="8198" max="8198" width="11.5546875" style="30" customWidth="1"/>
    <col min="8199" max="8199" width="61.88671875" style="30" customWidth="1"/>
    <col min="8200" max="8447" width="8.88671875" style="30"/>
    <col min="8448" max="8448" width="49.109375" style="30" customWidth="1"/>
    <col min="8449" max="8449" width="19.33203125" style="30" bestFit="1" customWidth="1"/>
    <col min="8450" max="8450" width="15" style="30" customWidth="1"/>
    <col min="8451" max="8451" width="13.109375" style="30" customWidth="1"/>
    <col min="8452" max="8452" width="11.5546875" style="30" customWidth="1"/>
    <col min="8453" max="8453" width="10.33203125" style="30" customWidth="1"/>
    <col min="8454" max="8454" width="11.5546875" style="30" customWidth="1"/>
    <col min="8455" max="8455" width="61.88671875" style="30" customWidth="1"/>
    <col min="8456" max="8703" width="8.88671875" style="30"/>
    <col min="8704" max="8704" width="49.109375" style="30" customWidth="1"/>
    <col min="8705" max="8705" width="19.33203125" style="30" bestFit="1" customWidth="1"/>
    <col min="8706" max="8706" width="15" style="30" customWidth="1"/>
    <col min="8707" max="8707" width="13.109375" style="30" customWidth="1"/>
    <col min="8708" max="8708" width="11.5546875" style="30" customWidth="1"/>
    <col min="8709" max="8709" width="10.33203125" style="30" customWidth="1"/>
    <col min="8710" max="8710" width="11.5546875" style="30" customWidth="1"/>
    <col min="8711" max="8711" width="61.88671875" style="30" customWidth="1"/>
    <col min="8712" max="8959" width="8.88671875" style="30"/>
    <col min="8960" max="8960" width="49.109375" style="30" customWidth="1"/>
    <col min="8961" max="8961" width="19.33203125" style="30" bestFit="1" customWidth="1"/>
    <col min="8962" max="8962" width="15" style="30" customWidth="1"/>
    <col min="8963" max="8963" width="13.109375" style="30" customWidth="1"/>
    <col min="8964" max="8964" width="11.5546875" style="30" customWidth="1"/>
    <col min="8965" max="8965" width="10.33203125" style="30" customWidth="1"/>
    <col min="8966" max="8966" width="11.5546875" style="30" customWidth="1"/>
    <col min="8967" max="8967" width="61.88671875" style="30" customWidth="1"/>
    <col min="8968" max="9215" width="8.88671875" style="30"/>
    <col min="9216" max="9216" width="49.109375" style="30" customWidth="1"/>
    <col min="9217" max="9217" width="19.33203125" style="30" bestFit="1" customWidth="1"/>
    <col min="9218" max="9218" width="15" style="30" customWidth="1"/>
    <col min="9219" max="9219" width="13.109375" style="30" customWidth="1"/>
    <col min="9220" max="9220" width="11.5546875" style="30" customWidth="1"/>
    <col min="9221" max="9221" width="10.33203125" style="30" customWidth="1"/>
    <col min="9222" max="9222" width="11.5546875" style="30" customWidth="1"/>
    <col min="9223" max="9223" width="61.88671875" style="30" customWidth="1"/>
    <col min="9224" max="9471" width="8.88671875" style="30"/>
    <col min="9472" max="9472" width="49.109375" style="30" customWidth="1"/>
    <col min="9473" max="9473" width="19.33203125" style="30" bestFit="1" customWidth="1"/>
    <col min="9474" max="9474" width="15" style="30" customWidth="1"/>
    <col min="9475" max="9475" width="13.109375" style="30" customWidth="1"/>
    <col min="9476" max="9476" width="11.5546875" style="30" customWidth="1"/>
    <col min="9477" max="9477" width="10.33203125" style="30" customWidth="1"/>
    <col min="9478" max="9478" width="11.5546875" style="30" customWidth="1"/>
    <col min="9479" max="9479" width="61.88671875" style="30" customWidth="1"/>
    <col min="9480" max="9727" width="8.88671875" style="30"/>
    <col min="9728" max="9728" width="49.109375" style="30" customWidth="1"/>
    <col min="9729" max="9729" width="19.33203125" style="30" bestFit="1" customWidth="1"/>
    <col min="9730" max="9730" width="15" style="30" customWidth="1"/>
    <col min="9731" max="9731" width="13.109375" style="30" customWidth="1"/>
    <col min="9732" max="9732" width="11.5546875" style="30" customWidth="1"/>
    <col min="9733" max="9733" width="10.33203125" style="30" customWidth="1"/>
    <col min="9734" max="9734" width="11.5546875" style="30" customWidth="1"/>
    <col min="9735" max="9735" width="61.88671875" style="30" customWidth="1"/>
    <col min="9736" max="9983" width="8.88671875" style="30"/>
    <col min="9984" max="9984" width="49.109375" style="30" customWidth="1"/>
    <col min="9985" max="9985" width="19.33203125" style="30" bestFit="1" customWidth="1"/>
    <col min="9986" max="9986" width="15" style="30" customWidth="1"/>
    <col min="9987" max="9987" width="13.109375" style="30" customWidth="1"/>
    <col min="9988" max="9988" width="11.5546875" style="30" customWidth="1"/>
    <col min="9989" max="9989" width="10.33203125" style="30" customWidth="1"/>
    <col min="9990" max="9990" width="11.5546875" style="30" customWidth="1"/>
    <col min="9991" max="9991" width="61.88671875" style="30" customWidth="1"/>
    <col min="9992" max="10239" width="8.88671875" style="30"/>
    <col min="10240" max="10240" width="49.109375" style="30" customWidth="1"/>
    <col min="10241" max="10241" width="19.33203125" style="30" bestFit="1" customWidth="1"/>
    <col min="10242" max="10242" width="15" style="30" customWidth="1"/>
    <col min="10243" max="10243" width="13.109375" style="30" customWidth="1"/>
    <col min="10244" max="10244" width="11.5546875" style="30" customWidth="1"/>
    <col min="10245" max="10245" width="10.33203125" style="30" customWidth="1"/>
    <col min="10246" max="10246" width="11.5546875" style="30" customWidth="1"/>
    <col min="10247" max="10247" width="61.88671875" style="30" customWidth="1"/>
    <col min="10248" max="10495" width="8.88671875" style="30"/>
    <col min="10496" max="10496" width="49.109375" style="30" customWidth="1"/>
    <col min="10497" max="10497" width="19.33203125" style="30" bestFit="1" customWidth="1"/>
    <col min="10498" max="10498" width="15" style="30" customWidth="1"/>
    <col min="10499" max="10499" width="13.109375" style="30" customWidth="1"/>
    <col min="10500" max="10500" width="11.5546875" style="30" customWidth="1"/>
    <col min="10501" max="10501" width="10.33203125" style="30" customWidth="1"/>
    <col min="10502" max="10502" width="11.5546875" style="30" customWidth="1"/>
    <col min="10503" max="10503" width="61.88671875" style="30" customWidth="1"/>
    <col min="10504" max="10751" width="8.88671875" style="30"/>
    <col min="10752" max="10752" width="49.109375" style="30" customWidth="1"/>
    <col min="10753" max="10753" width="19.33203125" style="30" bestFit="1" customWidth="1"/>
    <col min="10754" max="10754" width="15" style="30" customWidth="1"/>
    <col min="10755" max="10755" width="13.109375" style="30" customWidth="1"/>
    <col min="10756" max="10756" width="11.5546875" style="30" customWidth="1"/>
    <col min="10757" max="10757" width="10.33203125" style="30" customWidth="1"/>
    <col min="10758" max="10758" width="11.5546875" style="30" customWidth="1"/>
    <col min="10759" max="10759" width="61.88671875" style="30" customWidth="1"/>
    <col min="10760" max="11007" width="8.88671875" style="30"/>
    <col min="11008" max="11008" width="49.109375" style="30" customWidth="1"/>
    <col min="11009" max="11009" width="19.33203125" style="30" bestFit="1" customWidth="1"/>
    <col min="11010" max="11010" width="15" style="30" customWidth="1"/>
    <col min="11011" max="11011" width="13.109375" style="30" customWidth="1"/>
    <col min="11012" max="11012" width="11.5546875" style="30" customWidth="1"/>
    <col min="11013" max="11013" width="10.33203125" style="30" customWidth="1"/>
    <col min="11014" max="11014" width="11.5546875" style="30" customWidth="1"/>
    <col min="11015" max="11015" width="61.88671875" style="30" customWidth="1"/>
    <col min="11016" max="11263" width="8.88671875" style="30"/>
    <col min="11264" max="11264" width="49.109375" style="30" customWidth="1"/>
    <col min="11265" max="11265" width="19.33203125" style="30" bestFit="1" customWidth="1"/>
    <col min="11266" max="11266" width="15" style="30" customWidth="1"/>
    <col min="11267" max="11267" width="13.109375" style="30" customWidth="1"/>
    <col min="11268" max="11268" width="11.5546875" style="30" customWidth="1"/>
    <col min="11269" max="11269" width="10.33203125" style="30" customWidth="1"/>
    <col min="11270" max="11270" width="11.5546875" style="30" customWidth="1"/>
    <col min="11271" max="11271" width="61.88671875" style="30" customWidth="1"/>
    <col min="11272" max="11519" width="8.88671875" style="30"/>
    <col min="11520" max="11520" width="49.109375" style="30" customWidth="1"/>
    <col min="11521" max="11521" width="19.33203125" style="30" bestFit="1" customWidth="1"/>
    <col min="11522" max="11522" width="15" style="30" customWidth="1"/>
    <col min="11523" max="11523" width="13.109375" style="30" customWidth="1"/>
    <col min="11524" max="11524" width="11.5546875" style="30" customWidth="1"/>
    <col min="11525" max="11525" width="10.33203125" style="30" customWidth="1"/>
    <col min="11526" max="11526" width="11.5546875" style="30" customWidth="1"/>
    <col min="11527" max="11527" width="61.88671875" style="30" customWidth="1"/>
    <col min="11528" max="11775" width="8.88671875" style="30"/>
    <col min="11776" max="11776" width="49.109375" style="30" customWidth="1"/>
    <col min="11777" max="11777" width="19.33203125" style="30" bestFit="1" customWidth="1"/>
    <col min="11778" max="11778" width="15" style="30" customWidth="1"/>
    <col min="11779" max="11779" width="13.109375" style="30" customWidth="1"/>
    <col min="11780" max="11780" width="11.5546875" style="30" customWidth="1"/>
    <col min="11781" max="11781" width="10.33203125" style="30" customWidth="1"/>
    <col min="11782" max="11782" width="11.5546875" style="30" customWidth="1"/>
    <col min="11783" max="11783" width="61.88671875" style="30" customWidth="1"/>
    <col min="11784" max="12031" width="8.88671875" style="30"/>
    <col min="12032" max="12032" width="49.109375" style="30" customWidth="1"/>
    <col min="12033" max="12033" width="19.33203125" style="30" bestFit="1" customWidth="1"/>
    <col min="12034" max="12034" width="15" style="30" customWidth="1"/>
    <col min="12035" max="12035" width="13.109375" style="30" customWidth="1"/>
    <col min="12036" max="12036" width="11.5546875" style="30" customWidth="1"/>
    <col min="12037" max="12037" width="10.33203125" style="30" customWidth="1"/>
    <col min="12038" max="12038" width="11.5546875" style="30" customWidth="1"/>
    <col min="12039" max="12039" width="61.88671875" style="30" customWidth="1"/>
    <col min="12040" max="12287" width="8.88671875" style="30"/>
    <col min="12288" max="12288" width="49.109375" style="30" customWidth="1"/>
    <col min="12289" max="12289" width="19.33203125" style="30" bestFit="1" customWidth="1"/>
    <col min="12290" max="12290" width="15" style="30" customWidth="1"/>
    <col min="12291" max="12291" width="13.109375" style="30" customWidth="1"/>
    <col min="12292" max="12292" width="11.5546875" style="30" customWidth="1"/>
    <col min="12293" max="12293" width="10.33203125" style="30" customWidth="1"/>
    <col min="12294" max="12294" width="11.5546875" style="30" customWidth="1"/>
    <col min="12295" max="12295" width="61.88671875" style="30" customWidth="1"/>
    <col min="12296" max="12543" width="8.88671875" style="30"/>
    <col min="12544" max="12544" width="49.109375" style="30" customWidth="1"/>
    <col min="12545" max="12545" width="19.33203125" style="30" bestFit="1" customWidth="1"/>
    <col min="12546" max="12546" width="15" style="30" customWidth="1"/>
    <col min="12547" max="12547" width="13.109375" style="30" customWidth="1"/>
    <col min="12548" max="12548" width="11.5546875" style="30" customWidth="1"/>
    <col min="12549" max="12549" width="10.33203125" style="30" customWidth="1"/>
    <col min="12550" max="12550" width="11.5546875" style="30" customWidth="1"/>
    <col min="12551" max="12551" width="61.88671875" style="30" customWidth="1"/>
    <col min="12552" max="12799" width="8.88671875" style="30"/>
    <col min="12800" max="12800" width="49.109375" style="30" customWidth="1"/>
    <col min="12801" max="12801" width="19.33203125" style="30" bestFit="1" customWidth="1"/>
    <col min="12802" max="12802" width="15" style="30" customWidth="1"/>
    <col min="12803" max="12803" width="13.109375" style="30" customWidth="1"/>
    <col min="12804" max="12804" width="11.5546875" style="30" customWidth="1"/>
    <col min="12805" max="12805" width="10.33203125" style="30" customWidth="1"/>
    <col min="12806" max="12806" width="11.5546875" style="30" customWidth="1"/>
    <col min="12807" max="12807" width="61.88671875" style="30" customWidth="1"/>
    <col min="12808" max="13055" width="8.88671875" style="30"/>
    <col min="13056" max="13056" width="49.109375" style="30" customWidth="1"/>
    <col min="13057" max="13057" width="19.33203125" style="30" bestFit="1" customWidth="1"/>
    <col min="13058" max="13058" width="15" style="30" customWidth="1"/>
    <col min="13059" max="13059" width="13.109375" style="30" customWidth="1"/>
    <col min="13060" max="13060" width="11.5546875" style="30" customWidth="1"/>
    <col min="13061" max="13061" width="10.33203125" style="30" customWidth="1"/>
    <col min="13062" max="13062" width="11.5546875" style="30" customWidth="1"/>
    <col min="13063" max="13063" width="61.88671875" style="30" customWidth="1"/>
    <col min="13064" max="13311" width="8.88671875" style="30"/>
    <col min="13312" max="13312" width="49.109375" style="30" customWidth="1"/>
    <col min="13313" max="13313" width="19.33203125" style="30" bestFit="1" customWidth="1"/>
    <col min="13314" max="13314" width="15" style="30" customWidth="1"/>
    <col min="13315" max="13315" width="13.109375" style="30" customWidth="1"/>
    <col min="13316" max="13316" width="11.5546875" style="30" customWidth="1"/>
    <col min="13317" max="13317" width="10.33203125" style="30" customWidth="1"/>
    <col min="13318" max="13318" width="11.5546875" style="30" customWidth="1"/>
    <col min="13319" max="13319" width="61.88671875" style="30" customWidth="1"/>
    <col min="13320" max="13567" width="8.88671875" style="30"/>
    <col min="13568" max="13568" width="49.109375" style="30" customWidth="1"/>
    <col min="13569" max="13569" width="19.33203125" style="30" bestFit="1" customWidth="1"/>
    <col min="13570" max="13570" width="15" style="30" customWidth="1"/>
    <col min="13571" max="13571" width="13.109375" style="30" customWidth="1"/>
    <col min="13572" max="13572" width="11.5546875" style="30" customWidth="1"/>
    <col min="13573" max="13573" width="10.33203125" style="30" customWidth="1"/>
    <col min="13574" max="13574" width="11.5546875" style="30" customWidth="1"/>
    <col min="13575" max="13575" width="61.88671875" style="30" customWidth="1"/>
    <col min="13576" max="13823" width="8.88671875" style="30"/>
    <col min="13824" max="13824" width="49.109375" style="30" customWidth="1"/>
    <col min="13825" max="13825" width="19.33203125" style="30" bestFit="1" customWidth="1"/>
    <col min="13826" max="13826" width="15" style="30" customWidth="1"/>
    <col min="13827" max="13827" width="13.109375" style="30" customWidth="1"/>
    <col min="13828" max="13828" width="11.5546875" style="30" customWidth="1"/>
    <col min="13829" max="13829" width="10.33203125" style="30" customWidth="1"/>
    <col min="13830" max="13830" width="11.5546875" style="30" customWidth="1"/>
    <col min="13831" max="13831" width="61.88671875" style="30" customWidth="1"/>
    <col min="13832" max="14079" width="8.88671875" style="30"/>
    <col min="14080" max="14080" width="49.109375" style="30" customWidth="1"/>
    <col min="14081" max="14081" width="19.33203125" style="30" bestFit="1" customWidth="1"/>
    <col min="14082" max="14082" width="15" style="30" customWidth="1"/>
    <col min="14083" max="14083" width="13.109375" style="30" customWidth="1"/>
    <col min="14084" max="14084" width="11.5546875" style="30" customWidth="1"/>
    <col min="14085" max="14085" width="10.33203125" style="30" customWidth="1"/>
    <col min="14086" max="14086" width="11.5546875" style="30" customWidth="1"/>
    <col min="14087" max="14087" width="61.88671875" style="30" customWidth="1"/>
    <col min="14088" max="14335" width="8.88671875" style="30"/>
    <col min="14336" max="14336" width="49.109375" style="30" customWidth="1"/>
    <col min="14337" max="14337" width="19.33203125" style="30" bestFit="1" customWidth="1"/>
    <col min="14338" max="14338" width="15" style="30" customWidth="1"/>
    <col min="14339" max="14339" width="13.109375" style="30" customWidth="1"/>
    <col min="14340" max="14340" width="11.5546875" style="30" customWidth="1"/>
    <col min="14341" max="14341" width="10.33203125" style="30" customWidth="1"/>
    <col min="14342" max="14342" width="11.5546875" style="30" customWidth="1"/>
    <col min="14343" max="14343" width="61.88671875" style="30" customWidth="1"/>
    <col min="14344" max="14591" width="8.88671875" style="30"/>
    <col min="14592" max="14592" width="49.109375" style="30" customWidth="1"/>
    <col min="14593" max="14593" width="19.33203125" style="30" bestFit="1" customWidth="1"/>
    <col min="14594" max="14594" width="15" style="30" customWidth="1"/>
    <col min="14595" max="14595" width="13.109375" style="30" customWidth="1"/>
    <col min="14596" max="14596" width="11.5546875" style="30" customWidth="1"/>
    <col min="14597" max="14597" width="10.33203125" style="30" customWidth="1"/>
    <col min="14598" max="14598" width="11.5546875" style="30" customWidth="1"/>
    <col min="14599" max="14599" width="61.88671875" style="30" customWidth="1"/>
    <col min="14600" max="14847" width="8.88671875" style="30"/>
    <col min="14848" max="14848" width="49.109375" style="30" customWidth="1"/>
    <col min="14849" max="14849" width="19.33203125" style="30" bestFit="1" customWidth="1"/>
    <col min="14850" max="14850" width="15" style="30" customWidth="1"/>
    <col min="14851" max="14851" width="13.109375" style="30" customWidth="1"/>
    <col min="14852" max="14852" width="11.5546875" style="30" customWidth="1"/>
    <col min="14853" max="14853" width="10.33203125" style="30" customWidth="1"/>
    <col min="14854" max="14854" width="11.5546875" style="30" customWidth="1"/>
    <col min="14855" max="14855" width="61.88671875" style="30" customWidth="1"/>
    <col min="14856" max="15103" width="8.88671875" style="30"/>
    <col min="15104" max="15104" width="49.109375" style="30" customWidth="1"/>
    <col min="15105" max="15105" width="19.33203125" style="30" bestFit="1" customWidth="1"/>
    <col min="15106" max="15106" width="15" style="30" customWidth="1"/>
    <col min="15107" max="15107" width="13.109375" style="30" customWidth="1"/>
    <col min="15108" max="15108" width="11.5546875" style="30" customWidth="1"/>
    <col min="15109" max="15109" width="10.33203125" style="30" customWidth="1"/>
    <col min="15110" max="15110" width="11.5546875" style="30" customWidth="1"/>
    <col min="15111" max="15111" width="61.88671875" style="30" customWidth="1"/>
    <col min="15112" max="15359" width="8.88671875" style="30"/>
    <col min="15360" max="15360" width="49.109375" style="30" customWidth="1"/>
    <col min="15361" max="15361" width="19.33203125" style="30" bestFit="1" customWidth="1"/>
    <col min="15362" max="15362" width="15" style="30" customWidth="1"/>
    <col min="15363" max="15363" width="13.109375" style="30" customWidth="1"/>
    <col min="15364" max="15364" width="11.5546875" style="30" customWidth="1"/>
    <col min="15365" max="15365" width="10.33203125" style="30" customWidth="1"/>
    <col min="15366" max="15366" width="11.5546875" style="30" customWidth="1"/>
    <col min="15367" max="15367" width="61.88671875" style="30" customWidth="1"/>
    <col min="15368" max="15615" width="8.88671875" style="30"/>
    <col min="15616" max="15616" width="49.109375" style="30" customWidth="1"/>
    <col min="15617" max="15617" width="19.33203125" style="30" bestFit="1" customWidth="1"/>
    <col min="15618" max="15618" width="15" style="30" customWidth="1"/>
    <col min="15619" max="15619" width="13.109375" style="30" customWidth="1"/>
    <col min="15620" max="15620" width="11.5546875" style="30" customWidth="1"/>
    <col min="15621" max="15621" width="10.33203125" style="30" customWidth="1"/>
    <col min="15622" max="15622" width="11.5546875" style="30" customWidth="1"/>
    <col min="15623" max="15623" width="61.88671875" style="30" customWidth="1"/>
    <col min="15624" max="15871" width="8.88671875" style="30"/>
    <col min="15872" max="15872" width="49.109375" style="30" customWidth="1"/>
    <col min="15873" max="15873" width="19.33203125" style="30" bestFit="1" customWidth="1"/>
    <col min="15874" max="15874" width="15" style="30" customWidth="1"/>
    <col min="15875" max="15875" width="13.109375" style="30" customWidth="1"/>
    <col min="15876" max="15876" width="11.5546875" style="30" customWidth="1"/>
    <col min="15877" max="15877" width="10.33203125" style="30" customWidth="1"/>
    <col min="15878" max="15878" width="11.5546875" style="30" customWidth="1"/>
    <col min="15879" max="15879" width="61.88671875" style="30" customWidth="1"/>
    <col min="15880" max="16127" width="8.88671875" style="30"/>
    <col min="16128" max="16128" width="49.109375" style="30" customWidth="1"/>
    <col min="16129" max="16129" width="19.33203125" style="30" bestFit="1" customWidth="1"/>
    <col min="16130" max="16130" width="15" style="30" customWidth="1"/>
    <col min="16131" max="16131" width="13.109375" style="30" customWidth="1"/>
    <col min="16132" max="16132" width="11.5546875" style="30" customWidth="1"/>
    <col min="16133" max="16133" width="10.33203125" style="30" customWidth="1"/>
    <col min="16134" max="16134" width="11.5546875" style="30" customWidth="1"/>
    <col min="16135" max="16135" width="61.88671875" style="30" customWidth="1"/>
    <col min="16136" max="16384" width="8.88671875" style="30"/>
  </cols>
  <sheetData>
    <row r="4" spans="1:7" x14ac:dyDescent="0.3">
      <c r="A4" s="303" t="s">
        <v>585</v>
      </c>
      <c r="B4" s="303"/>
      <c r="C4" s="303"/>
      <c r="D4" s="303"/>
      <c r="E4" s="303"/>
      <c r="F4" s="303"/>
    </row>
    <row r="5" spans="1:7" ht="15" thickBot="1" x14ac:dyDescent="0.35"/>
    <row r="6" spans="1:7" x14ac:dyDescent="0.3">
      <c r="A6" s="304" t="s">
        <v>129</v>
      </c>
      <c r="B6" s="305"/>
      <c r="C6" s="305"/>
      <c r="D6" s="305"/>
      <c r="E6" s="305"/>
      <c r="F6" s="306"/>
    </row>
    <row r="7" spans="1:7" x14ac:dyDescent="0.3">
      <c r="A7" s="48"/>
      <c r="B7" s="55"/>
      <c r="C7" s="56"/>
      <c r="D7" s="307"/>
      <c r="E7" s="308"/>
      <c r="F7" s="309"/>
    </row>
    <row r="8" spans="1:7" ht="53.4" x14ac:dyDescent="0.3">
      <c r="A8" s="51" t="s">
        <v>76</v>
      </c>
      <c r="B8" s="34" t="s">
        <v>77</v>
      </c>
      <c r="C8" s="186" t="s">
        <v>78</v>
      </c>
      <c r="D8" s="313"/>
      <c r="E8" s="314"/>
      <c r="F8" s="315"/>
    </row>
    <row r="9" spans="1:7" x14ac:dyDescent="0.3">
      <c r="A9" s="33" t="s">
        <v>79</v>
      </c>
      <c r="B9" s="34" t="s">
        <v>80</v>
      </c>
      <c r="C9" s="2">
        <v>0.04</v>
      </c>
      <c r="D9" s="313"/>
      <c r="E9" s="314"/>
      <c r="F9" s="315"/>
    </row>
    <row r="10" spans="1:7" x14ac:dyDescent="0.3">
      <c r="A10" s="33" t="s">
        <v>81</v>
      </c>
      <c r="B10" s="34" t="s">
        <v>82</v>
      </c>
      <c r="C10" s="2">
        <v>1.2699999999999999E-2</v>
      </c>
      <c r="D10" s="313"/>
      <c r="E10" s="314"/>
      <c r="F10" s="315"/>
    </row>
    <row r="11" spans="1:7" x14ac:dyDescent="0.3">
      <c r="A11" s="47" t="s">
        <v>83</v>
      </c>
      <c r="B11" s="34" t="s">
        <v>84</v>
      </c>
      <c r="C11" s="2">
        <v>8.0000000000000002E-3</v>
      </c>
      <c r="D11" s="313"/>
      <c r="E11" s="314"/>
      <c r="F11" s="315"/>
    </row>
    <row r="12" spans="1:7" x14ac:dyDescent="0.3">
      <c r="A12" s="45" t="s">
        <v>85</v>
      </c>
      <c r="B12" s="46" t="s">
        <v>86</v>
      </c>
      <c r="C12" s="3">
        <v>1.2699999999999999E-2</v>
      </c>
      <c r="D12" s="313"/>
      <c r="E12" s="314"/>
      <c r="F12" s="315"/>
    </row>
    <row r="13" spans="1:7" collapsed="1" x14ac:dyDescent="0.3">
      <c r="A13" s="33" t="s">
        <v>87</v>
      </c>
      <c r="B13" s="34" t="s">
        <v>88</v>
      </c>
      <c r="C13" s="289">
        <f>SUM(C14:C17)</f>
        <v>5.6499999999999995E-2</v>
      </c>
      <c r="D13" s="313"/>
      <c r="E13" s="314"/>
      <c r="F13" s="315"/>
    </row>
    <row r="14" spans="1:7" outlineLevel="1" x14ac:dyDescent="0.3">
      <c r="A14" s="36" t="s">
        <v>89</v>
      </c>
      <c r="B14" s="37" t="s">
        <v>35</v>
      </c>
      <c r="C14" s="187">
        <v>0.02</v>
      </c>
      <c r="D14" s="310" t="s">
        <v>90</v>
      </c>
      <c r="E14" s="311"/>
      <c r="F14" s="312"/>
    </row>
    <row r="15" spans="1:7" ht="28.8" outlineLevel="1" x14ac:dyDescent="0.3">
      <c r="A15" s="39" t="s">
        <v>91</v>
      </c>
      <c r="B15" s="52" t="s">
        <v>33</v>
      </c>
      <c r="C15" s="41">
        <v>6.4999999999999997E-3</v>
      </c>
      <c r="D15" s="310" t="s">
        <v>92</v>
      </c>
      <c r="E15" s="311"/>
      <c r="F15" s="312"/>
      <c r="G15" s="53"/>
    </row>
    <row r="16" spans="1:7" ht="24.9" customHeight="1" outlineLevel="1" x14ac:dyDescent="0.3">
      <c r="A16" s="39" t="s">
        <v>93</v>
      </c>
      <c r="B16" s="52" t="s">
        <v>34</v>
      </c>
      <c r="C16" s="41">
        <v>0.03</v>
      </c>
      <c r="D16" s="310" t="s">
        <v>94</v>
      </c>
      <c r="E16" s="311"/>
      <c r="F16" s="312"/>
      <c r="G16" s="54"/>
    </row>
    <row r="17" spans="1:7" ht="24.9" customHeight="1" outlineLevel="1" x14ac:dyDescent="0.3">
      <c r="A17" s="42" t="s">
        <v>95</v>
      </c>
      <c r="B17" s="43" t="s">
        <v>36</v>
      </c>
      <c r="C17" s="44">
        <v>0</v>
      </c>
      <c r="D17" s="310" t="s">
        <v>96</v>
      </c>
      <c r="E17" s="311"/>
      <c r="F17" s="312"/>
      <c r="G17" s="54"/>
    </row>
    <row r="18" spans="1:7" ht="15" thickBot="1" x14ac:dyDescent="0.35">
      <c r="A18" s="31" t="s">
        <v>97</v>
      </c>
      <c r="B18" s="32" t="s">
        <v>75</v>
      </c>
      <c r="C18" s="4">
        <v>7.3999999999999996E-2</v>
      </c>
      <c r="D18" s="313"/>
      <c r="E18" s="314"/>
      <c r="F18" s="315"/>
    </row>
    <row r="19" spans="1:7" s="29" customFormat="1" ht="30" thickTop="1" thickBot="1" x14ac:dyDescent="0.3">
      <c r="A19" s="27" t="s">
        <v>98</v>
      </c>
      <c r="B19" s="28" t="s">
        <v>99</v>
      </c>
      <c r="C19" s="5">
        <f>(((1+C9+C11+C12)*(1+C10)*(1+C18))/(1-C13))-1</f>
        <v>0.22274460610492852</v>
      </c>
      <c r="D19" s="316"/>
      <c r="E19" s="317"/>
      <c r="F19" s="318"/>
    </row>
    <row r="22" spans="1:7" ht="15" thickBot="1" x14ac:dyDescent="0.35"/>
    <row r="23" spans="1:7" x14ac:dyDescent="0.3">
      <c r="A23" s="304" t="s">
        <v>130</v>
      </c>
      <c r="B23" s="305"/>
      <c r="C23" s="305"/>
      <c r="D23" s="305"/>
      <c r="E23" s="305"/>
      <c r="F23" s="306"/>
    </row>
    <row r="24" spans="1:7" x14ac:dyDescent="0.3">
      <c r="A24" s="48"/>
      <c r="B24" s="49"/>
      <c r="C24" s="50"/>
      <c r="D24" s="307"/>
      <c r="E24" s="308"/>
      <c r="F24" s="309"/>
    </row>
    <row r="25" spans="1:7" ht="53.4" x14ac:dyDescent="0.3">
      <c r="A25" s="51" t="s">
        <v>76</v>
      </c>
      <c r="B25" s="34" t="s">
        <v>77</v>
      </c>
      <c r="C25" s="186" t="s">
        <v>78</v>
      </c>
      <c r="D25" s="313"/>
      <c r="E25" s="314"/>
      <c r="F25" s="315"/>
    </row>
    <row r="26" spans="1:7" x14ac:dyDescent="0.3">
      <c r="A26" s="33" t="s">
        <v>79</v>
      </c>
      <c r="B26" s="34" t="s">
        <v>80</v>
      </c>
      <c r="C26" s="2">
        <v>3.4500000000000003E-2</v>
      </c>
      <c r="D26" s="313"/>
      <c r="E26" s="314"/>
      <c r="F26" s="315"/>
    </row>
    <row r="27" spans="1:7" x14ac:dyDescent="0.3">
      <c r="A27" s="33" t="s">
        <v>81</v>
      </c>
      <c r="B27" s="34" t="s">
        <v>82</v>
      </c>
      <c r="C27" s="2">
        <v>8.5000000000000006E-3</v>
      </c>
      <c r="D27" s="313"/>
      <c r="E27" s="314"/>
      <c r="F27" s="315"/>
    </row>
    <row r="28" spans="1:7" x14ac:dyDescent="0.3">
      <c r="A28" s="47" t="s">
        <v>83</v>
      </c>
      <c r="B28" s="34" t="s">
        <v>84</v>
      </c>
      <c r="C28" s="2">
        <v>4.7999999999999996E-3</v>
      </c>
      <c r="D28" s="313"/>
      <c r="E28" s="314"/>
      <c r="F28" s="315"/>
    </row>
    <row r="29" spans="1:7" x14ac:dyDescent="0.3">
      <c r="A29" s="45" t="s">
        <v>85</v>
      </c>
      <c r="B29" s="46" t="s">
        <v>86</v>
      </c>
      <c r="C29" s="3">
        <v>8.5000000000000006E-3</v>
      </c>
      <c r="D29" s="313"/>
      <c r="E29" s="314"/>
      <c r="F29" s="315"/>
    </row>
    <row r="30" spans="1:7" x14ac:dyDescent="0.3">
      <c r="A30" s="33" t="s">
        <v>87</v>
      </c>
      <c r="B30" s="34" t="s">
        <v>88</v>
      </c>
      <c r="C30" s="35">
        <f>SUM(C31:C33)</f>
        <v>3.6499999999999998E-2</v>
      </c>
      <c r="D30" s="313"/>
      <c r="E30" s="314"/>
      <c r="F30" s="315"/>
    </row>
    <row r="31" spans="1:7" outlineLevel="1" x14ac:dyDescent="0.3">
      <c r="A31" s="36" t="s">
        <v>89</v>
      </c>
      <c r="B31" s="37" t="s">
        <v>35</v>
      </c>
      <c r="C31" s="38">
        <v>0</v>
      </c>
      <c r="D31" s="310" t="s">
        <v>90</v>
      </c>
      <c r="E31" s="311"/>
      <c r="F31" s="312"/>
    </row>
    <row r="32" spans="1:7" ht="28.8" outlineLevel="1" x14ac:dyDescent="0.3">
      <c r="A32" s="39" t="s">
        <v>91</v>
      </c>
      <c r="B32" s="40" t="s">
        <v>33</v>
      </c>
      <c r="C32" s="41">
        <v>6.4999999999999997E-3</v>
      </c>
      <c r="D32" s="310" t="s">
        <v>92</v>
      </c>
      <c r="E32" s="311"/>
      <c r="F32" s="312"/>
    </row>
    <row r="33" spans="1:7" ht="30" customHeight="1" outlineLevel="1" x14ac:dyDescent="0.3">
      <c r="A33" s="42" t="s">
        <v>93</v>
      </c>
      <c r="B33" s="43" t="s">
        <v>34</v>
      </c>
      <c r="C33" s="44">
        <v>0.03</v>
      </c>
      <c r="D33" s="310" t="s">
        <v>94</v>
      </c>
      <c r="E33" s="311"/>
      <c r="F33" s="312"/>
    </row>
    <row r="34" spans="1:7" ht="15" thickBot="1" x14ac:dyDescent="0.35">
      <c r="A34" s="31" t="s">
        <v>97</v>
      </c>
      <c r="B34" s="32" t="s">
        <v>75</v>
      </c>
      <c r="C34" s="4">
        <v>5.11E-2</v>
      </c>
      <c r="D34" s="313"/>
      <c r="E34" s="314"/>
      <c r="F34" s="315"/>
    </row>
    <row r="35" spans="1:7" ht="30" thickTop="1" thickBot="1" x14ac:dyDescent="0.35">
      <c r="A35" s="27" t="s">
        <v>98</v>
      </c>
      <c r="B35" s="28" t="s">
        <v>99</v>
      </c>
      <c r="C35" s="5">
        <f>(((1+C26+C28+C29)*(1+C27)*(1+C34))/(1-C30))-1</f>
        <v>0.15278047942916406</v>
      </c>
      <c r="D35" s="313"/>
      <c r="E35" s="314"/>
      <c r="F35" s="315"/>
      <c r="G35" s="29"/>
    </row>
  </sheetData>
  <mergeCells count="28">
    <mergeCell ref="D35:F35"/>
    <mergeCell ref="D27:F27"/>
    <mergeCell ref="D28:F28"/>
    <mergeCell ref="D29:F29"/>
    <mergeCell ref="D30:F30"/>
    <mergeCell ref="D34:F34"/>
    <mergeCell ref="D33:F33"/>
    <mergeCell ref="D31:F31"/>
    <mergeCell ref="D32:F32"/>
    <mergeCell ref="D18:F18"/>
    <mergeCell ref="D19:F19"/>
    <mergeCell ref="D25:F25"/>
    <mergeCell ref="D26:F26"/>
    <mergeCell ref="D17:F17"/>
    <mergeCell ref="A23:F23"/>
    <mergeCell ref="D24:F24"/>
    <mergeCell ref="D16:F16"/>
    <mergeCell ref="D8:F8"/>
    <mergeCell ref="D9:F9"/>
    <mergeCell ref="D10:F10"/>
    <mergeCell ref="D11:F11"/>
    <mergeCell ref="D12:F12"/>
    <mergeCell ref="D13:F13"/>
    <mergeCell ref="A4:F4"/>
    <mergeCell ref="A6:F6"/>
    <mergeCell ref="D7:F7"/>
    <mergeCell ref="D14:F14"/>
    <mergeCell ref="D15:F1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33131-247A-463F-92DB-8E333D261C6C}">
  <dimension ref="A1:G143"/>
  <sheetViews>
    <sheetView showGridLines="0" topLeftCell="A48" workbookViewId="0">
      <selection activeCell="C113" sqref="C113"/>
    </sheetView>
  </sheetViews>
  <sheetFormatPr defaultRowHeight="13.2" x14ac:dyDescent="0.3"/>
  <cols>
    <col min="1" max="1" width="6.109375" style="77" bestFit="1" customWidth="1"/>
    <col min="2" max="2" width="70.6640625" style="62" customWidth="1"/>
    <col min="3" max="3" width="14.6640625" style="77" customWidth="1"/>
    <col min="4" max="4" width="21.44140625" style="166" bestFit="1" customWidth="1"/>
    <col min="5" max="5" width="28.33203125" style="62" customWidth="1"/>
    <col min="6" max="6" width="31.44140625" style="62" customWidth="1"/>
    <col min="7" max="7" width="20.44140625" style="77" customWidth="1"/>
    <col min="8" max="222" width="9.109375" style="62" bestFit="1" customWidth="1"/>
    <col min="223" max="223" width="1.88671875" style="62" customWidth="1"/>
    <col min="224" max="224" width="7.33203125" style="62" customWidth="1"/>
    <col min="225" max="225" width="9.88671875" style="62" customWidth="1"/>
    <col min="226" max="226" width="12.6640625" style="62" customWidth="1"/>
    <col min="227" max="227" width="11.109375" style="62" customWidth="1"/>
    <col min="228" max="228" width="10.88671875" style="62" customWidth="1"/>
    <col min="229" max="229" width="11.5546875" style="62" customWidth="1"/>
    <col min="230" max="230" width="13.44140625" style="62" customWidth="1"/>
    <col min="231" max="231" width="11.109375" style="62" customWidth="1"/>
    <col min="232" max="232" width="11.33203125" style="62" bestFit="1" customWidth="1"/>
    <col min="233" max="233" width="11.5546875" style="62" customWidth="1"/>
    <col min="234" max="234" width="8.88671875" style="62"/>
    <col min="235" max="235" width="9.88671875" style="62" bestFit="1" customWidth="1"/>
    <col min="236" max="236" width="9.109375" style="62" bestFit="1" customWidth="1"/>
    <col min="237" max="237" width="9.5546875" style="62" bestFit="1" customWidth="1"/>
    <col min="238" max="478" width="9.109375" style="62" bestFit="1" customWidth="1"/>
    <col min="479" max="479" width="1.88671875" style="62" customWidth="1"/>
    <col min="480" max="480" width="7.33203125" style="62" customWidth="1"/>
    <col min="481" max="481" width="9.88671875" style="62" customWidth="1"/>
    <col min="482" max="482" width="12.6640625" style="62" customWidth="1"/>
    <col min="483" max="483" width="11.109375" style="62" customWidth="1"/>
    <col min="484" max="484" width="10.88671875" style="62" customWidth="1"/>
    <col min="485" max="485" width="11.5546875" style="62" customWidth="1"/>
    <col min="486" max="486" width="13.44140625" style="62" customWidth="1"/>
    <col min="487" max="487" width="11.109375" style="62" customWidth="1"/>
    <col min="488" max="488" width="11.33203125" style="62" bestFit="1" customWidth="1"/>
    <col min="489" max="489" width="11.5546875" style="62" customWidth="1"/>
    <col min="490" max="490" width="8.88671875" style="62"/>
    <col min="491" max="491" width="9.88671875" style="62" bestFit="1" customWidth="1"/>
    <col min="492" max="492" width="9.109375" style="62" bestFit="1" customWidth="1"/>
    <col min="493" max="493" width="9.5546875" style="62" bestFit="1" customWidth="1"/>
    <col min="494" max="734" width="9.109375" style="62" bestFit="1" customWidth="1"/>
    <col min="735" max="735" width="1.88671875" style="62" customWidth="1"/>
    <col min="736" max="736" width="7.33203125" style="62" customWidth="1"/>
    <col min="737" max="737" width="9.88671875" style="62" customWidth="1"/>
    <col min="738" max="738" width="12.6640625" style="62" customWidth="1"/>
    <col min="739" max="739" width="11.109375" style="62" customWidth="1"/>
    <col min="740" max="740" width="10.88671875" style="62" customWidth="1"/>
    <col min="741" max="741" width="11.5546875" style="62" customWidth="1"/>
    <col min="742" max="742" width="13.44140625" style="62" customWidth="1"/>
    <col min="743" max="743" width="11.109375" style="62" customWidth="1"/>
    <col min="744" max="744" width="11.33203125" style="62" bestFit="1" customWidth="1"/>
    <col min="745" max="745" width="11.5546875" style="62" customWidth="1"/>
    <col min="746" max="746" width="8.88671875" style="62"/>
    <col min="747" max="747" width="9.88671875" style="62" bestFit="1" customWidth="1"/>
    <col min="748" max="748" width="9.109375" style="62" bestFit="1" customWidth="1"/>
    <col min="749" max="749" width="9.5546875" style="62" bestFit="1" customWidth="1"/>
    <col min="750" max="990" width="9.109375" style="62" bestFit="1" customWidth="1"/>
    <col min="991" max="991" width="1.88671875" style="62" customWidth="1"/>
    <col min="992" max="992" width="7.33203125" style="62" customWidth="1"/>
    <col min="993" max="993" width="9.88671875" style="62" customWidth="1"/>
    <col min="994" max="994" width="12.6640625" style="62" customWidth="1"/>
    <col min="995" max="995" width="11.109375" style="62" customWidth="1"/>
    <col min="996" max="996" width="10.88671875" style="62" customWidth="1"/>
    <col min="997" max="997" width="11.5546875" style="62" customWidth="1"/>
    <col min="998" max="998" width="13.44140625" style="62" customWidth="1"/>
    <col min="999" max="999" width="11.109375" style="62" customWidth="1"/>
    <col min="1000" max="1000" width="11.33203125" style="62" bestFit="1" customWidth="1"/>
    <col min="1001" max="1001" width="11.5546875" style="62" customWidth="1"/>
    <col min="1002" max="1002" width="8.88671875" style="62"/>
    <col min="1003" max="1003" width="9.88671875" style="62" bestFit="1" customWidth="1"/>
    <col min="1004" max="1004" width="9.109375" style="62" bestFit="1" customWidth="1"/>
    <col min="1005" max="1005" width="9.5546875" style="62" bestFit="1" customWidth="1"/>
    <col min="1006" max="1246" width="9.109375" style="62" bestFit="1" customWidth="1"/>
    <col min="1247" max="1247" width="1.88671875" style="62" customWidth="1"/>
    <col min="1248" max="1248" width="7.33203125" style="62" customWidth="1"/>
    <col min="1249" max="1249" width="9.88671875" style="62" customWidth="1"/>
    <col min="1250" max="1250" width="12.6640625" style="62" customWidth="1"/>
    <col min="1251" max="1251" width="11.109375" style="62" customWidth="1"/>
    <col min="1252" max="1252" width="10.88671875" style="62" customWidth="1"/>
    <col min="1253" max="1253" width="11.5546875" style="62" customWidth="1"/>
    <col min="1254" max="1254" width="13.44140625" style="62" customWidth="1"/>
    <col min="1255" max="1255" width="11.109375" style="62" customWidth="1"/>
    <col min="1256" max="1256" width="11.33203125" style="62" bestFit="1" customWidth="1"/>
    <col min="1257" max="1257" width="11.5546875" style="62" customWidth="1"/>
    <col min="1258" max="1258" width="8.88671875" style="62"/>
    <col min="1259" max="1259" width="9.88671875" style="62" bestFit="1" customWidth="1"/>
    <col min="1260" max="1260" width="9.109375" style="62" bestFit="1" customWidth="1"/>
    <col min="1261" max="1261" width="9.5546875" style="62" bestFit="1" customWidth="1"/>
    <col min="1262" max="1502" width="9.109375" style="62" bestFit="1" customWidth="1"/>
    <col min="1503" max="1503" width="1.88671875" style="62" customWidth="1"/>
    <col min="1504" max="1504" width="7.33203125" style="62" customWidth="1"/>
    <col min="1505" max="1505" width="9.88671875" style="62" customWidth="1"/>
    <col min="1506" max="1506" width="12.6640625" style="62" customWidth="1"/>
    <col min="1507" max="1507" width="11.109375" style="62" customWidth="1"/>
    <col min="1508" max="1508" width="10.88671875" style="62" customWidth="1"/>
    <col min="1509" max="1509" width="11.5546875" style="62" customWidth="1"/>
    <col min="1510" max="1510" width="13.44140625" style="62" customWidth="1"/>
    <col min="1511" max="1511" width="11.109375" style="62" customWidth="1"/>
    <col min="1512" max="1512" width="11.33203125" style="62" bestFit="1" customWidth="1"/>
    <col min="1513" max="1513" width="11.5546875" style="62" customWidth="1"/>
    <col min="1514" max="1514" width="8.88671875" style="62"/>
    <col min="1515" max="1515" width="9.88671875" style="62" bestFit="1" customWidth="1"/>
    <col min="1516" max="1516" width="9.109375" style="62" bestFit="1" customWidth="1"/>
    <col min="1517" max="1517" width="9.5546875" style="62" bestFit="1" customWidth="1"/>
    <col min="1518" max="1758" width="9.109375" style="62" bestFit="1" customWidth="1"/>
    <col min="1759" max="1759" width="1.88671875" style="62" customWidth="1"/>
    <col min="1760" max="1760" width="7.33203125" style="62" customWidth="1"/>
    <col min="1761" max="1761" width="9.88671875" style="62" customWidth="1"/>
    <col min="1762" max="1762" width="12.6640625" style="62" customWidth="1"/>
    <col min="1763" max="1763" width="11.109375" style="62" customWidth="1"/>
    <col min="1764" max="1764" width="10.88671875" style="62" customWidth="1"/>
    <col min="1765" max="1765" width="11.5546875" style="62" customWidth="1"/>
    <col min="1766" max="1766" width="13.44140625" style="62" customWidth="1"/>
    <col min="1767" max="1767" width="11.109375" style="62" customWidth="1"/>
    <col min="1768" max="1768" width="11.33203125" style="62" bestFit="1" customWidth="1"/>
    <col min="1769" max="1769" width="11.5546875" style="62" customWidth="1"/>
    <col min="1770" max="1770" width="8.88671875" style="62"/>
    <col min="1771" max="1771" width="9.88671875" style="62" bestFit="1" customWidth="1"/>
    <col min="1772" max="1772" width="9.109375" style="62" bestFit="1" customWidth="1"/>
    <col min="1773" max="1773" width="9.5546875" style="62" bestFit="1" customWidth="1"/>
    <col min="1774" max="2014" width="9.109375" style="62" bestFit="1" customWidth="1"/>
    <col min="2015" max="2015" width="1.88671875" style="62" customWidth="1"/>
    <col min="2016" max="2016" width="7.33203125" style="62" customWidth="1"/>
    <col min="2017" max="2017" width="9.88671875" style="62" customWidth="1"/>
    <col min="2018" max="2018" width="12.6640625" style="62" customWidth="1"/>
    <col min="2019" max="2019" width="11.109375" style="62" customWidth="1"/>
    <col min="2020" max="2020" width="10.88671875" style="62" customWidth="1"/>
    <col min="2021" max="2021" width="11.5546875" style="62" customWidth="1"/>
    <col min="2022" max="2022" width="13.44140625" style="62" customWidth="1"/>
    <col min="2023" max="2023" width="11.109375" style="62" customWidth="1"/>
    <col min="2024" max="2024" width="11.33203125" style="62" bestFit="1" customWidth="1"/>
    <col min="2025" max="2025" width="11.5546875" style="62" customWidth="1"/>
    <col min="2026" max="2026" width="8.88671875" style="62"/>
    <col min="2027" max="2027" width="9.88671875" style="62" bestFit="1" customWidth="1"/>
    <col min="2028" max="2028" width="9.109375" style="62" bestFit="1" customWidth="1"/>
    <col min="2029" max="2029" width="9.5546875" style="62" bestFit="1" customWidth="1"/>
    <col min="2030" max="2270" width="9.109375" style="62" bestFit="1" customWidth="1"/>
    <col min="2271" max="2271" width="1.88671875" style="62" customWidth="1"/>
    <col min="2272" max="2272" width="7.33203125" style="62" customWidth="1"/>
    <col min="2273" max="2273" width="9.88671875" style="62" customWidth="1"/>
    <col min="2274" max="2274" width="12.6640625" style="62" customWidth="1"/>
    <col min="2275" max="2275" width="11.109375" style="62" customWidth="1"/>
    <col min="2276" max="2276" width="10.88671875" style="62" customWidth="1"/>
    <col min="2277" max="2277" width="11.5546875" style="62" customWidth="1"/>
    <col min="2278" max="2278" width="13.44140625" style="62" customWidth="1"/>
    <col min="2279" max="2279" width="11.109375" style="62" customWidth="1"/>
    <col min="2280" max="2280" width="11.33203125" style="62" bestFit="1" customWidth="1"/>
    <col min="2281" max="2281" width="11.5546875" style="62" customWidth="1"/>
    <col min="2282" max="2282" width="8.88671875" style="62"/>
    <col min="2283" max="2283" width="9.88671875" style="62" bestFit="1" customWidth="1"/>
    <col min="2284" max="2284" width="9.109375" style="62" bestFit="1" customWidth="1"/>
    <col min="2285" max="2285" width="9.5546875" style="62" bestFit="1" customWidth="1"/>
    <col min="2286" max="2526" width="9.109375" style="62" bestFit="1" customWidth="1"/>
    <col min="2527" max="2527" width="1.88671875" style="62" customWidth="1"/>
    <col min="2528" max="2528" width="7.33203125" style="62" customWidth="1"/>
    <col min="2529" max="2529" width="9.88671875" style="62" customWidth="1"/>
    <col min="2530" max="2530" width="12.6640625" style="62" customWidth="1"/>
    <col min="2531" max="2531" width="11.109375" style="62" customWidth="1"/>
    <col min="2532" max="2532" width="10.88671875" style="62" customWidth="1"/>
    <col min="2533" max="2533" width="11.5546875" style="62" customWidth="1"/>
    <col min="2534" max="2534" width="13.44140625" style="62" customWidth="1"/>
    <col min="2535" max="2535" width="11.109375" style="62" customWidth="1"/>
    <col min="2536" max="2536" width="11.33203125" style="62" bestFit="1" customWidth="1"/>
    <col min="2537" max="2537" width="11.5546875" style="62" customWidth="1"/>
    <col min="2538" max="2538" width="8.88671875" style="62"/>
    <col min="2539" max="2539" width="9.88671875" style="62" bestFit="1" customWidth="1"/>
    <col min="2540" max="2540" width="9.109375" style="62" bestFit="1" customWidth="1"/>
    <col min="2541" max="2541" width="9.5546875" style="62" bestFit="1" customWidth="1"/>
    <col min="2542" max="2782" width="9.109375" style="62" bestFit="1" customWidth="1"/>
    <col min="2783" max="2783" width="1.88671875" style="62" customWidth="1"/>
    <col min="2784" max="2784" width="7.33203125" style="62" customWidth="1"/>
    <col min="2785" max="2785" width="9.88671875" style="62" customWidth="1"/>
    <col min="2786" max="2786" width="12.6640625" style="62" customWidth="1"/>
    <col min="2787" max="2787" width="11.109375" style="62" customWidth="1"/>
    <col min="2788" max="2788" width="10.88671875" style="62" customWidth="1"/>
    <col min="2789" max="2789" width="11.5546875" style="62" customWidth="1"/>
    <col min="2790" max="2790" width="13.44140625" style="62" customWidth="1"/>
    <col min="2791" max="2791" width="11.109375" style="62" customWidth="1"/>
    <col min="2792" max="2792" width="11.33203125" style="62" bestFit="1" customWidth="1"/>
    <col min="2793" max="2793" width="11.5546875" style="62" customWidth="1"/>
    <col min="2794" max="2794" width="8.88671875" style="62"/>
    <col min="2795" max="2795" width="9.88671875" style="62" bestFit="1" customWidth="1"/>
    <col min="2796" max="2796" width="9.109375" style="62" bestFit="1" customWidth="1"/>
    <col min="2797" max="2797" width="9.5546875" style="62" bestFit="1" customWidth="1"/>
    <col min="2798" max="3038" width="9.109375" style="62" bestFit="1" customWidth="1"/>
    <col min="3039" max="3039" width="1.88671875" style="62" customWidth="1"/>
    <col min="3040" max="3040" width="7.33203125" style="62" customWidth="1"/>
    <col min="3041" max="3041" width="9.88671875" style="62" customWidth="1"/>
    <col min="3042" max="3042" width="12.6640625" style="62" customWidth="1"/>
    <col min="3043" max="3043" width="11.109375" style="62" customWidth="1"/>
    <col min="3044" max="3044" width="10.88671875" style="62" customWidth="1"/>
    <col min="3045" max="3045" width="11.5546875" style="62" customWidth="1"/>
    <col min="3046" max="3046" width="13.44140625" style="62" customWidth="1"/>
    <col min="3047" max="3047" width="11.109375" style="62" customWidth="1"/>
    <col min="3048" max="3048" width="11.33203125" style="62" bestFit="1" customWidth="1"/>
    <col min="3049" max="3049" width="11.5546875" style="62" customWidth="1"/>
    <col min="3050" max="3050" width="8.88671875" style="62"/>
    <col min="3051" max="3051" width="9.88671875" style="62" bestFit="1" customWidth="1"/>
    <col min="3052" max="3052" width="9.109375" style="62" bestFit="1" customWidth="1"/>
    <col min="3053" max="3053" width="9.5546875" style="62" bestFit="1" customWidth="1"/>
    <col min="3054" max="3294" width="9.109375" style="62" bestFit="1" customWidth="1"/>
    <col min="3295" max="3295" width="1.88671875" style="62" customWidth="1"/>
    <col min="3296" max="3296" width="7.33203125" style="62" customWidth="1"/>
    <col min="3297" max="3297" width="9.88671875" style="62" customWidth="1"/>
    <col min="3298" max="3298" width="12.6640625" style="62" customWidth="1"/>
    <col min="3299" max="3299" width="11.109375" style="62" customWidth="1"/>
    <col min="3300" max="3300" width="10.88671875" style="62" customWidth="1"/>
    <col min="3301" max="3301" width="11.5546875" style="62" customWidth="1"/>
    <col min="3302" max="3302" width="13.44140625" style="62" customWidth="1"/>
    <col min="3303" max="3303" width="11.109375" style="62" customWidth="1"/>
    <col min="3304" max="3304" width="11.33203125" style="62" bestFit="1" customWidth="1"/>
    <col min="3305" max="3305" width="11.5546875" style="62" customWidth="1"/>
    <col min="3306" max="3306" width="8.88671875" style="62"/>
    <col min="3307" max="3307" width="9.88671875" style="62" bestFit="1" customWidth="1"/>
    <col min="3308" max="3308" width="9.109375" style="62" bestFit="1" customWidth="1"/>
    <col min="3309" max="3309" width="9.5546875" style="62" bestFit="1" customWidth="1"/>
    <col min="3310" max="3550" width="9.109375" style="62" bestFit="1" customWidth="1"/>
    <col min="3551" max="3551" width="1.88671875" style="62" customWidth="1"/>
    <col min="3552" max="3552" width="7.33203125" style="62" customWidth="1"/>
    <col min="3553" max="3553" width="9.88671875" style="62" customWidth="1"/>
    <col min="3554" max="3554" width="12.6640625" style="62" customWidth="1"/>
    <col min="3555" max="3555" width="11.109375" style="62" customWidth="1"/>
    <col min="3556" max="3556" width="10.88671875" style="62" customWidth="1"/>
    <col min="3557" max="3557" width="11.5546875" style="62" customWidth="1"/>
    <col min="3558" max="3558" width="13.44140625" style="62" customWidth="1"/>
    <col min="3559" max="3559" width="11.109375" style="62" customWidth="1"/>
    <col min="3560" max="3560" width="11.33203125" style="62" bestFit="1" customWidth="1"/>
    <col min="3561" max="3561" width="11.5546875" style="62" customWidth="1"/>
    <col min="3562" max="3562" width="8.88671875" style="62"/>
    <col min="3563" max="3563" width="9.88671875" style="62" bestFit="1" customWidth="1"/>
    <col min="3564" max="3564" width="9.109375" style="62" bestFit="1" customWidth="1"/>
    <col min="3565" max="3565" width="9.5546875" style="62" bestFit="1" customWidth="1"/>
    <col min="3566" max="3806" width="9.109375" style="62" bestFit="1" customWidth="1"/>
    <col min="3807" max="3807" width="1.88671875" style="62" customWidth="1"/>
    <col min="3808" max="3808" width="7.33203125" style="62" customWidth="1"/>
    <col min="3809" max="3809" width="9.88671875" style="62" customWidth="1"/>
    <col min="3810" max="3810" width="12.6640625" style="62" customWidth="1"/>
    <col min="3811" max="3811" width="11.109375" style="62" customWidth="1"/>
    <col min="3812" max="3812" width="10.88671875" style="62" customWidth="1"/>
    <col min="3813" max="3813" width="11.5546875" style="62" customWidth="1"/>
    <col min="3814" max="3814" width="13.44140625" style="62" customWidth="1"/>
    <col min="3815" max="3815" width="11.109375" style="62" customWidth="1"/>
    <col min="3816" max="3816" width="11.33203125" style="62" bestFit="1" customWidth="1"/>
    <col min="3817" max="3817" width="11.5546875" style="62" customWidth="1"/>
    <col min="3818" max="3818" width="8.88671875" style="62"/>
    <col min="3819" max="3819" width="9.88671875" style="62" bestFit="1" customWidth="1"/>
    <col min="3820" max="3820" width="9.109375" style="62" bestFit="1" customWidth="1"/>
    <col min="3821" max="3821" width="9.5546875" style="62" bestFit="1" customWidth="1"/>
    <col min="3822" max="4062" width="9.109375" style="62" bestFit="1" customWidth="1"/>
    <col min="4063" max="4063" width="1.88671875" style="62" customWidth="1"/>
    <col min="4064" max="4064" width="7.33203125" style="62" customWidth="1"/>
    <col min="4065" max="4065" width="9.88671875" style="62" customWidth="1"/>
    <col min="4066" max="4066" width="12.6640625" style="62" customWidth="1"/>
    <col min="4067" max="4067" width="11.109375" style="62" customWidth="1"/>
    <col min="4068" max="4068" width="10.88671875" style="62" customWidth="1"/>
    <col min="4069" max="4069" width="11.5546875" style="62" customWidth="1"/>
    <col min="4070" max="4070" width="13.44140625" style="62" customWidth="1"/>
    <col min="4071" max="4071" width="11.109375" style="62" customWidth="1"/>
    <col min="4072" max="4072" width="11.33203125" style="62" bestFit="1" customWidth="1"/>
    <col min="4073" max="4073" width="11.5546875" style="62" customWidth="1"/>
    <col min="4074" max="4074" width="8.88671875" style="62"/>
    <col min="4075" max="4075" width="9.88671875" style="62" bestFit="1" customWidth="1"/>
    <col min="4076" max="4076" width="9.109375" style="62" bestFit="1" customWidth="1"/>
    <col min="4077" max="4077" width="9.5546875" style="62" bestFit="1" customWidth="1"/>
    <col min="4078" max="4318" width="9.109375" style="62" bestFit="1" customWidth="1"/>
    <col min="4319" max="4319" width="1.88671875" style="62" customWidth="1"/>
    <col min="4320" max="4320" width="7.33203125" style="62" customWidth="1"/>
    <col min="4321" max="4321" width="9.88671875" style="62" customWidth="1"/>
    <col min="4322" max="4322" width="12.6640625" style="62" customWidth="1"/>
    <col min="4323" max="4323" width="11.109375" style="62" customWidth="1"/>
    <col min="4324" max="4324" width="10.88671875" style="62" customWidth="1"/>
    <col min="4325" max="4325" width="11.5546875" style="62" customWidth="1"/>
    <col min="4326" max="4326" width="13.44140625" style="62" customWidth="1"/>
    <col min="4327" max="4327" width="11.109375" style="62" customWidth="1"/>
    <col min="4328" max="4328" width="11.33203125" style="62" bestFit="1" customWidth="1"/>
    <col min="4329" max="4329" width="11.5546875" style="62" customWidth="1"/>
    <col min="4330" max="4330" width="8.88671875" style="62"/>
    <col min="4331" max="4331" width="9.88671875" style="62" bestFit="1" customWidth="1"/>
    <col min="4332" max="4332" width="9.109375" style="62" bestFit="1" customWidth="1"/>
    <col min="4333" max="4333" width="9.5546875" style="62" bestFit="1" customWidth="1"/>
    <col min="4334" max="4574" width="9.109375" style="62" bestFit="1" customWidth="1"/>
    <col min="4575" max="4575" width="1.88671875" style="62" customWidth="1"/>
    <col min="4576" max="4576" width="7.33203125" style="62" customWidth="1"/>
    <col min="4577" max="4577" width="9.88671875" style="62" customWidth="1"/>
    <col min="4578" max="4578" width="12.6640625" style="62" customWidth="1"/>
    <col min="4579" max="4579" width="11.109375" style="62" customWidth="1"/>
    <col min="4580" max="4580" width="10.88671875" style="62" customWidth="1"/>
    <col min="4581" max="4581" width="11.5546875" style="62" customWidth="1"/>
    <col min="4582" max="4582" width="13.44140625" style="62" customWidth="1"/>
    <col min="4583" max="4583" width="11.109375" style="62" customWidth="1"/>
    <col min="4584" max="4584" width="11.33203125" style="62" bestFit="1" customWidth="1"/>
    <col min="4585" max="4585" width="11.5546875" style="62" customWidth="1"/>
    <col min="4586" max="4586" width="8.88671875" style="62"/>
    <col min="4587" max="4587" width="9.88671875" style="62" bestFit="1" customWidth="1"/>
    <col min="4588" max="4588" width="9.109375" style="62" bestFit="1" customWidth="1"/>
    <col min="4589" max="4589" width="9.5546875" style="62" bestFit="1" customWidth="1"/>
    <col min="4590" max="4830" width="9.109375" style="62" bestFit="1" customWidth="1"/>
    <col min="4831" max="4831" width="1.88671875" style="62" customWidth="1"/>
    <col min="4832" max="4832" width="7.33203125" style="62" customWidth="1"/>
    <col min="4833" max="4833" width="9.88671875" style="62" customWidth="1"/>
    <col min="4834" max="4834" width="12.6640625" style="62" customWidth="1"/>
    <col min="4835" max="4835" width="11.109375" style="62" customWidth="1"/>
    <col min="4836" max="4836" width="10.88671875" style="62" customWidth="1"/>
    <col min="4837" max="4837" width="11.5546875" style="62" customWidth="1"/>
    <col min="4838" max="4838" width="13.44140625" style="62" customWidth="1"/>
    <col min="4839" max="4839" width="11.109375" style="62" customWidth="1"/>
    <col min="4840" max="4840" width="11.33203125" style="62" bestFit="1" customWidth="1"/>
    <col min="4841" max="4841" width="11.5546875" style="62" customWidth="1"/>
    <col min="4842" max="4842" width="8.88671875" style="62"/>
    <col min="4843" max="4843" width="9.88671875" style="62" bestFit="1" customWidth="1"/>
    <col min="4844" max="4844" width="9.109375" style="62" bestFit="1" customWidth="1"/>
    <col min="4845" max="4845" width="9.5546875" style="62" bestFit="1" customWidth="1"/>
    <col min="4846" max="5086" width="9.109375" style="62" bestFit="1" customWidth="1"/>
    <col min="5087" max="5087" width="1.88671875" style="62" customWidth="1"/>
    <col min="5088" max="5088" width="7.33203125" style="62" customWidth="1"/>
    <col min="5089" max="5089" width="9.88671875" style="62" customWidth="1"/>
    <col min="5090" max="5090" width="12.6640625" style="62" customWidth="1"/>
    <col min="5091" max="5091" width="11.109375" style="62" customWidth="1"/>
    <col min="5092" max="5092" width="10.88671875" style="62" customWidth="1"/>
    <col min="5093" max="5093" width="11.5546875" style="62" customWidth="1"/>
    <col min="5094" max="5094" width="13.44140625" style="62" customWidth="1"/>
    <col min="5095" max="5095" width="11.109375" style="62" customWidth="1"/>
    <col min="5096" max="5096" width="11.33203125" style="62" bestFit="1" customWidth="1"/>
    <col min="5097" max="5097" width="11.5546875" style="62" customWidth="1"/>
    <col min="5098" max="5098" width="8.88671875" style="62"/>
    <col min="5099" max="5099" width="9.88671875" style="62" bestFit="1" customWidth="1"/>
    <col min="5100" max="5100" width="9.109375" style="62" bestFit="1" customWidth="1"/>
    <col min="5101" max="5101" width="9.5546875" style="62" bestFit="1" customWidth="1"/>
    <col min="5102" max="5342" width="9.109375" style="62" bestFit="1" customWidth="1"/>
    <col min="5343" max="5343" width="1.88671875" style="62" customWidth="1"/>
    <col min="5344" max="5344" width="7.33203125" style="62" customWidth="1"/>
    <col min="5345" max="5345" width="9.88671875" style="62" customWidth="1"/>
    <col min="5346" max="5346" width="12.6640625" style="62" customWidth="1"/>
    <col min="5347" max="5347" width="11.109375" style="62" customWidth="1"/>
    <col min="5348" max="5348" width="10.88671875" style="62" customWidth="1"/>
    <col min="5349" max="5349" width="11.5546875" style="62" customWidth="1"/>
    <col min="5350" max="5350" width="13.44140625" style="62" customWidth="1"/>
    <col min="5351" max="5351" width="11.109375" style="62" customWidth="1"/>
    <col min="5352" max="5352" width="11.33203125" style="62" bestFit="1" customWidth="1"/>
    <col min="5353" max="5353" width="11.5546875" style="62" customWidth="1"/>
    <col min="5354" max="5354" width="8.88671875" style="62"/>
    <col min="5355" max="5355" width="9.88671875" style="62" bestFit="1" customWidth="1"/>
    <col min="5356" max="5356" width="9.109375" style="62" bestFit="1" customWidth="1"/>
    <col min="5357" max="5357" width="9.5546875" style="62" bestFit="1" customWidth="1"/>
    <col min="5358" max="5598" width="9.109375" style="62" bestFit="1" customWidth="1"/>
    <col min="5599" max="5599" width="1.88671875" style="62" customWidth="1"/>
    <col min="5600" max="5600" width="7.33203125" style="62" customWidth="1"/>
    <col min="5601" max="5601" width="9.88671875" style="62" customWidth="1"/>
    <col min="5602" max="5602" width="12.6640625" style="62" customWidth="1"/>
    <col min="5603" max="5603" width="11.109375" style="62" customWidth="1"/>
    <col min="5604" max="5604" width="10.88671875" style="62" customWidth="1"/>
    <col min="5605" max="5605" width="11.5546875" style="62" customWidth="1"/>
    <col min="5606" max="5606" width="13.44140625" style="62" customWidth="1"/>
    <col min="5607" max="5607" width="11.109375" style="62" customWidth="1"/>
    <col min="5608" max="5608" width="11.33203125" style="62" bestFit="1" customWidth="1"/>
    <col min="5609" max="5609" width="11.5546875" style="62" customWidth="1"/>
    <col min="5610" max="5610" width="8.88671875" style="62"/>
    <col min="5611" max="5611" width="9.88671875" style="62" bestFit="1" customWidth="1"/>
    <col min="5612" max="5612" width="9.109375" style="62" bestFit="1" customWidth="1"/>
    <col min="5613" max="5613" width="9.5546875" style="62" bestFit="1" customWidth="1"/>
    <col min="5614" max="5854" width="9.109375" style="62" bestFit="1" customWidth="1"/>
    <col min="5855" max="5855" width="1.88671875" style="62" customWidth="1"/>
    <col min="5856" max="5856" width="7.33203125" style="62" customWidth="1"/>
    <col min="5857" max="5857" width="9.88671875" style="62" customWidth="1"/>
    <col min="5858" max="5858" width="12.6640625" style="62" customWidth="1"/>
    <col min="5859" max="5859" width="11.109375" style="62" customWidth="1"/>
    <col min="5860" max="5860" width="10.88671875" style="62" customWidth="1"/>
    <col min="5861" max="5861" width="11.5546875" style="62" customWidth="1"/>
    <col min="5862" max="5862" width="13.44140625" style="62" customWidth="1"/>
    <col min="5863" max="5863" width="11.109375" style="62" customWidth="1"/>
    <col min="5864" max="5864" width="11.33203125" style="62" bestFit="1" customWidth="1"/>
    <col min="5865" max="5865" width="11.5546875" style="62" customWidth="1"/>
    <col min="5866" max="5866" width="8.88671875" style="62"/>
    <col min="5867" max="5867" width="9.88671875" style="62" bestFit="1" customWidth="1"/>
    <col min="5868" max="5868" width="9.109375" style="62" bestFit="1" customWidth="1"/>
    <col min="5869" max="5869" width="9.5546875" style="62" bestFit="1" customWidth="1"/>
    <col min="5870" max="6110" width="9.109375" style="62" bestFit="1" customWidth="1"/>
    <col min="6111" max="6111" width="1.88671875" style="62" customWidth="1"/>
    <col min="6112" max="6112" width="7.33203125" style="62" customWidth="1"/>
    <col min="6113" max="6113" width="9.88671875" style="62" customWidth="1"/>
    <col min="6114" max="6114" width="12.6640625" style="62" customWidth="1"/>
    <col min="6115" max="6115" width="11.109375" style="62" customWidth="1"/>
    <col min="6116" max="6116" width="10.88671875" style="62" customWidth="1"/>
    <col min="6117" max="6117" width="11.5546875" style="62" customWidth="1"/>
    <col min="6118" max="6118" width="13.44140625" style="62" customWidth="1"/>
    <col min="6119" max="6119" width="11.109375" style="62" customWidth="1"/>
    <col min="6120" max="6120" width="11.33203125" style="62" bestFit="1" customWidth="1"/>
    <col min="6121" max="6121" width="11.5546875" style="62" customWidth="1"/>
    <col min="6122" max="6122" width="8.88671875" style="62"/>
    <col min="6123" max="6123" width="9.88671875" style="62" bestFit="1" customWidth="1"/>
    <col min="6124" max="6124" width="9.109375" style="62" bestFit="1" customWidth="1"/>
    <col min="6125" max="6125" width="9.5546875" style="62" bestFit="1" customWidth="1"/>
    <col min="6126" max="6366" width="9.109375" style="62" bestFit="1" customWidth="1"/>
    <col min="6367" max="6367" width="1.88671875" style="62" customWidth="1"/>
    <col min="6368" max="6368" width="7.33203125" style="62" customWidth="1"/>
    <col min="6369" max="6369" width="9.88671875" style="62" customWidth="1"/>
    <col min="6370" max="6370" width="12.6640625" style="62" customWidth="1"/>
    <col min="6371" max="6371" width="11.109375" style="62" customWidth="1"/>
    <col min="6372" max="6372" width="10.88671875" style="62" customWidth="1"/>
    <col min="6373" max="6373" width="11.5546875" style="62" customWidth="1"/>
    <col min="6374" max="6374" width="13.44140625" style="62" customWidth="1"/>
    <col min="6375" max="6375" width="11.109375" style="62" customWidth="1"/>
    <col min="6376" max="6376" width="11.33203125" style="62" bestFit="1" customWidth="1"/>
    <col min="6377" max="6377" width="11.5546875" style="62" customWidth="1"/>
    <col min="6378" max="6378" width="8.88671875" style="62"/>
    <col min="6379" max="6379" width="9.88671875" style="62" bestFit="1" customWidth="1"/>
    <col min="6380" max="6380" width="9.109375" style="62" bestFit="1" customWidth="1"/>
    <col min="6381" max="6381" width="9.5546875" style="62" bestFit="1" customWidth="1"/>
    <col min="6382" max="6622" width="9.109375" style="62" bestFit="1" customWidth="1"/>
    <col min="6623" max="6623" width="1.88671875" style="62" customWidth="1"/>
    <col min="6624" max="6624" width="7.33203125" style="62" customWidth="1"/>
    <col min="6625" max="6625" width="9.88671875" style="62" customWidth="1"/>
    <col min="6626" max="6626" width="12.6640625" style="62" customWidth="1"/>
    <col min="6627" max="6627" width="11.109375" style="62" customWidth="1"/>
    <col min="6628" max="6628" width="10.88671875" style="62" customWidth="1"/>
    <col min="6629" max="6629" width="11.5546875" style="62" customWidth="1"/>
    <col min="6630" max="6630" width="13.44140625" style="62" customWidth="1"/>
    <col min="6631" max="6631" width="11.109375" style="62" customWidth="1"/>
    <col min="6632" max="6632" width="11.33203125" style="62" bestFit="1" customWidth="1"/>
    <col min="6633" max="6633" width="11.5546875" style="62" customWidth="1"/>
    <col min="6634" max="6634" width="8.88671875" style="62"/>
    <col min="6635" max="6635" width="9.88671875" style="62" bestFit="1" customWidth="1"/>
    <col min="6636" max="6636" width="9.109375" style="62" bestFit="1" customWidth="1"/>
    <col min="6637" max="6637" width="9.5546875" style="62" bestFit="1" customWidth="1"/>
    <col min="6638" max="6878" width="9.109375" style="62" bestFit="1" customWidth="1"/>
    <col min="6879" max="6879" width="1.88671875" style="62" customWidth="1"/>
    <col min="6880" max="6880" width="7.33203125" style="62" customWidth="1"/>
    <col min="6881" max="6881" width="9.88671875" style="62" customWidth="1"/>
    <col min="6882" max="6882" width="12.6640625" style="62" customWidth="1"/>
    <col min="6883" max="6883" width="11.109375" style="62" customWidth="1"/>
    <col min="6884" max="6884" width="10.88671875" style="62" customWidth="1"/>
    <col min="6885" max="6885" width="11.5546875" style="62" customWidth="1"/>
    <col min="6886" max="6886" width="13.44140625" style="62" customWidth="1"/>
    <col min="6887" max="6887" width="11.109375" style="62" customWidth="1"/>
    <col min="6888" max="6888" width="11.33203125" style="62" bestFit="1" customWidth="1"/>
    <col min="6889" max="6889" width="11.5546875" style="62" customWidth="1"/>
    <col min="6890" max="6890" width="8.88671875" style="62"/>
    <col min="6891" max="6891" width="9.88671875" style="62" bestFit="1" customWidth="1"/>
    <col min="6892" max="6892" width="9.109375" style="62" bestFit="1" customWidth="1"/>
    <col min="6893" max="6893" width="9.5546875" style="62" bestFit="1" customWidth="1"/>
    <col min="6894" max="7134" width="9.109375" style="62" bestFit="1" customWidth="1"/>
    <col min="7135" max="7135" width="1.88671875" style="62" customWidth="1"/>
    <col min="7136" max="7136" width="7.33203125" style="62" customWidth="1"/>
    <col min="7137" max="7137" width="9.88671875" style="62" customWidth="1"/>
    <col min="7138" max="7138" width="12.6640625" style="62" customWidth="1"/>
    <col min="7139" max="7139" width="11.109375" style="62" customWidth="1"/>
    <col min="7140" max="7140" width="10.88671875" style="62" customWidth="1"/>
    <col min="7141" max="7141" width="11.5546875" style="62" customWidth="1"/>
    <col min="7142" max="7142" width="13.44140625" style="62" customWidth="1"/>
    <col min="7143" max="7143" width="11.109375" style="62" customWidth="1"/>
    <col min="7144" max="7144" width="11.33203125" style="62" bestFit="1" customWidth="1"/>
    <col min="7145" max="7145" width="11.5546875" style="62" customWidth="1"/>
    <col min="7146" max="7146" width="8.88671875" style="62"/>
    <col min="7147" max="7147" width="9.88671875" style="62" bestFit="1" customWidth="1"/>
    <col min="7148" max="7148" width="9.109375" style="62" bestFit="1" customWidth="1"/>
    <col min="7149" max="7149" width="9.5546875" style="62" bestFit="1" customWidth="1"/>
    <col min="7150" max="7390" width="9.109375" style="62" bestFit="1" customWidth="1"/>
    <col min="7391" max="7391" width="1.88671875" style="62" customWidth="1"/>
    <col min="7392" max="7392" width="7.33203125" style="62" customWidth="1"/>
    <col min="7393" max="7393" width="9.88671875" style="62" customWidth="1"/>
    <col min="7394" max="7394" width="12.6640625" style="62" customWidth="1"/>
    <col min="7395" max="7395" width="11.109375" style="62" customWidth="1"/>
    <col min="7396" max="7396" width="10.88671875" style="62" customWidth="1"/>
    <col min="7397" max="7397" width="11.5546875" style="62" customWidth="1"/>
    <col min="7398" max="7398" width="13.44140625" style="62" customWidth="1"/>
    <col min="7399" max="7399" width="11.109375" style="62" customWidth="1"/>
    <col min="7400" max="7400" width="11.33203125" style="62" bestFit="1" customWidth="1"/>
    <col min="7401" max="7401" width="11.5546875" style="62" customWidth="1"/>
    <col min="7402" max="7402" width="8.88671875" style="62"/>
    <col min="7403" max="7403" width="9.88671875" style="62" bestFit="1" customWidth="1"/>
    <col min="7404" max="7404" width="9.109375" style="62" bestFit="1" customWidth="1"/>
    <col min="7405" max="7405" width="9.5546875" style="62" bestFit="1" customWidth="1"/>
    <col min="7406" max="7646" width="9.109375" style="62" bestFit="1" customWidth="1"/>
    <col min="7647" max="7647" width="1.88671875" style="62" customWidth="1"/>
    <col min="7648" max="7648" width="7.33203125" style="62" customWidth="1"/>
    <col min="7649" max="7649" width="9.88671875" style="62" customWidth="1"/>
    <col min="7650" max="7650" width="12.6640625" style="62" customWidth="1"/>
    <col min="7651" max="7651" width="11.109375" style="62" customWidth="1"/>
    <col min="7652" max="7652" width="10.88671875" style="62" customWidth="1"/>
    <col min="7653" max="7653" width="11.5546875" style="62" customWidth="1"/>
    <col min="7654" max="7654" width="13.44140625" style="62" customWidth="1"/>
    <col min="7655" max="7655" width="11.109375" style="62" customWidth="1"/>
    <col min="7656" max="7656" width="11.33203125" style="62" bestFit="1" customWidth="1"/>
    <col min="7657" max="7657" width="11.5546875" style="62" customWidth="1"/>
    <col min="7658" max="7658" width="8.88671875" style="62"/>
    <col min="7659" max="7659" width="9.88671875" style="62" bestFit="1" customWidth="1"/>
    <col min="7660" max="7660" width="9.109375" style="62" bestFit="1" customWidth="1"/>
    <col min="7661" max="7661" width="9.5546875" style="62" bestFit="1" customWidth="1"/>
    <col min="7662" max="7902" width="9.109375" style="62" bestFit="1" customWidth="1"/>
    <col min="7903" max="7903" width="1.88671875" style="62" customWidth="1"/>
    <col min="7904" max="7904" width="7.33203125" style="62" customWidth="1"/>
    <col min="7905" max="7905" width="9.88671875" style="62" customWidth="1"/>
    <col min="7906" max="7906" width="12.6640625" style="62" customWidth="1"/>
    <col min="7907" max="7907" width="11.109375" style="62" customWidth="1"/>
    <col min="7908" max="7908" width="10.88671875" style="62" customWidth="1"/>
    <col min="7909" max="7909" width="11.5546875" style="62" customWidth="1"/>
    <col min="7910" max="7910" width="13.44140625" style="62" customWidth="1"/>
    <col min="7911" max="7911" width="11.109375" style="62" customWidth="1"/>
    <col min="7912" max="7912" width="11.33203125" style="62" bestFit="1" customWidth="1"/>
    <col min="7913" max="7913" width="11.5546875" style="62" customWidth="1"/>
    <col min="7914" max="7914" width="8.88671875" style="62"/>
    <col min="7915" max="7915" width="9.88671875" style="62" bestFit="1" customWidth="1"/>
    <col min="7916" max="7916" width="9.109375" style="62" bestFit="1" customWidth="1"/>
    <col min="7917" max="7917" width="9.5546875" style="62" bestFit="1" customWidth="1"/>
    <col min="7918" max="8158" width="9.109375" style="62" bestFit="1" customWidth="1"/>
    <col min="8159" max="8159" width="1.88671875" style="62" customWidth="1"/>
    <col min="8160" max="8160" width="7.33203125" style="62" customWidth="1"/>
    <col min="8161" max="8161" width="9.88671875" style="62" customWidth="1"/>
    <col min="8162" max="8162" width="12.6640625" style="62" customWidth="1"/>
    <col min="8163" max="8163" width="11.109375" style="62" customWidth="1"/>
    <col min="8164" max="8164" width="10.88671875" style="62" customWidth="1"/>
    <col min="8165" max="8165" width="11.5546875" style="62" customWidth="1"/>
    <col min="8166" max="8166" width="13.44140625" style="62" customWidth="1"/>
    <col min="8167" max="8167" width="11.109375" style="62" customWidth="1"/>
    <col min="8168" max="8168" width="11.33203125" style="62" bestFit="1" customWidth="1"/>
    <col min="8169" max="8169" width="11.5546875" style="62" customWidth="1"/>
    <col min="8170" max="8170" width="8.88671875" style="62"/>
    <col min="8171" max="8171" width="9.88671875" style="62" bestFit="1" customWidth="1"/>
    <col min="8172" max="8172" width="9.109375" style="62" bestFit="1" customWidth="1"/>
    <col min="8173" max="8173" width="9.5546875" style="62" bestFit="1" customWidth="1"/>
    <col min="8174" max="8414" width="9.109375" style="62" bestFit="1" customWidth="1"/>
    <col min="8415" max="8415" width="1.88671875" style="62" customWidth="1"/>
    <col min="8416" max="8416" width="7.33203125" style="62" customWidth="1"/>
    <col min="8417" max="8417" width="9.88671875" style="62" customWidth="1"/>
    <col min="8418" max="8418" width="12.6640625" style="62" customWidth="1"/>
    <col min="8419" max="8419" width="11.109375" style="62" customWidth="1"/>
    <col min="8420" max="8420" width="10.88671875" style="62" customWidth="1"/>
    <col min="8421" max="8421" width="11.5546875" style="62" customWidth="1"/>
    <col min="8422" max="8422" width="13.44140625" style="62" customWidth="1"/>
    <col min="8423" max="8423" width="11.109375" style="62" customWidth="1"/>
    <col min="8424" max="8424" width="11.33203125" style="62" bestFit="1" customWidth="1"/>
    <col min="8425" max="8425" width="11.5546875" style="62" customWidth="1"/>
    <col min="8426" max="8426" width="8.88671875" style="62"/>
    <col min="8427" max="8427" width="9.88671875" style="62" bestFit="1" customWidth="1"/>
    <col min="8428" max="8428" width="9.109375" style="62" bestFit="1" customWidth="1"/>
    <col min="8429" max="8429" width="9.5546875" style="62" bestFit="1" customWidth="1"/>
    <col min="8430" max="8670" width="9.109375" style="62" bestFit="1" customWidth="1"/>
    <col min="8671" max="8671" width="1.88671875" style="62" customWidth="1"/>
    <col min="8672" max="8672" width="7.33203125" style="62" customWidth="1"/>
    <col min="8673" max="8673" width="9.88671875" style="62" customWidth="1"/>
    <col min="8674" max="8674" width="12.6640625" style="62" customWidth="1"/>
    <col min="8675" max="8675" width="11.109375" style="62" customWidth="1"/>
    <col min="8676" max="8676" width="10.88671875" style="62" customWidth="1"/>
    <col min="8677" max="8677" width="11.5546875" style="62" customWidth="1"/>
    <col min="8678" max="8678" width="13.44140625" style="62" customWidth="1"/>
    <col min="8679" max="8679" width="11.109375" style="62" customWidth="1"/>
    <col min="8680" max="8680" width="11.33203125" style="62" bestFit="1" customWidth="1"/>
    <col min="8681" max="8681" width="11.5546875" style="62" customWidth="1"/>
    <col min="8682" max="8682" width="8.88671875" style="62"/>
    <col min="8683" max="8683" width="9.88671875" style="62" bestFit="1" customWidth="1"/>
    <col min="8684" max="8684" width="9.109375" style="62" bestFit="1" customWidth="1"/>
    <col min="8685" max="8685" width="9.5546875" style="62" bestFit="1" customWidth="1"/>
    <col min="8686" max="8926" width="9.109375" style="62" bestFit="1" customWidth="1"/>
    <col min="8927" max="8927" width="1.88671875" style="62" customWidth="1"/>
    <col min="8928" max="8928" width="7.33203125" style="62" customWidth="1"/>
    <col min="8929" max="8929" width="9.88671875" style="62" customWidth="1"/>
    <col min="8930" max="8930" width="12.6640625" style="62" customWidth="1"/>
    <col min="8931" max="8931" width="11.109375" style="62" customWidth="1"/>
    <col min="8932" max="8932" width="10.88671875" style="62" customWidth="1"/>
    <col min="8933" max="8933" width="11.5546875" style="62" customWidth="1"/>
    <col min="8934" max="8934" width="13.44140625" style="62" customWidth="1"/>
    <col min="8935" max="8935" width="11.109375" style="62" customWidth="1"/>
    <col min="8936" max="8936" width="11.33203125" style="62" bestFit="1" customWidth="1"/>
    <col min="8937" max="8937" width="11.5546875" style="62" customWidth="1"/>
    <col min="8938" max="8938" width="8.88671875" style="62"/>
    <col min="8939" max="8939" width="9.88671875" style="62" bestFit="1" customWidth="1"/>
    <col min="8940" max="8940" width="9.109375" style="62" bestFit="1" customWidth="1"/>
    <col min="8941" max="8941" width="9.5546875" style="62" bestFit="1" customWidth="1"/>
    <col min="8942" max="9182" width="9.109375" style="62" bestFit="1" customWidth="1"/>
    <col min="9183" max="9183" width="1.88671875" style="62" customWidth="1"/>
    <col min="9184" max="9184" width="7.33203125" style="62" customWidth="1"/>
    <col min="9185" max="9185" width="9.88671875" style="62" customWidth="1"/>
    <col min="9186" max="9186" width="12.6640625" style="62" customWidth="1"/>
    <col min="9187" max="9187" width="11.109375" style="62" customWidth="1"/>
    <col min="9188" max="9188" width="10.88671875" style="62" customWidth="1"/>
    <col min="9189" max="9189" width="11.5546875" style="62" customWidth="1"/>
    <col min="9190" max="9190" width="13.44140625" style="62" customWidth="1"/>
    <col min="9191" max="9191" width="11.109375" style="62" customWidth="1"/>
    <col min="9192" max="9192" width="11.33203125" style="62" bestFit="1" customWidth="1"/>
    <col min="9193" max="9193" width="11.5546875" style="62" customWidth="1"/>
    <col min="9194" max="9194" width="8.88671875" style="62"/>
    <col min="9195" max="9195" width="9.88671875" style="62" bestFit="1" customWidth="1"/>
    <col min="9196" max="9196" width="9.109375" style="62" bestFit="1" customWidth="1"/>
    <col min="9197" max="9197" width="9.5546875" style="62" bestFit="1" customWidth="1"/>
    <col min="9198" max="9438" width="9.109375" style="62" bestFit="1" customWidth="1"/>
    <col min="9439" max="9439" width="1.88671875" style="62" customWidth="1"/>
    <col min="9440" max="9440" width="7.33203125" style="62" customWidth="1"/>
    <col min="9441" max="9441" width="9.88671875" style="62" customWidth="1"/>
    <col min="9442" max="9442" width="12.6640625" style="62" customWidth="1"/>
    <col min="9443" max="9443" width="11.109375" style="62" customWidth="1"/>
    <col min="9444" max="9444" width="10.88671875" style="62" customWidth="1"/>
    <col min="9445" max="9445" width="11.5546875" style="62" customWidth="1"/>
    <col min="9446" max="9446" width="13.44140625" style="62" customWidth="1"/>
    <col min="9447" max="9447" width="11.109375" style="62" customWidth="1"/>
    <col min="9448" max="9448" width="11.33203125" style="62" bestFit="1" customWidth="1"/>
    <col min="9449" max="9449" width="11.5546875" style="62" customWidth="1"/>
    <col min="9450" max="9450" width="8.88671875" style="62"/>
    <col min="9451" max="9451" width="9.88671875" style="62" bestFit="1" customWidth="1"/>
    <col min="9452" max="9452" width="9.109375" style="62" bestFit="1" customWidth="1"/>
    <col min="9453" max="9453" width="9.5546875" style="62" bestFit="1" customWidth="1"/>
    <col min="9454" max="9694" width="9.109375" style="62" bestFit="1" customWidth="1"/>
    <col min="9695" max="9695" width="1.88671875" style="62" customWidth="1"/>
    <col min="9696" max="9696" width="7.33203125" style="62" customWidth="1"/>
    <col min="9697" max="9697" width="9.88671875" style="62" customWidth="1"/>
    <col min="9698" max="9698" width="12.6640625" style="62" customWidth="1"/>
    <col min="9699" max="9699" width="11.109375" style="62" customWidth="1"/>
    <col min="9700" max="9700" width="10.88671875" style="62" customWidth="1"/>
    <col min="9701" max="9701" width="11.5546875" style="62" customWidth="1"/>
    <col min="9702" max="9702" width="13.44140625" style="62" customWidth="1"/>
    <col min="9703" max="9703" width="11.109375" style="62" customWidth="1"/>
    <col min="9704" max="9704" width="11.33203125" style="62" bestFit="1" customWidth="1"/>
    <col min="9705" max="9705" width="11.5546875" style="62" customWidth="1"/>
    <col min="9706" max="9706" width="8.88671875" style="62"/>
    <col min="9707" max="9707" width="9.88671875" style="62" bestFit="1" customWidth="1"/>
    <col min="9708" max="9708" width="9.109375" style="62" bestFit="1" customWidth="1"/>
    <col min="9709" max="9709" width="9.5546875" style="62" bestFit="1" customWidth="1"/>
    <col min="9710" max="9950" width="9.109375" style="62" bestFit="1" customWidth="1"/>
    <col min="9951" max="9951" width="1.88671875" style="62" customWidth="1"/>
    <col min="9952" max="9952" width="7.33203125" style="62" customWidth="1"/>
    <col min="9953" max="9953" width="9.88671875" style="62" customWidth="1"/>
    <col min="9954" max="9954" width="12.6640625" style="62" customWidth="1"/>
    <col min="9955" max="9955" width="11.109375" style="62" customWidth="1"/>
    <col min="9956" max="9956" width="10.88671875" style="62" customWidth="1"/>
    <col min="9957" max="9957" width="11.5546875" style="62" customWidth="1"/>
    <col min="9958" max="9958" width="13.44140625" style="62" customWidth="1"/>
    <col min="9959" max="9959" width="11.109375" style="62" customWidth="1"/>
    <col min="9960" max="9960" width="11.33203125" style="62" bestFit="1" customWidth="1"/>
    <col min="9961" max="9961" width="11.5546875" style="62" customWidth="1"/>
    <col min="9962" max="9962" width="8.88671875" style="62"/>
    <col min="9963" max="9963" width="9.88671875" style="62" bestFit="1" customWidth="1"/>
    <col min="9964" max="9964" width="9.109375" style="62" bestFit="1" customWidth="1"/>
    <col min="9965" max="9965" width="9.5546875" style="62" bestFit="1" customWidth="1"/>
    <col min="9966" max="10206" width="9.109375" style="62" bestFit="1" customWidth="1"/>
    <col min="10207" max="10207" width="1.88671875" style="62" customWidth="1"/>
    <col min="10208" max="10208" width="7.33203125" style="62" customWidth="1"/>
    <col min="10209" max="10209" width="9.88671875" style="62" customWidth="1"/>
    <col min="10210" max="10210" width="12.6640625" style="62" customWidth="1"/>
    <col min="10211" max="10211" width="11.109375" style="62" customWidth="1"/>
    <col min="10212" max="10212" width="10.88671875" style="62" customWidth="1"/>
    <col min="10213" max="10213" width="11.5546875" style="62" customWidth="1"/>
    <col min="10214" max="10214" width="13.44140625" style="62" customWidth="1"/>
    <col min="10215" max="10215" width="11.109375" style="62" customWidth="1"/>
    <col min="10216" max="10216" width="11.33203125" style="62" bestFit="1" customWidth="1"/>
    <col min="10217" max="10217" width="11.5546875" style="62" customWidth="1"/>
    <col min="10218" max="10218" width="8.88671875" style="62"/>
    <col min="10219" max="10219" width="9.88671875" style="62" bestFit="1" customWidth="1"/>
    <col min="10220" max="10220" width="9.109375" style="62" bestFit="1" customWidth="1"/>
    <col min="10221" max="10221" width="9.5546875" style="62" bestFit="1" customWidth="1"/>
    <col min="10222" max="10462" width="9.109375" style="62" bestFit="1" customWidth="1"/>
    <col min="10463" max="10463" width="1.88671875" style="62" customWidth="1"/>
    <col min="10464" max="10464" width="7.33203125" style="62" customWidth="1"/>
    <col min="10465" max="10465" width="9.88671875" style="62" customWidth="1"/>
    <col min="10466" max="10466" width="12.6640625" style="62" customWidth="1"/>
    <col min="10467" max="10467" width="11.109375" style="62" customWidth="1"/>
    <col min="10468" max="10468" width="10.88671875" style="62" customWidth="1"/>
    <col min="10469" max="10469" width="11.5546875" style="62" customWidth="1"/>
    <col min="10470" max="10470" width="13.44140625" style="62" customWidth="1"/>
    <col min="10471" max="10471" width="11.109375" style="62" customWidth="1"/>
    <col min="10472" max="10472" width="11.33203125" style="62" bestFit="1" customWidth="1"/>
    <col min="10473" max="10473" width="11.5546875" style="62" customWidth="1"/>
    <col min="10474" max="10474" width="8.88671875" style="62"/>
    <col min="10475" max="10475" width="9.88671875" style="62" bestFit="1" customWidth="1"/>
    <col min="10476" max="10476" width="9.109375" style="62" bestFit="1" customWidth="1"/>
    <col min="10477" max="10477" width="9.5546875" style="62" bestFit="1" customWidth="1"/>
    <col min="10478" max="10718" width="9.109375" style="62" bestFit="1" customWidth="1"/>
    <col min="10719" max="10719" width="1.88671875" style="62" customWidth="1"/>
    <col min="10720" max="10720" width="7.33203125" style="62" customWidth="1"/>
    <col min="10721" max="10721" width="9.88671875" style="62" customWidth="1"/>
    <col min="10722" max="10722" width="12.6640625" style="62" customWidth="1"/>
    <col min="10723" max="10723" width="11.109375" style="62" customWidth="1"/>
    <col min="10724" max="10724" width="10.88671875" style="62" customWidth="1"/>
    <col min="10725" max="10725" width="11.5546875" style="62" customWidth="1"/>
    <col min="10726" max="10726" width="13.44140625" style="62" customWidth="1"/>
    <col min="10727" max="10727" width="11.109375" style="62" customWidth="1"/>
    <col min="10728" max="10728" width="11.33203125" style="62" bestFit="1" customWidth="1"/>
    <col min="10729" max="10729" width="11.5546875" style="62" customWidth="1"/>
    <col min="10730" max="10730" width="8.88671875" style="62"/>
    <col min="10731" max="10731" width="9.88671875" style="62" bestFit="1" customWidth="1"/>
    <col min="10732" max="10732" width="9.109375" style="62" bestFit="1" customWidth="1"/>
    <col min="10733" max="10733" width="9.5546875" style="62" bestFit="1" customWidth="1"/>
    <col min="10734" max="10974" width="9.109375" style="62" bestFit="1" customWidth="1"/>
    <col min="10975" max="10975" width="1.88671875" style="62" customWidth="1"/>
    <col min="10976" max="10976" width="7.33203125" style="62" customWidth="1"/>
    <col min="10977" max="10977" width="9.88671875" style="62" customWidth="1"/>
    <col min="10978" max="10978" width="12.6640625" style="62" customWidth="1"/>
    <col min="10979" max="10979" width="11.109375" style="62" customWidth="1"/>
    <col min="10980" max="10980" width="10.88671875" style="62" customWidth="1"/>
    <col min="10981" max="10981" width="11.5546875" style="62" customWidth="1"/>
    <col min="10982" max="10982" width="13.44140625" style="62" customWidth="1"/>
    <col min="10983" max="10983" width="11.109375" style="62" customWidth="1"/>
    <col min="10984" max="10984" width="11.33203125" style="62" bestFit="1" customWidth="1"/>
    <col min="10985" max="10985" width="11.5546875" style="62" customWidth="1"/>
    <col min="10986" max="10986" width="8.88671875" style="62"/>
    <col min="10987" max="10987" width="9.88671875" style="62" bestFit="1" customWidth="1"/>
    <col min="10988" max="10988" width="9.109375" style="62" bestFit="1" customWidth="1"/>
    <col min="10989" max="10989" width="9.5546875" style="62" bestFit="1" customWidth="1"/>
    <col min="10990" max="11230" width="9.109375" style="62" bestFit="1" customWidth="1"/>
    <col min="11231" max="11231" width="1.88671875" style="62" customWidth="1"/>
    <col min="11232" max="11232" width="7.33203125" style="62" customWidth="1"/>
    <col min="11233" max="11233" width="9.88671875" style="62" customWidth="1"/>
    <col min="11234" max="11234" width="12.6640625" style="62" customWidth="1"/>
    <col min="11235" max="11235" width="11.109375" style="62" customWidth="1"/>
    <col min="11236" max="11236" width="10.88671875" style="62" customWidth="1"/>
    <col min="11237" max="11237" width="11.5546875" style="62" customWidth="1"/>
    <col min="11238" max="11238" width="13.44140625" style="62" customWidth="1"/>
    <col min="11239" max="11239" width="11.109375" style="62" customWidth="1"/>
    <col min="11240" max="11240" width="11.33203125" style="62" bestFit="1" customWidth="1"/>
    <col min="11241" max="11241" width="11.5546875" style="62" customWidth="1"/>
    <col min="11242" max="11242" width="8.88671875" style="62"/>
    <col min="11243" max="11243" width="9.88671875" style="62" bestFit="1" customWidth="1"/>
    <col min="11244" max="11244" width="9.109375" style="62" bestFit="1" customWidth="1"/>
    <col min="11245" max="11245" width="9.5546875" style="62" bestFit="1" customWidth="1"/>
    <col min="11246" max="11486" width="9.109375" style="62" bestFit="1" customWidth="1"/>
    <col min="11487" max="11487" width="1.88671875" style="62" customWidth="1"/>
    <col min="11488" max="11488" width="7.33203125" style="62" customWidth="1"/>
    <col min="11489" max="11489" width="9.88671875" style="62" customWidth="1"/>
    <col min="11490" max="11490" width="12.6640625" style="62" customWidth="1"/>
    <col min="11491" max="11491" width="11.109375" style="62" customWidth="1"/>
    <col min="11492" max="11492" width="10.88671875" style="62" customWidth="1"/>
    <col min="11493" max="11493" width="11.5546875" style="62" customWidth="1"/>
    <col min="11494" max="11494" width="13.44140625" style="62" customWidth="1"/>
    <col min="11495" max="11495" width="11.109375" style="62" customWidth="1"/>
    <col min="11496" max="11496" width="11.33203125" style="62" bestFit="1" customWidth="1"/>
    <col min="11497" max="11497" width="11.5546875" style="62" customWidth="1"/>
    <col min="11498" max="11498" width="8.88671875" style="62"/>
    <col min="11499" max="11499" width="9.88671875" style="62" bestFit="1" customWidth="1"/>
    <col min="11500" max="11500" width="9.109375" style="62" bestFit="1" customWidth="1"/>
    <col min="11501" max="11501" width="9.5546875" style="62" bestFit="1" customWidth="1"/>
    <col min="11502" max="11742" width="9.109375" style="62" bestFit="1" customWidth="1"/>
    <col min="11743" max="11743" width="1.88671875" style="62" customWidth="1"/>
    <col min="11744" max="11744" width="7.33203125" style="62" customWidth="1"/>
    <col min="11745" max="11745" width="9.88671875" style="62" customWidth="1"/>
    <col min="11746" max="11746" width="12.6640625" style="62" customWidth="1"/>
    <col min="11747" max="11747" width="11.109375" style="62" customWidth="1"/>
    <col min="11748" max="11748" width="10.88671875" style="62" customWidth="1"/>
    <col min="11749" max="11749" width="11.5546875" style="62" customWidth="1"/>
    <col min="11750" max="11750" width="13.44140625" style="62" customWidth="1"/>
    <col min="11751" max="11751" width="11.109375" style="62" customWidth="1"/>
    <col min="11752" max="11752" width="11.33203125" style="62" bestFit="1" customWidth="1"/>
    <col min="11753" max="11753" width="11.5546875" style="62" customWidth="1"/>
    <col min="11754" max="11754" width="8.88671875" style="62"/>
    <col min="11755" max="11755" width="9.88671875" style="62" bestFit="1" customWidth="1"/>
    <col min="11756" max="11756" width="9.109375" style="62" bestFit="1" customWidth="1"/>
    <col min="11757" max="11757" width="9.5546875" style="62" bestFit="1" customWidth="1"/>
    <col min="11758" max="11998" width="9.109375" style="62" bestFit="1" customWidth="1"/>
    <col min="11999" max="11999" width="1.88671875" style="62" customWidth="1"/>
    <col min="12000" max="12000" width="7.33203125" style="62" customWidth="1"/>
    <col min="12001" max="12001" width="9.88671875" style="62" customWidth="1"/>
    <col min="12002" max="12002" width="12.6640625" style="62" customWidth="1"/>
    <col min="12003" max="12003" width="11.109375" style="62" customWidth="1"/>
    <col min="12004" max="12004" width="10.88671875" style="62" customWidth="1"/>
    <col min="12005" max="12005" width="11.5546875" style="62" customWidth="1"/>
    <col min="12006" max="12006" width="13.44140625" style="62" customWidth="1"/>
    <col min="12007" max="12007" width="11.109375" style="62" customWidth="1"/>
    <col min="12008" max="12008" width="11.33203125" style="62" bestFit="1" customWidth="1"/>
    <col min="12009" max="12009" width="11.5546875" style="62" customWidth="1"/>
    <col min="12010" max="12010" width="8.88671875" style="62"/>
    <col min="12011" max="12011" width="9.88671875" style="62" bestFit="1" customWidth="1"/>
    <col min="12012" max="12012" width="9.109375" style="62" bestFit="1" customWidth="1"/>
    <col min="12013" max="12013" width="9.5546875" style="62" bestFit="1" customWidth="1"/>
    <col min="12014" max="12254" width="9.109375" style="62" bestFit="1" customWidth="1"/>
    <col min="12255" max="12255" width="1.88671875" style="62" customWidth="1"/>
    <col min="12256" max="12256" width="7.33203125" style="62" customWidth="1"/>
    <col min="12257" max="12257" width="9.88671875" style="62" customWidth="1"/>
    <col min="12258" max="12258" width="12.6640625" style="62" customWidth="1"/>
    <col min="12259" max="12259" width="11.109375" style="62" customWidth="1"/>
    <col min="12260" max="12260" width="10.88671875" style="62" customWidth="1"/>
    <col min="12261" max="12261" width="11.5546875" style="62" customWidth="1"/>
    <col min="12262" max="12262" width="13.44140625" style="62" customWidth="1"/>
    <col min="12263" max="12263" width="11.109375" style="62" customWidth="1"/>
    <col min="12264" max="12264" width="11.33203125" style="62" bestFit="1" customWidth="1"/>
    <col min="12265" max="12265" width="11.5546875" style="62" customWidth="1"/>
    <col min="12266" max="12266" width="8.88671875" style="62"/>
    <col min="12267" max="12267" width="9.88671875" style="62" bestFit="1" customWidth="1"/>
    <col min="12268" max="12268" width="9.109375" style="62" bestFit="1" customWidth="1"/>
    <col min="12269" max="12269" width="9.5546875" style="62" bestFit="1" customWidth="1"/>
    <col min="12270" max="12510" width="9.109375" style="62" bestFit="1" customWidth="1"/>
    <col min="12511" max="12511" width="1.88671875" style="62" customWidth="1"/>
    <col min="12512" max="12512" width="7.33203125" style="62" customWidth="1"/>
    <col min="12513" max="12513" width="9.88671875" style="62" customWidth="1"/>
    <col min="12514" max="12514" width="12.6640625" style="62" customWidth="1"/>
    <col min="12515" max="12515" width="11.109375" style="62" customWidth="1"/>
    <col min="12516" max="12516" width="10.88671875" style="62" customWidth="1"/>
    <col min="12517" max="12517" width="11.5546875" style="62" customWidth="1"/>
    <col min="12518" max="12518" width="13.44140625" style="62" customWidth="1"/>
    <col min="12519" max="12519" width="11.109375" style="62" customWidth="1"/>
    <col min="12520" max="12520" width="11.33203125" style="62" bestFit="1" customWidth="1"/>
    <col min="12521" max="12521" width="11.5546875" style="62" customWidth="1"/>
    <col min="12522" max="12522" width="8.88671875" style="62"/>
    <col min="12523" max="12523" width="9.88671875" style="62" bestFit="1" customWidth="1"/>
    <col min="12524" max="12524" width="9.109375" style="62" bestFit="1" customWidth="1"/>
    <col min="12525" max="12525" width="9.5546875" style="62" bestFit="1" customWidth="1"/>
    <col min="12526" max="12766" width="9.109375" style="62" bestFit="1" customWidth="1"/>
    <col min="12767" max="12767" width="1.88671875" style="62" customWidth="1"/>
    <col min="12768" max="12768" width="7.33203125" style="62" customWidth="1"/>
    <col min="12769" max="12769" width="9.88671875" style="62" customWidth="1"/>
    <col min="12770" max="12770" width="12.6640625" style="62" customWidth="1"/>
    <col min="12771" max="12771" width="11.109375" style="62" customWidth="1"/>
    <col min="12772" max="12772" width="10.88671875" style="62" customWidth="1"/>
    <col min="12773" max="12773" width="11.5546875" style="62" customWidth="1"/>
    <col min="12774" max="12774" width="13.44140625" style="62" customWidth="1"/>
    <col min="12775" max="12775" width="11.109375" style="62" customWidth="1"/>
    <col min="12776" max="12776" width="11.33203125" style="62" bestFit="1" customWidth="1"/>
    <col min="12777" max="12777" width="11.5546875" style="62" customWidth="1"/>
    <col min="12778" max="12778" width="8.88671875" style="62"/>
    <col min="12779" max="12779" width="9.88671875" style="62" bestFit="1" customWidth="1"/>
    <col min="12780" max="12780" width="9.109375" style="62" bestFit="1" customWidth="1"/>
    <col min="12781" max="12781" width="9.5546875" style="62" bestFit="1" customWidth="1"/>
    <col min="12782" max="13022" width="9.109375" style="62" bestFit="1" customWidth="1"/>
    <col min="13023" max="13023" width="1.88671875" style="62" customWidth="1"/>
    <col min="13024" max="13024" width="7.33203125" style="62" customWidth="1"/>
    <col min="13025" max="13025" width="9.88671875" style="62" customWidth="1"/>
    <col min="13026" max="13026" width="12.6640625" style="62" customWidth="1"/>
    <col min="13027" max="13027" width="11.109375" style="62" customWidth="1"/>
    <col min="13028" max="13028" width="10.88671875" style="62" customWidth="1"/>
    <col min="13029" max="13029" width="11.5546875" style="62" customWidth="1"/>
    <col min="13030" max="13030" width="13.44140625" style="62" customWidth="1"/>
    <col min="13031" max="13031" width="11.109375" style="62" customWidth="1"/>
    <col min="13032" max="13032" width="11.33203125" style="62" bestFit="1" customWidth="1"/>
    <col min="13033" max="13033" width="11.5546875" style="62" customWidth="1"/>
    <col min="13034" max="13034" width="8.88671875" style="62"/>
    <col min="13035" max="13035" width="9.88671875" style="62" bestFit="1" customWidth="1"/>
    <col min="13036" max="13036" width="9.109375" style="62" bestFit="1" customWidth="1"/>
    <col min="13037" max="13037" width="9.5546875" style="62" bestFit="1" customWidth="1"/>
    <col min="13038" max="13278" width="9.109375" style="62" bestFit="1" customWidth="1"/>
    <col min="13279" max="13279" width="1.88671875" style="62" customWidth="1"/>
    <col min="13280" max="13280" width="7.33203125" style="62" customWidth="1"/>
    <col min="13281" max="13281" width="9.88671875" style="62" customWidth="1"/>
    <col min="13282" max="13282" width="12.6640625" style="62" customWidth="1"/>
    <col min="13283" max="13283" width="11.109375" style="62" customWidth="1"/>
    <col min="13284" max="13284" width="10.88671875" style="62" customWidth="1"/>
    <col min="13285" max="13285" width="11.5546875" style="62" customWidth="1"/>
    <col min="13286" max="13286" width="13.44140625" style="62" customWidth="1"/>
    <col min="13287" max="13287" width="11.109375" style="62" customWidth="1"/>
    <col min="13288" max="13288" width="11.33203125" style="62" bestFit="1" customWidth="1"/>
    <col min="13289" max="13289" width="11.5546875" style="62" customWidth="1"/>
    <col min="13290" max="13290" width="8.88671875" style="62"/>
    <col min="13291" max="13291" width="9.88671875" style="62" bestFit="1" customWidth="1"/>
    <col min="13292" max="13292" width="9.109375" style="62" bestFit="1" customWidth="1"/>
    <col min="13293" max="13293" width="9.5546875" style="62" bestFit="1" customWidth="1"/>
    <col min="13294" max="13534" width="9.109375" style="62" bestFit="1" customWidth="1"/>
    <col min="13535" max="13535" width="1.88671875" style="62" customWidth="1"/>
    <col min="13536" max="13536" width="7.33203125" style="62" customWidth="1"/>
    <col min="13537" max="13537" width="9.88671875" style="62" customWidth="1"/>
    <col min="13538" max="13538" width="12.6640625" style="62" customWidth="1"/>
    <col min="13539" max="13539" width="11.109375" style="62" customWidth="1"/>
    <col min="13540" max="13540" width="10.88671875" style="62" customWidth="1"/>
    <col min="13541" max="13541" width="11.5546875" style="62" customWidth="1"/>
    <col min="13542" max="13542" width="13.44140625" style="62" customWidth="1"/>
    <col min="13543" max="13543" width="11.109375" style="62" customWidth="1"/>
    <col min="13544" max="13544" width="11.33203125" style="62" bestFit="1" customWidth="1"/>
    <col min="13545" max="13545" width="11.5546875" style="62" customWidth="1"/>
    <col min="13546" max="13546" width="8.88671875" style="62"/>
    <col min="13547" max="13547" width="9.88671875" style="62" bestFit="1" customWidth="1"/>
    <col min="13548" max="13548" width="9.109375" style="62" bestFit="1" customWidth="1"/>
    <col min="13549" max="13549" width="9.5546875" style="62" bestFit="1" customWidth="1"/>
    <col min="13550" max="13790" width="9.109375" style="62" bestFit="1" customWidth="1"/>
    <col min="13791" max="13791" width="1.88671875" style="62" customWidth="1"/>
    <col min="13792" max="13792" width="7.33203125" style="62" customWidth="1"/>
    <col min="13793" max="13793" width="9.88671875" style="62" customWidth="1"/>
    <col min="13794" max="13794" width="12.6640625" style="62" customWidth="1"/>
    <col min="13795" max="13795" width="11.109375" style="62" customWidth="1"/>
    <col min="13796" max="13796" width="10.88671875" style="62" customWidth="1"/>
    <col min="13797" max="13797" width="11.5546875" style="62" customWidth="1"/>
    <col min="13798" max="13798" width="13.44140625" style="62" customWidth="1"/>
    <col min="13799" max="13799" width="11.109375" style="62" customWidth="1"/>
    <col min="13800" max="13800" width="11.33203125" style="62" bestFit="1" customWidth="1"/>
    <col min="13801" max="13801" width="11.5546875" style="62" customWidth="1"/>
    <col min="13802" max="13802" width="8.88671875" style="62"/>
    <col min="13803" max="13803" width="9.88671875" style="62" bestFit="1" customWidth="1"/>
    <col min="13804" max="13804" width="9.109375" style="62" bestFit="1" customWidth="1"/>
    <col min="13805" max="13805" width="9.5546875" style="62" bestFit="1" customWidth="1"/>
    <col min="13806" max="14046" width="9.109375" style="62" bestFit="1" customWidth="1"/>
    <col min="14047" max="14047" width="1.88671875" style="62" customWidth="1"/>
    <col min="14048" max="14048" width="7.33203125" style="62" customWidth="1"/>
    <col min="14049" max="14049" width="9.88671875" style="62" customWidth="1"/>
    <col min="14050" max="14050" width="12.6640625" style="62" customWidth="1"/>
    <col min="14051" max="14051" width="11.109375" style="62" customWidth="1"/>
    <col min="14052" max="14052" width="10.88671875" style="62" customWidth="1"/>
    <col min="14053" max="14053" width="11.5546875" style="62" customWidth="1"/>
    <col min="14054" max="14054" width="13.44140625" style="62" customWidth="1"/>
    <col min="14055" max="14055" width="11.109375" style="62" customWidth="1"/>
    <col min="14056" max="14056" width="11.33203125" style="62" bestFit="1" customWidth="1"/>
    <col min="14057" max="14057" width="11.5546875" style="62" customWidth="1"/>
    <col min="14058" max="14058" width="8.88671875" style="62"/>
    <col min="14059" max="14059" width="9.88671875" style="62" bestFit="1" customWidth="1"/>
    <col min="14060" max="14060" width="9.109375" style="62" bestFit="1" customWidth="1"/>
    <col min="14061" max="14061" width="9.5546875" style="62" bestFit="1" customWidth="1"/>
    <col min="14062" max="14302" width="9.109375" style="62" bestFit="1" customWidth="1"/>
    <col min="14303" max="14303" width="1.88671875" style="62" customWidth="1"/>
    <col min="14304" max="14304" width="7.33203125" style="62" customWidth="1"/>
    <col min="14305" max="14305" width="9.88671875" style="62" customWidth="1"/>
    <col min="14306" max="14306" width="12.6640625" style="62" customWidth="1"/>
    <col min="14307" max="14307" width="11.109375" style="62" customWidth="1"/>
    <col min="14308" max="14308" width="10.88671875" style="62" customWidth="1"/>
    <col min="14309" max="14309" width="11.5546875" style="62" customWidth="1"/>
    <col min="14310" max="14310" width="13.44140625" style="62" customWidth="1"/>
    <col min="14311" max="14311" width="11.109375" style="62" customWidth="1"/>
    <col min="14312" max="14312" width="11.33203125" style="62" bestFit="1" customWidth="1"/>
    <col min="14313" max="14313" width="11.5546875" style="62" customWidth="1"/>
    <col min="14314" max="14314" width="8.88671875" style="62"/>
    <col min="14315" max="14315" width="9.88671875" style="62" bestFit="1" customWidth="1"/>
    <col min="14316" max="14316" width="9.109375" style="62" bestFit="1" customWidth="1"/>
    <col min="14317" max="14317" width="9.5546875" style="62" bestFit="1" customWidth="1"/>
    <col min="14318" max="14558" width="9.109375" style="62" bestFit="1" customWidth="1"/>
    <col min="14559" max="14559" width="1.88671875" style="62" customWidth="1"/>
    <col min="14560" max="14560" width="7.33203125" style="62" customWidth="1"/>
    <col min="14561" max="14561" width="9.88671875" style="62" customWidth="1"/>
    <col min="14562" max="14562" width="12.6640625" style="62" customWidth="1"/>
    <col min="14563" max="14563" width="11.109375" style="62" customWidth="1"/>
    <col min="14564" max="14564" width="10.88671875" style="62" customWidth="1"/>
    <col min="14565" max="14565" width="11.5546875" style="62" customWidth="1"/>
    <col min="14566" max="14566" width="13.44140625" style="62" customWidth="1"/>
    <col min="14567" max="14567" width="11.109375" style="62" customWidth="1"/>
    <col min="14568" max="14568" width="11.33203125" style="62" bestFit="1" customWidth="1"/>
    <col min="14569" max="14569" width="11.5546875" style="62" customWidth="1"/>
    <col min="14570" max="14570" width="8.88671875" style="62"/>
    <col min="14571" max="14571" width="9.88671875" style="62" bestFit="1" customWidth="1"/>
    <col min="14572" max="14572" width="9.109375" style="62" bestFit="1" customWidth="1"/>
    <col min="14573" max="14573" width="9.5546875" style="62" bestFit="1" customWidth="1"/>
    <col min="14574" max="14814" width="9.109375" style="62" bestFit="1" customWidth="1"/>
    <col min="14815" max="14815" width="1.88671875" style="62" customWidth="1"/>
    <col min="14816" max="14816" width="7.33203125" style="62" customWidth="1"/>
    <col min="14817" max="14817" width="9.88671875" style="62" customWidth="1"/>
    <col min="14818" max="14818" width="12.6640625" style="62" customWidth="1"/>
    <col min="14819" max="14819" width="11.109375" style="62" customWidth="1"/>
    <col min="14820" max="14820" width="10.88671875" style="62" customWidth="1"/>
    <col min="14821" max="14821" width="11.5546875" style="62" customWidth="1"/>
    <col min="14822" max="14822" width="13.44140625" style="62" customWidth="1"/>
    <col min="14823" max="14823" width="11.109375" style="62" customWidth="1"/>
    <col min="14824" max="14824" width="11.33203125" style="62" bestFit="1" customWidth="1"/>
    <col min="14825" max="14825" width="11.5546875" style="62" customWidth="1"/>
    <col min="14826" max="14826" width="8.88671875" style="62"/>
    <col min="14827" max="14827" width="9.88671875" style="62" bestFit="1" customWidth="1"/>
    <col min="14828" max="14828" width="9.109375" style="62" bestFit="1" customWidth="1"/>
    <col min="14829" max="14829" width="9.5546875" style="62" bestFit="1" customWidth="1"/>
    <col min="14830" max="15070" width="9.109375" style="62" bestFit="1" customWidth="1"/>
    <col min="15071" max="15071" width="1.88671875" style="62" customWidth="1"/>
    <col min="15072" max="15072" width="7.33203125" style="62" customWidth="1"/>
    <col min="15073" max="15073" width="9.88671875" style="62" customWidth="1"/>
    <col min="15074" max="15074" width="12.6640625" style="62" customWidth="1"/>
    <col min="15075" max="15075" width="11.109375" style="62" customWidth="1"/>
    <col min="15076" max="15076" width="10.88671875" style="62" customWidth="1"/>
    <col min="15077" max="15077" width="11.5546875" style="62" customWidth="1"/>
    <col min="15078" max="15078" width="13.44140625" style="62" customWidth="1"/>
    <col min="15079" max="15079" width="11.109375" style="62" customWidth="1"/>
    <col min="15080" max="15080" width="11.33203125" style="62" bestFit="1" customWidth="1"/>
    <col min="15081" max="15081" width="11.5546875" style="62" customWidth="1"/>
    <col min="15082" max="15082" width="8.88671875" style="62"/>
    <col min="15083" max="15083" width="9.88671875" style="62" bestFit="1" customWidth="1"/>
    <col min="15084" max="15084" width="9.109375" style="62" bestFit="1" customWidth="1"/>
    <col min="15085" max="15085" width="9.5546875" style="62" bestFit="1" customWidth="1"/>
    <col min="15086" max="15326" width="9.109375" style="62" bestFit="1" customWidth="1"/>
    <col min="15327" max="15327" width="1.88671875" style="62" customWidth="1"/>
    <col min="15328" max="15328" width="7.33203125" style="62" customWidth="1"/>
    <col min="15329" max="15329" width="9.88671875" style="62" customWidth="1"/>
    <col min="15330" max="15330" width="12.6640625" style="62" customWidth="1"/>
    <col min="15331" max="15331" width="11.109375" style="62" customWidth="1"/>
    <col min="15332" max="15332" width="10.88671875" style="62" customWidth="1"/>
    <col min="15333" max="15333" width="11.5546875" style="62" customWidth="1"/>
    <col min="15334" max="15334" width="13.44140625" style="62" customWidth="1"/>
    <col min="15335" max="15335" width="11.109375" style="62" customWidth="1"/>
    <col min="15336" max="15336" width="11.33203125" style="62" bestFit="1" customWidth="1"/>
    <col min="15337" max="15337" width="11.5546875" style="62" customWidth="1"/>
    <col min="15338" max="15338" width="8.88671875" style="62"/>
    <col min="15339" max="15339" width="9.88671875" style="62" bestFit="1" customWidth="1"/>
    <col min="15340" max="15340" width="9.109375" style="62" bestFit="1" customWidth="1"/>
    <col min="15341" max="15341" width="9.5546875" style="62" bestFit="1" customWidth="1"/>
    <col min="15342" max="15582" width="9.109375" style="62" bestFit="1" customWidth="1"/>
    <col min="15583" max="15583" width="1.88671875" style="62" customWidth="1"/>
    <col min="15584" max="15584" width="7.33203125" style="62" customWidth="1"/>
    <col min="15585" max="15585" width="9.88671875" style="62" customWidth="1"/>
    <col min="15586" max="15586" width="12.6640625" style="62" customWidth="1"/>
    <col min="15587" max="15587" width="11.109375" style="62" customWidth="1"/>
    <col min="15588" max="15588" width="10.88671875" style="62" customWidth="1"/>
    <col min="15589" max="15589" width="11.5546875" style="62" customWidth="1"/>
    <col min="15590" max="15590" width="13.44140625" style="62" customWidth="1"/>
    <col min="15591" max="15591" width="11.109375" style="62" customWidth="1"/>
    <col min="15592" max="15592" width="11.33203125" style="62" bestFit="1" customWidth="1"/>
    <col min="15593" max="15593" width="11.5546875" style="62" customWidth="1"/>
    <col min="15594" max="15594" width="8.88671875" style="62"/>
    <col min="15595" max="15595" width="9.88671875" style="62" bestFit="1" customWidth="1"/>
    <col min="15596" max="15596" width="9.109375" style="62" bestFit="1" customWidth="1"/>
    <col min="15597" max="15597" width="9.5546875" style="62" bestFit="1" customWidth="1"/>
    <col min="15598" max="15838" width="9.109375" style="62" bestFit="1" customWidth="1"/>
    <col min="15839" max="15839" width="1.88671875" style="62" customWidth="1"/>
    <col min="15840" max="15840" width="7.33203125" style="62" customWidth="1"/>
    <col min="15841" max="15841" width="9.88671875" style="62" customWidth="1"/>
    <col min="15842" max="15842" width="12.6640625" style="62" customWidth="1"/>
    <col min="15843" max="15843" width="11.109375" style="62" customWidth="1"/>
    <col min="15844" max="15844" width="10.88671875" style="62" customWidth="1"/>
    <col min="15845" max="15845" width="11.5546875" style="62" customWidth="1"/>
    <col min="15846" max="15846" width="13.44140625" style="62" customWidth="1"/>
    <col min="15847" max="15847" width="11.109375" style="62" customWidth="1"/>
    <col min="15848" max="15848" width="11.33203125" style="62" bestFit="1" customWidth="1"/>
    <col min="15849" max="15849" width="11.5546875" style="62" customWidth="1"/>
    <col min="15850" max="15850" width="8.88671875" style="62"/>
    <col min="15851" max="15851" width="9.88671875" style="62" bestFit="1" customWidth="1"/>
    <col min="15852" max="15852" width="9.109375" style="62" bestFit="1" customWidth="1"/>
    <col min="15853" max="15853" width="9.5546875" style="62" bestFit="1" customWidth="1"/>
    <col min="15854" max="16094" width="9.109375" style="62" bestFit="1" customWidth="1"/>
    <col min="16095" max="16095" width="1.88671875" style="62" customWidth="1"/>
    <col min="16096" max="16096" width="7.33203125" style="62" customWidth="1"/>
    <col min="16097" max="16097" width="9.88671875" style="62" customWidth="1"/>
    <col min="16098" max="16098" width="12.6640625" style="62" customWidth="1"/>
    <col min="16099" max="16099" width="11.109375" style="62" customWidth="1"/>
    <col min="16100" max="16100" width="10.88671875" style="62" customWidth="1"/>
    <col min="16101" max="16101" width="11.5546875" style="62" customWidth="1"/>
    <col min="16102" max="16102" width="13.44140625" style="62" customWidth="1"/>
    <col min="16103" max="16103" width="11.109375" style="62" customWidth="1"/>
    <col min="16104" max="16104" width="11.33203125" style="62" bestFit="1" customWidth="1"/>
    <col min="16105" max="16105" width="11.5546875" style="62" customWidth="1"/>
    <col min="16106" max="16106" width="8.88671875" style="62"/>
    <col min="16107" max="16107" width="9.88671875" style="62" bestFit="1" customWidth="1"/>
    <col min="16108" max="16108" width="9.109375" style="62" bestFit="1" customWidth="1"/>
    <col min="16109" max="16109" width="9.5546875" style="62" bestFit="1" customWidth="1"/>
    <col min="16110" max="16384" width="8.88671875" style="62"/>
  </cols>
  <sheetData>
    <row r="1" spans="1:7" ht="17.399999999999999" customHeight="1" x14ac:dyDescent="0.3">
      <c r="A1" s="321" t="str">
        <f>Resumo!A1</f>
        <v>ANEXO K-2</v>
      </c>
      <c r="B1" s="322"/>
      <c r="C1" s="322"/>
      <c r="D1" s="323"/>
    </row>
    <row r="2" spans="1:7" ht="13.8" customHeight="1" x14ac:dyDescent="0.3">
      <c r="A2" s="324" t="str">
        <f>Resumo!A2</f>
        <v>COMPOSIÇÃO DE CUSTO DA ADMINISTRAÇÃO</v>
      </c>
      <c r="B2" s="325"/>
      <c r="C2" s="325"/>
      <c r="D2" s="326"/>
    </row>
    <row r="3" spans="1:7" ht="13.8" customHeight="1" thickBot="1" x14ac:dyDescent="0.35">
      <c r="A3" s="327" t="s">
        <v>41</v>
      </c>
      <c r="B3" s="328"/>
      <c r="C3" s="328"/>
      <c r="D3" s="329"/>
    </row>
    <row r="5" spans="1:7" x14ac:dyDescent="0.3">
      <c r="A5" s="339" t="s">
        <v>585</v>
      </c>
      <c r="B5" s="339"/>
      <c r="C5" s="339"/>
      <c r="D5" s="339"/>
    </row>
    <row r="6" spans="1:7" ht="13.8" thickBot="1" x14ac:dyDescent="0.35">
      <c r="A6" s="330"/>
      <c r="B6" s="330"/>
      <c r="C6" s="330"/>
      <c r="D6" s="330"/>
    </row>
    <row r="7" spans="1:7" ht="13.8" thickBot="1" x14ac:dyDescent="0.35">
      <c r="A7" s="331" t="s">
        <v>138</v>
      </c>
      <c r="B7" s="332"/>
      <c r="C7" s="332"/>
      <c r="D7" s="333"/>
    </row>
    <row r="8" spans="1:7" x14ac:dyDescent="0.3">
      <c r="A8" s="63" t="s">
        <v>139</v>
      </c>
      <c r="B8" s="64" t="s">
        <v>140</v>
      </c>
      <c r="C8" s="65"/>
      <c r="D8" s="66"/>
    </row>
    <row r="9" spans="1:7" ht="13.2" customHeight="1" x14ac:dyDescent="0.3">
      <c r="A9" s="67" t="s">
        <v>141</v>
      </c>
      <c r="B9" s="68" t="s">
        <v>142</v>
      </c>
      <c r="C9" s="69"/>
      <c r="D9" s="70"/>
    </row>
    <row r="10" spans="1:7" x14ac:dyDescent="0.3">
      <c r="A10" s="67" t="s">
        <v>143</v>
      </c>
      <c r="B10" s="68" t="s">
        <v>144</v>
      </c>
      <c r="C10" s="69"/>
      <c r="D10" s="70"/>
      <c r="F10" s="319" t="s">
        <v>403</v>
      </c>
      <c r="G10" s="319"/>
    </row>
    <row r="11" spans="1:7" ht="15" thickBot="1" x14ac:dyDescent="0.35">
      <c r="A11" s="71" t="s">
        <v>145</v>
      </c>
      <c r="B11" s="72" t="s">
        <v>146</v>
      </c>
      <c r="C11" s="73"/>
      <c r="D11" s="74"/>
      <c r="F11" s="194" t="s">
        <v>302</v>
      </c>
      <c r="G11" s="199" t="s">
        <v>561</v>
      </c>
    </row>
    <row r="12" spans="1:7" ht="15" thickBot="1" x14ac:dyDescent="0.35">
      <c r="A12" s="75"/>
      <c r="B12" s="76"/>
      <c r="D12" s="78"/>
      <c r="F12" s="194" t="s">
        <v>303</v>
      </c>
      <c r="G12" s="200">
        <v>44300</v>
      </c>
    </row>
    <row r="13" spans="1:7" ht="15" thickBot="1" x14ac:dyDescent="0.35">
      <c r="A13" s="331" t="s">
        <v>147</v>
      </c>
      <c r="B13" s="332"/>
      <c r="C13" s="332"/>
      <c r="D13" s="333"/>
      <c r="F13" s="194" t="s">
        <v>304</v>
      </c>
      <c r="G13" s="199" t="s">
        <v>562</v>
      </c>
    </row>
    <row r="14" spans="1:7" ht="14.4" x14ac:dyDescent="0.3">
      <c r="A14" s="63" t="s">
        <v>148</v>
      </c>
      <c r="B14" s="64" t="s">
        <v>149</v>
      </c>
      <c r="C14" s="79"/>
      <c r="D14" s="180">
        <v>44396</v>
      </c>
      <c r="F14" s="194" t="s">
        <v>305</v>
      </c>
      <c r="G14" s="199" t="s">
        <v>563</v>
      </c>
    </row>
    <row r="15" spans="1:7" ht="14.4" x14ac:dyDescent="0.3">
      <c r="A15" s="67" t="s">
        <v>150</v>
      </c>
      <c r="B15" s="68" t="s">
        <v>151</v>
      </c>
      <c r="C15" s="80"/>
      <c r="D15" s="81" t="s">
        <v>560</v>
      </c>
      <c r="F15" s="194" t="s">
        <v>306</v>
      </c>
      <c r="G15" s="200">
        <v>44293</v>
      </c>
    </row>
    <row r="16" spans="1:7" x14ac:dyDescent="0.3">
      <c r="A16" s="67" t="s">
        <v>152</v>
      </c>
      <c r="B16" s="68" t="s">
        <v>153</v>
      </c>
      <c r="C16" s="80"/>
      <c r="D16" s="81" t="s">
        <v>154</v>
      </c>
    </row>
    <row r="17" spans="1:5" x14ac:dyDescent="0.3">
      <c r="A17" s="67" t="s">
        <v>155</v>
      </c>
      <c r="B17" s="68" t="s">
        <v>156</v>
      </c>
      <c r="C17" s="334" t="s">
        <v>157</v>
      </c>
      <c r="D17" s="335"/>
    </row>
    <row r="18" spans="1:5" x14ac:dyDescent="0.3">
      <c r="A18" s="67" t="s">
        <v>158</v>
      </c>
      <c r="B18" s="68" t="s">
        <v>159</v>
      </c>
      <c r="C18" s="82"/>
      <c r="D18" s="83" t="s">
        <v>160</v>
      </c>
    </row>
    <row r="19" spans="1:5" ht="13.8" thickBot="1" x14ac:dyDescent="0.35">
      <c r="A19" s="71" t="s">
        <v>161</v>
      </c>
      <c r="B19" s="84" t="s">
        <v>162</v>
      </c>
      <c r="C19" s="85"/>
      <c r="D19" s="86">
        <v>1045</v>
      </c>
    </row>
    <row r="20" spans="1:5" ht="13.8" thickBot="1" x14ac:dyDescent="0.35">
      <c r="D20" s="78"/>
    </row>
    <row r="21" spans="1:5" ht="13.8" thickBot="1" x14ac:dyDescent="0.35">
      <c r="A21" s="336" t="s">
        <v>163</v>
      </c>
      <c r="B21" s="337"/>
      <c r="C21" s="337"/>
      <c r="D21" s="338"/>
      <c r="E21" s="87"/>
    </row>
    <row r="22" spans="1:5" ht="26.4" customHeight="1" x14ac:dyDescent="0.3">
      <c r="A22" s="67" t="s">
        <v>164</v>
      </c>
      <c r="B22" s="320" t="s">
        <v>165</v>
      </c>
      <c r="C22" s="320"/>
      <c r="D22" s="61" t="s">
        <v>166</v>
      </c>
    </row>
    <row r="23" spans="1:5" ht="13.8" x14ac:dyDescent="0.3">
      <c r="A23" s="67" t="s">
        <v>167</v>
      </c>
      <c r="B23" s="320" t="s">
        <v>168</v>
      </c>
      <c r="C23" s="320"/>
      <c r="D23" s="88" t="s">
        <v>133</v>
      </c>
      <c r="E23" s="89"/>
    </row>
    <row r="24" spans="1:5" x14ac:dyDescent="0.25">
      <c r="A24" s="67" t="s">
        <v>169</v>
      </c>
      <c r="B24" s="320" t="s">
        <v>170</v>
      </c>
      <c r="C24" s="320"/>
      <c r="D24" s="171">
        <v>2294.06</v>
      </c>
      <c r="E24" s="192"/>
    </row>
    <row r="25" spans="1:5" ht="14.4" x14ac:dyDescent="0.3">
      <c r="A25" s="67" t="s">
        <v>171</v>
      </c>
      <c r="B25" s="320" t="s">
        <v>172</v>
      </c>
      <c r="C25" s="320"/>
      <c r="D25" s="177" t="s">
        <v>563</v>
      </c>
      <c r="E25" s="193" t="s">
        <v>564</v>
      </c>
    </row>
    <row r="26" spans="1:5" x14ac:dyDescent="0.3">
      <c r="A26" s="67" t="s">
        <v>173</v>
      </c>
      <c r="B26" s="320" t="s">
        <v>174</v>
      </c>
      <c r="C26" s="320"/>
      <c r="D26" s="178">
        <v>44293</v>
      </c>
    </row>
    <row r="27" spans="1:5" ht="13.2" customHeight="1" x14ac:dyDescent="0.3">
      <c r="A27" s="67" t="s">
        <v>175</v>
      </c>
      <c r="B27" s="320" t="s">
        <v>176</v>
      </c>
      <c r="C27" s="320"/>
      <c r="D27" s="179">
        <v>44146</v>
      </c>
    </row>
    <row r="28" spans="1:5" x14ac:dyDescent="0.3">
      <c r="A28" s="67" t="s">
        <v>177</v>
      </c>
      <c r="B28" s="320" t="s">
        <v>178</v>
      </c>
      <c r="C28" s="342"/>
      <c r="D28" s="91" t="s">
        <v>179</v>
      </c>
    </row>
    <row r="29" spans="1:5" x14ac:dyDescent="0.3">
      <c r="A29" s="67" t="s">
        <v>180</v>
      </c>
      <c r="B29" s="320" t="s">
        <v>181</v>
      </c>
      <c r="C29" s="342"/>
      <c r="D29" s="92">
        <v>1</v>
      </c>
    </row>
    <row r="30" spans="1:5" x14ac:dyDescent="0.3">
      <c r="A30" s="67" t="s">
        <v>182</v>
      </c>
      <c r="B30" s="320" t="s">
        <v>183</v>
      </c>
      <c r="C30" s="320"/>
      <c r="D30" s="92">
        <v>1</v>
      </c>
    </row>
    <row r="31" spans="1:5" ht="13.8" thickBot="1" x14ac:dyDescent="0.35">
      <c r="A31" s="71" t="s">
        <v>184</v>
      </c>
      <c r="B31" s="343" t="s">
        <v>296</v>
      </c>
      <c r="C31" s="343"/>
      <c r="D31" s="93">
        <f>D29*D30</f>
        <v>1</v>
      </c>
    </row>
    <row r="32" spans="1:5" ht="13.8" thickBot="1" x14ac:dyDescent="0.35">
      <c r="A32" s="94"/>
      <c r="B32" s="95"/>
      <c r="C32" s="95"/>
      <c r="D32" s="96"/>
    </row>
    <row r="33" spans="1:5" x14ac:dyDescent="0.3">
      <c r="A33" s="344" t="s">
        <v>8</v>
      </c>
      <c r="B33" s="345"/>
      <c r="C33" s="345"/>
      <c r="D33" s="346"/>
    </row>
    <row r="34" spans="1:5" x14ac:dyDescent="0.3">
      <c r="A34" s="347" t="s">
        <v>185</v>
      </c>
      <c r="B34" s="348"/>
      <c r="C34" s="349"/>
      <c r="D34" s="97" t="s">
        <v>186</v>
      </c>
    </row>
    <row r="35" spans="1:5" x14ac:dyDescent="0.3">
      <c r="A35" s="98" t="s">
        <v>187</v>
      </c>
      <c r="B35" s="350" t="s">
        <v>188</v>
      </c>
      <c r="C35" s="350"/>
      <c r="D35" s="176">
        <f>D24</f>
        <v>2294.06</v>
      </c>
      <c r="E35" s="263"/>
    </row>
    <row r="36" spans="1:5" x14ac:dyDescent="0.3">
      <c r="A36" s="98" t="s">
        <v>189</v>
      </c>
      <c r="B36" s="100" t="s">
        <v>190</v>
      </c>
      <c r="C36" s="101">
        <f>IF(D35="","",((D19)*(40%)))</f>
        <v>418</v>
      </c>
      <c r="D36" s="102">
        <f>IF(D35=0,"",IF(C36&gt;C37,C36,0))</f>
        <v>0</v>
      </c>
      <c r="E36" s="263"/>
    </row>
    <row r="37" spans="1:5" x14ac:dyDescent="0.3">
      <c r="A37" s="98" t="s">
        <v>191</v>
      </c>
      <c r="B37" s="103" t="s">
        <v>192</v>
      </c>
      <c r="C37" s="101">
        <f>D35*0.2</f>
        <v>458.81200000000001</v>
      </c>
      <c r="D37" s="102">
        <f>IF(C37&gt;C36,C37,0)</f>
        <v>458.81200000000001</v>
      </c>
      <c r="E37" s="99"/>
    </row>
    <row r="38" spans="1:5" ht="13.8" thickBot="1" x14ac:dyDescent="0.35">
      <c r="A38" s="351" t="s">
        <v>9</v>
      </c>
      <c r="B38" s="352"/>
      <c r="C38" s="352"/>
      <c r="D38" s="104">
        <f>SUM(D35:D37)</f>
        <v>2752.8719999999998</v>
      </c>
      <c r="E38" s="105"/>
    </row>
    <row r="39" spans="1:5" ht="13.8" thickBot="1" x14ac:dyDescent="0.35">
      <c r="A39" s="106"/>
      <c r="B39" s="106"/>
      <c r="C39" s="106"/>
      <c r="D39" s="106"/>
    </row>
    <row r="40" spans="1:5" x14ac:dyDescent="0.3">
      <c r="A40" s="344" t="s">
        <v>193</v>
      </c>
      <c r="B40" s="345"/>
      <c r="C40" s="345"/>
      <c r="D40" s="346"/>
    </row>
    <row r="41" spans="1:5" x14ac:dyDescent="0.3">
      <c r="A41" s="340" t="s">
        <v>194</v>
      </c>
      <c r="B41" s="341"/>
      <c r="C41" s="107" t="s">
        <v>195</v>
      </c>
      <c r="D41" s="108" t="s">
        <v>7</v>
      </c>
    </row>
    <row r="42" spans="1:5" x14ac:dyDescent="0.3">
      <c r="A42" s="67" t="s">
        <v>187</v>
      </c>
      <c r="B42" s="109" t="s">
        <v>263</v>
      </c>
      <c r="C42" s="110">
        <v>8.3299999999999999E-2</v>
      </c>
      <c r="D42" s="111">
        <f>(D38)*($C$42)</f>
        <v>229.31423759999998</v>
      </c>
      <c r="E42" s="264" t="s">
        <v>565</v>
      </c>
    </row>
    <row r="43" spans="1:5" x14ac:dyDescent="0.3">
      <c r="A43" s="67" t="s">
        <v>189</v>
      </c>
      <c r="B43" s="109" t="s">
        <v>196</v>
      </c>
      <c r="C43" s="110">
        <f>12.1%-C86</f>
        <v>0.11899999999999999</v>
      </c>
      <c r="D43" s="111">
        <f>(D38)*($C$43)</f>
        <v>327.59176799999995</v>
      </c>
      <c r="E43" s="265" t="s">
        <v>566</v>
      </c>
    </row>
    <row r="44" spans="1:5" x14ac:dyDescent="0.3">
      <c r="A44" s="353" t="s">
        <v>197</v>
      </c>
      <c r="B44" s="354"/>
      <c r="C44" s="112">
        <f>SUM(C42:C43)</f>
        <v>0.20229999999999998</v>
      </c>
      <c r="D44" s="113">
        <f>SUM(D42:D43)</f>
        <v>556.90600559999996</v>
      </c>
    </row>
    <row r="45" spans="1:5" x14ac:dyDescent="0.3">
      <c r="A45" s="340" t="s">
        <v>198</v>
      </c>
      <c r="B45" s="341"/>
      <c r="C45" s="107" t="s">
        <v>195</v>
      </c>
      <c r="D45" s="114" t="s">
        <v>7</v>
      </c>
    </row>
    <row r="46" spans="1:5" x14ac:dyDescent="0.3">
      <c r="A46" s="67" t="s">
        <v>187</v>
      </c>
      <c r="B46" s="115" t="s">
        <v>264</v>
      </c>
      <c r="C46" s="267">
        <v>0.2</v>
      </c>
      <c r="D46" s="111">
        <f t="shared" ref="D46:D53" si="0">($D$38+$D$44)*(C46)</f>
        <v>661.95560111999998</v>
      </c>
    </row>
    <row r="47" spans="1:5" x14ac:dyDescent="0.3">
      <c r="A47" s="67" t="s">
        <v>189</v>
      </c>
      <c r="B47" s="115" t="s">
        <v>265</v>
      </c>
      <c r="C47" s="266">
        <v>2.5000000000000001E-2</v>
      </c>
      <c r="D47" s="111">
        <f t="shared" si="0"/>
        <v>82.744450139999998</v>
      </c>
    </row>
    <row r="48" spans="1:5" x14ac:dyDescent="0.3">
      <c r="A48" s="67" t="s">
        <v>199</v>
      </c>
      <c r="B48" s="115" t="s">
        <v>266</v>
      </c>
      <c r="C48" s="167">
        <v>0.06</v>
      </c>
      <c r="D48" s="111">
        <f t="shared" si="0"/>
        <v>198.58668033599997</v>
      </c>
      <c r="E48" s="264" t="s">
        <v>567</v>
      </c>
    </row>
    <row r="49" spans="1:5" x14ac:dyDescent="0.3">
      <c r="A49" s="67" t="s">
        <v>200</v>
      </c>
      <c r="B49" s="115" t="s">
        <v>267</v>
      </c>
      <c r="C49" s="266">
        <v>1.4999999999999999E-2</v>
      </c>
      <c r="D49" s="111">
        <f t="shared" si="0"/>
        <v>49.646670083999993</v>
      </c>
    </row>
    <row r="50" spans="1:5" x14ac:dyDescent="0.3">
      <c r="A50" s="67" t="s">
        <v>201</v>
      </c>
      <c r="B50" s="115" t="s">
        <v>268</v>
      </c>
      <c r="C50" s="266">
        <v>0.01</v>
      </c>
      <c r="D50" s="111">
        <f t="shared" si="0"/>
        <v>33.097780055999998</v>
      </c>
    </row>
    <row r="51" spans="1:5" x14ac:dyDescent="0.3">
      <c r="A51" s="67" t="s">
        <v>202</v>
      </c>
      <c r="B51" s="117" t="s">
        <v>269</v>
      </c>
      <c r="C51" s="266">
        <v>6.0000000000000001E-3</v>
      </c>
      <c r="D51" s="111">
        <f t="shared" si="0"/>
        <v>19.858668033599997</v>
      </c>
    </row>
    <row r="52" spans="1:5" x14ac:dyDescent="0.3">
      <c r="A52" s="67" t="s">
        <v>203</v>
      </c>
      <c r="B52" s="115" t="s">
        <v>270</v>
      </c>
      <c r="C52" s="266">
        <v>2E-3</v>
      </c>
      <c r="D52" s="111">
        <f t="shared" si="0"/>
        <v>6.6195560111999994</v>
      </c>
    </row>
    <row r="53" spans="1:5" x14ac:dyDescent="0.3">
      <c r="A53" s="67" t="s">
        <v>204</v>
      </c>
      <c r="B53" s="115" t="s">
        <v>271</v>
      </c>
      <c r="C53" s="266">
        <v>0.08</v>
      </c>
      <c r="D53" s="111">
        <f t="shared" si="0"/>
        <v>264.78224044799998</v>
      </c>
      <c r="E53" s="105"/>
    </row>
    <row r="54" spans="1:5" x14ac:dyDescent="0.3">
      <c r="A54" s="353" t="s">
        <v>205</v>
      </c>
      <c r="B54" s="354"/>
      <c r="C54" s="118">
        <f>SUM(C46:C53)</f>
        <v>0.39800000000000008</v>
      </c>
      <c r="D54" s="119">
        <f>SUM(D46:D53)</f>
        <v>1317.2916462288001</v>
      </c>
    </row>
    <row r="55" spans="1:5" x14ac:dyDescent="0.3">
      <c r="A55" s="340" t="s">
        <v>11</v>
      </c>
      <c r="B55" s="341"/>
      <c r="C55" s="120" t="s">
        <v>206</v>
      </c>
      <c r="D55" s="97" t="s">
        <v>7</v>
      </c>
    </row>
    <row r="56" spans="1:5" ht="13.8" x14ac:dyDescent="0.25">
      <c r="A56" s="67" t="s">
        <v>187</v>
      </c>
      <c r="B56" s="121" t="s">
        <v>207</v>
      </c>
      <c r="C56" s="173">
        <v>6.6</v>
      </c>
      <c r="D56" s="122">
        <f>IF((C56*22)-(D35*6%)&lt;0,0,(C56*22)-(D35*6%))</f>
        <v>7.5563999999999965</v>
      </c>
      <c r="E56" s="268" t="s">
        <v>583</v>
      </c>
    </row>
    <row r="57" spans="1:5" ht="13.8" x14ac:dyDescent="0.25">
      <c r="A57" s="67" t="s">
        <v>189</v>
      </c>
      <c r="B57" s="121" t="s">
        <v>208</v>
      </c>
      <c r="C57" s="174">
        <v>8.35</v>
      </c>
      <c r="D57" s="123">
        <v>183.7</v>
      </c>
      <c r="E57" s="268" t="s">
        <v>568</v>
      </c>
    </row>
    <row r="58" spans="1:5" x14ac:dyDescent="0.25">
      <c r="A58" s="67" t="s">
        <v>307</v>
      </c>
      <c r="B58" s="121" t="s">
        <v>308</v>
      </c>
      <c r="C58" s="174">
        <v>0</v>
      </c>
      <c r="D58" s="123">
        <f>(C58)*22</f>
        <v>0</v>
      </c>
      <c r="E58" s="191"/>
    </row>
    <row r="59" spans="1:5" x14ac:dyDescent="0.3">
      <c r="A59" s="67" t="s">
        <v>199</v>
      </c>
      <c r="B59" s="121" t="s">
        <v>209</v>
      </c>
      <c r="C59" s="175">
        <v>0</v>
      </c>
      <c r="D59" s="123">
        <f>($C$59)</f>
        <v>0</v>
      </c>
      <c r="E59" s="99"/>
    </row>
    <row r="60" spans="1:5" x14ac:dyDescent="0.3">
      <c r="A60" s="67" t="s">
        <v>200</v>
      </c>
      <c r="B60" s="121" t="s">
        <v>210</v>
      </c>
      <c r="C60" s="175">
        <v>0</v>
      </c>
      <c r="D60" s="123">
        <f>($C$60)</f>
        <v>0</v>
      </c>
      <c r="E60" s="124"/>
    </row>
    <row r="61" spans="1:5" x14ac:dyDescent="0.3">
      <c r="A61" s="67" t="s">
        <v>201</v>
      </c>
      <c r="B61" s="121" t="s">
        <v>211</v>
      </c>
      <c r="C61" s="175">
        <v>0</v>
      </c>
      <c r="D61" s="123">
        <f>$C$61</f>
        <v>0</v>
      </c>
      <c r="E61" s="125"/>
    </row>
    <row r="62" spans="1:5" x14ac:dyDescent="0.3">
      <c r="A62" s="67" t="s">
        <v>212</v>
      </c>
      <c r="B62" s="121" t="s">
        <v>213</v>
      </c>
      <c r="C62" s="175">
        <v>0</v>
      </c>
      <c r="D62" s="123">
        <f>$C$62</f>
        <v>0</v>
      </c>
      <c r="E62" s="124"/>
    </row>
    <row r="63" spans="1:5" x14ac:dyDescent="0.3">
      <c r="A63" s="355" t="s">
        <v>214</v>
      </c>
      <c r="B63" s="356"/>
      <c r="C63" s="126"/>
      <c r="D63" s="127">
        <f>SUM(D56:D62)</f>
        <v>191.25639999999999</v>
      </c>
    </row>
    <row r="64" spans="1:5" hidden="1" x14ac:dyDescent="0.3">
      <c r="A64" s="347" t="s">
        <v>215</v>
      </c>
      <c r="B64" s="349"/>
      <c r="C64" s="107" t="s">
        <v>216</v>
      </c>
      <c r="D64" s="97" t="s">
        <v>7</v>
      </c>
    </row>
    <row r="65" spans="1:4" hidden="1" x14ac:dyDescent="0.3">
      <c r="A65" s="67" t="s">
        <v>187</v>
      </c>
      <c r="B65" s="109" t="s">
        <v>217</v>
      </c>
      <c r="C65" s="128">
        <v>0</v>
      </c>
      <c r="D65" s="129">
        <f>(D38/220)*150%*0.5*C65</f>
        <v>0</v>
      </c>
    </row>
    <row r="66" spans="1:4" ht="13.8" hidden="1" thickBot="1" x14ac:dyDescent="0.35">
      <c r="A66" s="357" t="s">
        <v>218</v>
      </c>
      <c r="B66" s="358"/>
      <c r="C66" s="130"/>
      <c r="D66" s="131">
        <f>D65</f>
        <v>0</v>
      </c>
    </row>
    <row r="67" spans="1:4" x14ac:dyDescent="0.3">
      <c r="A67" s="359" t="s">
        <v>219</v>
      </c>
      <c r="B67" s="360"/>
      <c r="C67" s="341"/>
      <c r="D67" s="361"/>
    </row>
    <row r="68" spans="1:4" x14ac:dyDescent="0.3">
      <c r="A68" s="132" t="s">
        <v>220</v>
      </c>
      <c r="B68" s="362" t="s">
        <v>221</v>
      </c>
      <c r="C68" s="362"/>
      <c r="D68" s="133">
        <f>(D44)</f>
        <v>556.90600559999996</v>
      </c>
    </row>
    <row r="69" spans="1:4" x14ac:dyDescent="0.3">
      <c r="A69" s="132" t="s">
        <v>222</v>
      </c>
      <c r="B69" s="362" t="s">
        <v>223</v>
      </c>
      <c r="C69" s="362"/>
      <c r="D69" s="133">
        <f>(D54)</f>
        <v>1317.2916462288001</v>
      </c>
    </row>
    <row r="70" spans="1:4" x14ac:dyDescent="0.3">
      <c r="A70" s="132" t="s">
        <v>224</v>
      </c>
      <c r="B70" s="362" t="s">
        <v>14</v>
      </c>
      <c r="C70" s="362"/>
      <c r="D70" s="133">
        <f>(D63)</f>
        <v>191.25639999999999</v>
      </c>
    </row>
    <row r="71" spans="1:4" x14ac:dyDescent="0.3">
      <c r="A71" s="132" t="s">
        <v>54</v>
      </c>
      <c r="B71" s="362" t="s">
        <v>225</v>
      </c>
      <c r="C71" s="363"/>
      <c r="D71" s="133">
        <f>D66</f>
        <v>0</v>
      </c>
    </row>
    <row r="72" spans="1:4" ht="13.8" thickBot="1" x14ac:dyDescent="0.35">
      <c r="A72" s="357" t="s">
        <v>15</v>
      </c>
      <c r="B72" s="364"/>
      <c r="C72" s="364"/>
      <c r="D72" s="134">
        <f>SUM(D68:D71)</f>
        <v>2065.4540518288004</v>
      </c>
    </row>
    <row r="73" spans="1:4" ht="13.8" thickBot="1" x14ac:dyDescent="0.35">
      <c r="A73" s="135"/>
      <c r="B73" s="135"/>
      <c r="C73" s="135"/>
      <c r="D73" s="135"/>
    </row>
    <row r="74" spans="1:4" x14ac:dyDescent="0.3">
      <c r="A74" s="344" t="s">
        <v>226</v>
      </c>
      <c r="B74" s="345"/>
      <c r="C74" s="345"/>
      <c r="D74" s="346"/>
    </row>
    <row r="75" spans="1:4" x14ac:dyDescent="0.3">
      <c r="A75" s="340" t="s">
        <v>227</v>
      </c>
      <c r="B75" s="341"/>
      <c r="C75" s="107" t="s">
        <v>195</v>
      </c>
      <c r="D75" s="97" t="s">
        <v>7</v>
      </c>
    </row>
    <row r="76" spans="1:4" x14ac:dyDescent="0.3">
      <c r="A76" s="67" t="s">
        <v>187</v>
      </c>
      <c r="B76" s="109" t="s">
        <v>228</v>
      </c>
      <c r="C76" s="136">
        <v>4.1999999999999997E-3</v>
      </c>
      <c r="D76" s="137">
        <f t="shared" ref="D76:D81" si="1">($D$38)*(C76)</f>
        <v>11.562062399999999</v>
      </c>
    </row>
    <row r="77" spans="1:4" x14ac:dyDescent="0.3">
      <c r="A77" s="67" t="s">
        <v>189</v>
      </c>
      <c r="B77" s="109" t="s">
        <v>16</v>
      </c>
      <c r="C77" s="136">
        <f>($C$53)*(C76)</f>
        <v>3.3599999999999998E-4</v>
      </c>
      <c r="D77" s="137">
        <f t="shared" si="1"/>
        <v>0.92496499199999993</v>
      </c>
    </row>
    <row r="78" spans="1:4" x14ac:dyDescent="0.3">
      <c r="A78" s="67" t="s">
        <v>199</v>
      </c>
      <c r="B78" s="109" t="s">
        <v>229</v>
      </c>
      <c r="C78" s="136">
        <v>3.9199999999999999E-2</v>
      </c>
      <c r="D78" s="137">
        <f t="shared" si="1"/>
        <v>107.91258239999999</v>
      </c>
    </row>
    <row r="79" spans="1:4" x14ac:dyDescent="0.3">
      <c r="A79" s="67" t="s">
        <v>200</v>
      </c>
      <c r="B79" s="109" t="s">
        <v>272</v>
      </c>
      <c r="C79" s="136">
        <v>1.9400000000000001E-2</v>
      </c>
      <c r="D79" s="137">
        <f t="shared" si="1"/>
        <v>53.4057168</v>
      </c>
    </row>
    <row r="80" spans="1:4" x14ac:dyDescent="0.3">
      <c r="A80" s="67" t="s">
        <v>201</v>
      </c>
      <c r="B80" s="109" t="s">
        <v>230</v>
      </c>
      <c r="C80" s="136">
        <f>($C$54)*(C79)</f>
        <v>7.7212000000000018E-3</v>
      </c>
      <c r="D80" s="137">
        <f t="shared" si="1"/>
        <v>21.255475286400003</v>
      </c>
    </row>
    <row r="81" spans="1:5" x14ac:dyDescent="0.3">
      <c r="A81" s="67" t="s">
        <v>202</v>
      </c>
      <c r="B81" s="109" t="s">
        <v>231</v>
      </c>
      <c r="C81" s="136">
        <v>8.0000000000000004E-4</v>
      </c>
      <c r="D81" s="137">
        <f t="shared" si="1"/>
        <v>2.2022976000000001</v>
      </c>
    </row>
    <row r="82" spans="1:5" ht="13.8" thickBot="1" x14ac:dyDescent="0.35">
      <c r="A82" s="357" t="s">
        <v>17</v>
      </c>
      <c r="B82" s="364"/>
      <c r="C82" s="138">
        <f>SUM(C76:C81)</f>
        <v>7.165719999999999E-2</v>
      </c>
      <c r="D82" s="134">
        <f>SUM(D76:D81)</f>
        <v>197.26309947840002</v>
      </c>
    </row>
    <row r="83" spans="1:5" ht="13.8" thickBot="1" x14ac:dyDescent="0.35">
      <c r="A83" s="135"/>
      <c r="B83" s="116"/>
      <c r="C83" s="116"/>
      <c r="D83" s="116"/>
    </row>
    <row r="84" spans="1:5" x14ac:dyDescent="0.3">
      <c r="A84" s="344" t="s">
        <v>232</v>
      </c>
      <c r="B84" s="345"/>
      <c r="C84" s="345"/>
      <c r="D84" s="346"/>
    </row>
    <row r="85" spans="1:5" x14ac:dyDescent="0.3">
      <c r="A85" s="347" t="s">
        <v>18</v>
      </c>
      <c r="B85" s="348"/>
      <c r="C85" s="107" t="s">
        <v>195</v>
      </c>
      <c r="D85" s="97" t="s">
        <v>7</v>
      </c>
    </row>
    <row r="86" spans="1:5" x14ac:dyDescent="0.3">
      <c r="A86" s="67" t="s">
        <v>187</v>
      </c>
      <c r="B86" s="109" t="s">
        <v>233</v>
      </c>
      <c r="C86" s="172">
        <v>2E-3</v>
      </c>
      <c r="D86" s="137">
        <f>($D$38+$D$44+$D$54+$D$63+$D$82)*(C86)</f>
        <v>10.0311783026144</v>
      </c>
      <c r="E86" s="139"/>
    </row>
    <row r="87" spans="1:5" x14ac:dyDescent="0.3">
      <c r="A87" s="67" t="s">
        <v>189</v>
      </c>
      <c r="B87" s="109" t="s">
        <v>234</v>
      </c>
      <c r="C87" s="172">
        <v>2.7000000000000001E-3</v>
      </c>
      <c r="D87" s="137">
        <f>($D$38+$D$44+$D$54+$D$63+$D$82)*(C87)</f>
        <v>13.542090708529441</v>
      </c>
    </row>
    <row r="88" spans="1:5" x14ac:dyDescent="0.3">
      <c r="A88" s="67" t="s">
        <v>199</v>
      </c>
      <c r="B88" s="109" t="s">
        <v>235</v>
      </c>
      <c r="C88" s="172">
        <v>2.0000000000000001E-4</v>
      </c>
      <c r="D88" s="137">
        <f>($D$38+$D$44+$D$54+$D$63+$D$82)*(C88)</f>
        <v>1.0031178302614401</v>
      </c>
    </row>
    <row r="89" spans="1:5" x14ac:dyDescent="0.3">
      <c r="A89" s="67" t="s">
        <v>200</v>
      </c>
      <c r="B89" s="109" t="s">
        <v>236</v>
      </c>
      <c r="C89" s="172">
        <v>3.3E-3</v>
      </c>
      <c r="D89" s="137">
        <f>($D$38+$D$44+$D$54+$D$63+$D$82)*(C89)</f>
        <v>16.55144419931376</v>
      </c>
    </row>
    <row r="90" spans="1:5" x14ac:dyDescent="0.3">
      <c r="A90" s="67" t="s">
        <v>201</v>
      </c>
      <c r="B90" s="140" t="s">
        <v>237</v>
      </c>
      <c r="C90" s="172">
        <v>5.0000000000000001E-4</v>
      </c>
      <c r="D90" s="137">
        <f>($D$38+$D$44+$D$54+$D$63+$D$82)*(C90)</f>
        <v>2.5077945756536</v>
      </c>
    </row>
    <row r="91" spans="1:5" x14ac:dyDescent="0.3">
      <c r="A91" s="355" t="s">
        <v>238</v>
      </c>
      <c r="B91" s="356"/>
      <c r="C91" s="141">
        <f>SUM(C86:C90)</f>
        <v>8.6999999999999994E-3</v>
      </c>
      <c r="D91" s="142">
        <f>SUM(D86:D90)</f>
        <v>43.635625616372643</v>
      </c>
    </row>
    <row r="92" spans="1:5" x14ac:dyDescent="0.3">
      <c r="A92" s="347" t="s">
        <v>20</v>
      </c>
      <c r="B92" s="348"/>
      <c r="C92" s="107"/>
      <c r="D92" s="97" t="s">
        <v>7</v>
      </c>
    </row>
    <row r="93" spans="1:5" x14ac:dyDescent="0.3">
      <c r="A93" s="67" t="s">
        <v>187</v>
      </c>
      <c r="B93" s="109" t="s">
        <v>21</v>
      </c>
      <c r="C93" s="143"/>
      <c r="D93" s="144"/>
    </row>
    <row r="94" spans="1:5" ht="13.8" thickBot="1" x14ac:dyDescent="0.35">
      <c r="A94" s="357" t="s">
        <v>239</v>
      </c>
      <c r="B94" s="364"/>
      <c r="C94" s="130"/>
      <c r="D94" s="131">
        <f>D93</f>
        <v>0</v>
      </c>
    </row>
    <row r="95" spans="1:5" x14ac:dyDescent="0.3">
      <c r="A95" s="367" t="s">
        <v>240</v>
      </c>
      <c r="B95" s="368"/>
      <c r="C95" s="368"/>
      <c r="D95" s="369"/>
    </row>
    <row r="96" spans="1:5" x14ac:dyDescent="0.3">
      <c r="A96" s="132" t="s">
        <v>241</v>
      </c>
      <c r="B96" s="370" t="s">
        <v>19</v>
      </c>
      <c r="C96" s="371"/>
      <c r="D96" s="133">
        <f>(D91)</f>
        <v>43.635625616372643</v>
      </c>
    </row>
    <row r="97" spans="1:6" x14ac:dyDescent="0.3">
      <c r="A97" s="67" t="s">
        <v>242</v>
      </c>
      <c r="B97" s="372" t="s">
        <v>21</v>
      </c>
      <c r="C97" s="373"/>
      <c r="D97" s="137">
        <f>D94</f>
        <v>0</v>
      </c>
    </row>
    <row r="98" spans="1:6" ht="13.8" thickBot="1" x14ac:dyDescent="0.35">
      <c r="A98" s="357" t="s">
        <v>25</v>
      </c>
      <c r="B98" s="364"/>
      <c r="C98" s="358"/>
      <c r="D98" s="134">
        <f>SUM(D96:D97)</f>
        <v>43.635625616372643</v>
      </c>
    </row>
    <row r="99" spans="1:6" ht="13.8" thickBot="1" x14ac:dyDescent="0.35">
      <c r="A99" s="135"/>
      <c r="B99" s="135"/>
      <c r="C99" s="135"/>
      <c r="D99" s="135"/>
    </row>
    <row r="100" spans="1:6" x14ac:dyDescent="0.3">
      <c r="A100" s="344" t="s">
        <v>243</v>
      </c>
      <c r="B100" s="345"/>
      <c r="C100" s="345"/>
      <c r="D100" s="346"/>
    </row>
    <row r="101" spans="1:6" x14ac:dyDescent="0.3">
      <c r="A101" s="340" t="s">
        <v>244</v>
      </c>
      <c r="B101" s="341"/>
      <c r="C101" s="341"/>
      <c r="D101" s="97" t="s">
        <v>7</v>
      </c>
    </row>
    <row r="102" spans="1:6" x14ac:dyDescent="0.3">
      <c r="A102" s="67" t="s">
        <v>187</v>
      </c>
      <c r="B102" s="145" t="s">
        <v>27</v>
      </c>
      <c r="C102" s="146"/>
      <c r="D102" s="170">
        <v>3.09</v>
      </c>
    </row>
    <row r="103" spans="1:6" x14ac:dyDescent="0.25">
      <c r="A103" s="67" t="s">
        <v>245</v>
      </c>
      <c r="B103" s="145" t="s">
        <v>26</v>
      </c>
      <c r="C103" s="146"/>
      <c r="D103" s="171">
        <f>341.35/12</f>
        <v>28.445833333333336</v>
      </c>
      <c r="E103" s="269" t="s">
        <v>558</v>
      </c>
    </row>
    <row r="104" spans="1:6" x14ac:dyDescent="0.25">
      <c r="A104" s="67" t="s">
        <v>199</v>
      </c>
      <c r="B104" s="145" t="s">
        <v>27</v>
      </c>
      <c r="C104" s="146"/>
      <c r="D104" s="171">
        <v>31.86</v>
      </c>
      <c r="E104" s="1" t="s">
        <v>281</v>
      </c>
    </row>
    <row r="105" spans="1:6" x14ac:dyDescent="0.25">
      <c r="A105" s="67" t="s">
        <v>200</v>
      </c>
      <c r="B105" s="145" t="s">
        <v>28</v>
      </c>
      <c r="C105" s="146"/>
      <c r="D105" s="171">
        <v>14.97</v>
      </c>
      <c r="E105" s="1" t="s">
        <v>282</v>
      </c>
    </row>
    <row r="106" spans="1:6" x14ac:dyDescent="0.25">
      <c r="A106" s="67" t="s">
        <v>199</v>
      </c>
      <c r="B106" s="145" t="s">
        <v>29</v>
      </c>
      <c r="C106" s="146"/>
      <c r="D106" s="171">
        <v>177.24</v>
      </c>
      <c r="E106" s="1" t="s">
        <v>283</v>
      </c>
    </row>
    <row r="107" spans="1:6" ht="13.8" thickBot="1" x14ac:dyDescent="0.35">
      <c r="A107" s="357" t="s">
        <v>30</v>
      </c>
      <c r="B107" s="358"/>
      <c r="C107" s="147">
        <f>C102</f>
        <v>0</v>
      </c>
      <c r="D107" s="148">
        <f>SUM(D102:D106)</f>
        <v>255.60583333333335</v>
      </c>
    </row>
    <row r="108" spans="1:6" ht="13.8" thickBot="1" x14ac:dyDescent="0.35">
      <c r="A108" s="149"/>
      <c r="B108" s="150"/>
      <c r="C108" s="150"/>
      <c r="D108" s="151"/>
    </row>
    <row r="109" spans="1:6" x14ac:dyDescent="0.3">
      <c r="A109" s="374" t="s">
        <v>246</v>
      </c>
      <c r="B109" s="375"/>
      <c r="C109" s="375"/>
      <c r="D109" s="376"/>
    </row>
    <row r="110" spans="1:6" x14ac:dyDescent="0.3">
      <c r="A110" s="365" t="s">
        <v>247</v>
      </c>
      <c r="B110" s="366"/>
      <c r="C110" s="107" t="s">
        <v>195</v>
      </c>
      <c r="D110" s="152" t="s">
        <v>7</v>
      </c>
    </row>
    <row r="111" spans="1:6" x14ac:dyDescent="0.3">
      <c r="A111" s="67" t="s">
        <v>187</v>
      </c>
      <c r="B111" s="153" t="s">
        <v>31</v>
      </c>
      <c r="C111" s="110"/>
      <c r="D111" s="137">
        <f>SUM(D112:D113)</f>
        <v>637.77967323082873</v>
      </c>
      <c r="E111" s="154"/>
      <c r="F111" s="291">
        <f>D113/(D38+D72+D82+D98+D107)</f>
        <v>0</v>
      </c>
    </row>
    <row r="112" spans="1:6" x14ac:dyDescent="0.3">
      <c r="A112" s="67"/>
      <c r="B112" s="153" t="s">
        <v>262</v>
      </c>
      <c r="C112" s="167">
        <v>0.12</v>
      </c>
      <c r="D112" s="137">
        <f>(D38+D72+D82+D98+D107)*C112</f>
        <v>637.77967323082873</v>
      </c>
      <c r="E112" s="270" t="s">
        <v>570</v>
      </c>
    </row>
    <row r="113" spans="1:5" ht="26.4" x14ac:dyDescent="0.3">
      <c r="A113" s="67"/>
      <c r="B113" s="230" t="s">
        <v>439</v>
      </c>
      <c r="C113" s="110"/>
      <c r="D113" s="169"/>
      <c r="E113" s="154" t="s">
        <v>582</v>
      </c>
    </row>
    <row r="114" spans="1:5" x14ac:dyDescent="0.3">
      <c r="A114" s="67" t="s">
        <v>189</v>
      </c>
      <c r="B114" s="153" t="s">
        <v>32</v>
      </c>
      <c r="C114" s="167">
        <v>0.1</v>
      </c>
      <c r="D114" s="137">
        <f>(D38+D72+D82+D98+D107+D111)*C114</f>
        <v>595.26102834877361</v>
      </c>
      <c r="E114" s="270" t="s">
        <v>571</v>
      </c>
    </row>
    <row r="115" spans="1:5" x14ac:dyDescent="0.3">
      <c r="A115" s="379" t="s">
        <v>199</v>
      </c>
      <c r="B115" s="117" t="s">
        <v>248</v>
      </c>
      <c r="C115" s="155">
        <f>C116+C117+C120</f>
        <v>0.14250000000000002</v>
      </c>
      <c r="D115" s="156"/>
    </row>
    <row r="116" spans="1:5" x14ac:dyDescent="0.3">
      <c r="A116" s="379"/>
      <c r="B116" s="157" t="s">
        <v>249</v>
      </c>
      <c r="C116" s="167">
        <v>1.6500000000000001E-2</v>
      </c>
      <c r="D116" s="137">
        <f>((D38+D72+D82+D98+D107+D111+D114)/(1-C115))*C116</f>
        <v>125.99402524233518</v>
      </c>
      <c r="E116" s="264" t="s">
        <v>572</v>
      </c>
    </row>
    <row r="117" spans="1:5" x14ac:dyDescent="0.3">
      <c r="A117" s="379"/>
      <c r="B117" s="157" t="s">
        <v>250</v>
      </c>
      <c r="C117" s="167">
        <v>7.5999999999999998E-2</v>
      </c>
      <c r="D117" s="137">
        <f>((D38+D72+D82+D98+D107+D111+D114)/(1-C115))*C117</f>
        <v>580.33611626772563</v>
      </c>
      <c r="E117" s="264" t="s">
        <v>572</v>
      </c>
    </row>
    <row r="118" spans="1:5" x14ac:dyDescent="0.3">
      <c r="A118" s="379"/>
      <c r="B118" s="117" t="s">
        <v>251</v>
      </c>
      <c r="C118" s="168"/>
      <c r="D118" s="137"/>
    </row>
    <row r="119" spans="1:5" x14ac:dyDescent="0.3">
      <c r="A119" s="379"/>
      <c r="B119" s="117" t="s">
        <v>252</v>
      </c>
      <c r="C119" s="168"/>
      <c r="D119" s="137"/>
    </row>
    <row r="120" spans="1:5" x14ac:dyDescent="0.3">
      <c r="A120" s="379"/>
      <c r="B120" s="157" t="s">
        <v>253</v>
      </c>
      <c r="C120" s="167">
        <v>0.05</v>
      </c>
      <c r="D120" s="137">
        <f>((D38+D72+D82+D98+D107+D111+D114)/(1-C115))*C120</f>
        <v>381.80007649192481</v>
      </c>
    </row>
    <row r="121" spans="1:5" ht="13.8" thickBot="1" x14ac:dyDescent="0.35">
      <c r="A121" s="357" t="s">
        <v>37</v>
      </c>
      <c r="B121" s="364"/>
      <c r="C121" s="158">
        <f>C112+C114+C116+C117+C120</f>
        <v>0.36249999999999999</v>
      </c>
      <c r="D121" s="131">
        <f>SUM(D111,D114,D116:D117,D120)</f>
        <v>2321.1709195815879</v>
      </c>
    </row>
    <row r="122" spans="1:5" ht="13.8" thickBot="1" x14ac:dyDescent="0.35">
      <c r="A122" s="135"/>
      <c r="B122" s="135"/>
      <c r="C122" s="135"/>
      <c r="D122" s="135"/>
    </row>
    <row r="123" spans="1:5" x14ac:dyDescent="0.3">
      <c r="A123" s="344" t="s">
        <v>254</v>
      </c>
      <c r="B123" s="345"/>
      <c r="C123" s="345"/>
      <c r="D123" s="346"/>
    </row>
    <row r="124" spans="1:5" x14ac:dyDescent="0.3">
      <c r="A124" s="340" t="s">
        <v>255</v>
      </c>
      <c r="B124" s="341"/>
      <c r="C124" s="341"/>
      <c r="D124" s="159" t="s">
        <v>7</v>
      </c>
    </row>
    <row r="125" spans="1:5" x14ac:dyDescent="0.3">
      <c r="A125" s="67" t="s">
        <v>187</v>
      </c>
      <c r="B125" s="363" t="s">
        <v>256</v>
      </c>
      <c r="C125" s="380"/>
      <c r="D125" s="160">
        <f>(D38)</f>
        <v>2752.8719999999998</v>
      </c>
    </row>
    <row r="126" spans="1:5" x14ac:dyDescent="0.3">
      <c r="A126" s="67" t="s">
        <v>189</v>
      </c>
      <c r="B126" s="363" t="s">
        <v>12</v>
      </c>
      <c r="C126" s="380"/>
      <c r="D126" s="144">
        <f>(D72)</f>
        <v>2065.4540518288004</v>
      </c>
    </row>
    <row r="127" spans="1:5" x14ac:dyDescent="0.3">
      <c r="A127" s="67" t="s">
        <v>199</v>
      </c>
      <c r="B127" s="363" t="s">
        <v>257</v>
      </c>
      <c r="C127" s="380"/>
      <c r="D127" s="144">
        <f>(D82)</f>
        <v>197.26309947840002</v>
      </c>
    </row>
    <row r="128" spans="1:5" x14ac:dyDescent="0.3">
      <c r="A128" s="67" t="s">
        <v>200</v>
      </c>
      <c r="B128" s="363" t="s">
        <v>22</v>
      </c>
      <c r="C128" s="380"/>
      <c r="D128" s="144">
        <f>(D98)</f>
        <v>43.635625616372643</v>
      </c>
    </row>
    <row r="129" spans="1:5" x14ac:dyDescent="0.3">
      <c r="A129" s="67" t="s">
        <v>201</v>
      </c>
      <c r="B129" s="363" t="s">
        <v>258</v>
      </c>
      <c r="C129" s="380"/>
      <c r="D129" s="144">
        <f>D102</f>
        <v>3.09</v>
      </c>
    </row>
    <row r="130" spans="1:5" x14ac:dyDescent="0.3">
      <c r="A130" s="381" t="s">
        <v>259</v>
      </c>
      <c r="B130" s="382"/>
      <c r="C130" s="383"/>
      <c r="D130" s="161">
        <f>SUM(D125:D129)</f>
        <v>5062.3147769235738</v>
      </c>
      <c r="E130" s="105"/>
    </row>
    <row r="131" spans="1:5" ht="13.8" thickBot="1" x14ac:dyDescent="0.35">
      <c r="A131" s="162" t="s">
        <v>202</v>
      </c>
      <c r="B131" s="384" t="s">
        <v>260</v>
      </c>
      <c r="C131" s="384"/>
      <c r="D131" s="163">
        <f>(D121)</f>
        <v>2321.1709195815879</v>
      </c>
    </row>
    <row r="132" spans="1:5" ht="13.8" thickBot="1" x14ac:dyDescent="0.35">
      <c r="A132" s="377" t="s">
        <v>261</v>
      </c>
      <c r="B132" s="378"/>
      <c r="C132" s="378"/>
      <c r="D132" s="290">
        <f>SUM(D130:D131)</f>
        <v>7383.4856965051622</v>
      </c>
    </row>
    <row r="133" spans="1:5" x14ac:dyDescent="0.3">
      <c r="A133" s="62"/>
      <c r="D133" s="78"/>
    </row>
    <row r="134" spans="1:5" x14ac:dyDescent="0.3">
      <c r="D134" s="78"/>
    </row>
    <row r="135" spans="1:5" x14ac:dyDescent="0.3">
      <c r="D135" s="78"/>
    </row>
    <row r="136" spans="1:5" x14ac:dyDescent="0.3">
      <c r="B136" s="286" t="s">
        <v>586</v>
      </c>
      <c r="C136" s="271">
        <v>17.91</v>
      </c>
      <c r="D136" s="78"/>
    </row>
    <row r="137" spans="1:5" x14ac:dyDescent="0.3">
      <c r="B137" s="286" t="s">
        <v>587</v>
      </c>
      <c r="C137" s="271">
        <v>21.66</v>
      </c>
      <c r="D137" s="78"/>
    </row>
    <row r="138" spans="1:5" x14ac:dyDescent="0.3">
      <c r="B138" s="286" t="s">
        <v>579</v>
      </c>
      <c r="C138" s="271">
        <v>22</v>
      </c>
    </row>
    <row r="139" spans="1:5" x14ac:dyDescent="0.3">
      <c r="B139" s="286" t="s">
        <v>580</v>
      </c>
      <c r="C139" s="271">
        <v>7</v>
      </c>
    </row>
    <row r="140" spans="1:5" x14ac:dyDescent="0.3">
      <c r="B140" s="286" t="s">
        <v>581</v>
      </c>
      <c r="C140" s="271">
        <v>3</v>
      </c>
    </row>
    <row r="141" spans="1:5" ht="13.8" x14ac:dyDescent="0.3">
      <c r="B141" s="287" t="s">
        <v>1</v>
      </c>
      <c r="C141" s="271">
        <f>(C136+C137)*C138*C140</f>
        <v>2611.62</v>
      </c>
    </row>
    <row r="142" spans="1:5" ht="13.8" x14ac:dyDescent="0.3">
      <c r="B142" s="287" t="s">
        <v>584</v>
      </c>
      <c r="C142" s="271">
        <v>9000</v>
      </c>
    </row>
    <row r="143" spans="1:5" x14ac:dyDescent="0.3">
      <c r="B143" s="286" t="s">
        <v>569</v>
      </c>
      <c r="C143" s="288">
        <f>C142/C139</f>
        <v>1285.7142857142858</v>
      </c>
      <c r="D143" s="166">
        <f>C141/7</f>
        <v>373.08857142857141</v>
      </c>
    </row>
  </sheetData>
  <mergeCells count="68">
    <mergeCell ref="A132:C132"/>
    <mergeCell ref="A115:A120"/>
    <mergeCell ref="A121:B121"/>
    <mergeCell ref="A123:D123"/>
    <mergeCell ref="A124:C124"/>
    <mergeCell ref="B125:C125"/>
    <mergeCell ref="B126:C126"/>
    <mergeCell ref="B127:C127"/>
    <mergeCell ref="B128:C128"/>
    <mergeCell ref="B129:C129"/>
    <mergeCell ref="A130:C130"/>
    <mergeCell ref="B131:C131"/>
    <mergeCell ref="A110:B110"/>
    <mergeCell ref="A91:B91"/>
    <mergeCell ref="A92:B92"/>
    <mergeCell ref="A94:B94"/>
    <mergeCell ref="A95:D95"/>
    <mergeCell ref="B96:C96"/>
    <mergeCell ref="B97:C97"/>
    <mergeCell ref="A98:C98"/>
    <mergeCell ref="A100:D100"/>
    <mergeCell ref="A101:C101"/>
    <mergeCell ref="A107:B107"/>
    <mergeCell ref="A109:D109"/>
    <mergeCell ref="A85:B85"/>
    <mergeCell ref="A66:B66"/>
    <mergeCell ref="A67:D67"/>
    <mergeCell ref="B68:C68"/>
    <mergeCell ref="B69:C69"/>
    <mergeCell ref="B70:C70"/>
    <mergeCell ref="B71:C71"/>
    <mergeCell ref="A72:C72"/>
    <mergeCell ref="A74:D74"/>
    <mergeCell ref="A75:B75"/>
    <mergeCell ref="A82:B82"/>
    <mergeCell ref="A84:D84"/>
    <mergeCell ref="A64:B64"/>
    <mergeCell ref="A44:B44"/>
    <mergeCell ref="A45:B45"/>
    <mergeCell ref="A54:B54"/>
    <mergeCell ref="A55:B55"/>
    <mergeCell ref="A63:B63"/>
    <mergeCell ref="A41:B41"/>
    <mergeCell ref="B26:C26"/>
    <mergeCell ref="B27:C27"/>
    <mergeCell ref="B28:C28"/>
    <mergeCell ref="B29:C29"/>
    <mergeCell ref="B30:C30"/>
    <mergeCell ref="B31:C31"/>
    <mergeCell ref="A33:D33"/>
    <mergeCell ref="A34:C34"/>
    <mergeCell ref="B35:C35"/>
    <mergeCell ref="A38:C38"/>
    <mergeCell ref="A40:D40"/>
    <mergeCell ref="F10:G10"/>
    <mergeCell ref="B25:C25"/>
    <mergeCell ref="A1:D1"/>
    <mergeCell ref="A2:D2"/>
    <mergeCell ref="A3:D3"/>
    <mergeCell ref="A6:D6"/>
    <mergeCell ref="A7:D7"/>
    <mergeCell ref="A13:D13"/>
    <mergeCell ref="C17:D17"/>
    <mergeCell ref="A21:D21"/>
    <mergeCell ref="B22:C22"/>
    <mergeCell ref="B23:C23"/>
    <mergeCell ref="B24:C24"/>
    <mergeCell ref="A5:D5"/>
  </mergeCells>
  <phoneticPr fontId="25" type="noConversion"/>
  <hyperlinks>
    <hyperlink ref="E25" r:id="rId1" xr:uid="{4EAC1687-896D-4657-97D0-C24D66A246D7}"/>
  </hyperlink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5821-7D93-487D-91F2-4846E4F0D9B2}">
  <dimension ref="A1:G137"/>
  <sheetViews>
    <sheetView showGridLines="0" topLeftCell="A100" workbookViewId="0">
      <selection activeCell="D113" sqref="D113"/>
    </sheetView>
  </sheetViews>
  <sheetFormatPr defaultRowHeight="13.2" x14ac:dyDescent="0.3"/>
  <cols>
    <col min="1" max="1" width="3.88671875" style="77" customWidth="1"/>
    <col min="2" max="2" width="70.6640625" style="62" customWidth="1"/>
    <col min="3" max="3" width="14.6640625" style="77" customWidth="1"/>
    <col min="4" max="4" width="21.44140625" style="166" bestFit="1" customWidth="1"/>
    <col min="5" max="5" width="55.77734375" style="62" customWidth="1"/>
    <col min="6" max="6" width="17.5546875" style="62" bestFit="1" customWidth="1"/>
    <col min="7" max="7" width="8.44140625" style="62" bestFit="1" customWidth="1"/>
    <col min="8" max="222" width="9.109375" style="62" bestFit="1" customWidth="1"/>
    <col min="223" max="223" width="1.88671875" style="62" customWidth="1"/>
    <col min="224" max="224" width="7.33203125" style="62" customWidth="1"/>
    <col min="225" max="225" width="9.88671875" style="62" customWidth="1"/>
    <col min="226" max="226" width="12.6640625" style="62" customWidth="1"/>
    <col min="227" max="227" width="11.109375" style="62" customWidth="1"/>
    <col min="228" max="228" width="10.88671875" style="62" customWidth="1"/>
    <col min="229" max="229" width="11.5546875" style="62" customWidth="1"/>
    <col min="230" max="230" width="13.44140625" style="62" customWidth="1"/>
    <col min="231" max="231" width="11.109375" style="62" customWidth="1"/>
    <col min="232" max="232" width="11.33203125" style="62" bestFit="1" customWidth="1"/>
    <col min="233" max="233" width="11.5546875" style="62" customWidth="1"/>
    <col min="234" max="234" width="8.88671875" style="62"/>
    <col min="235" max="235" width="9.88671875" style="62" bestFit="1" customWidth="1"/>
    <col min="236" max="236" width="9.109375" style="62" bestFit="1" customWidth="1"/>
    <col min="237" max="237" width="9.5546875" style="62" bestFit="1" customWidth="1"/>
    <col min="238" max="478" width="9.109375" style="62" bestFit="1" customWidth="1"/>
    <col min="479" max="479" width="1.88671875" style="62" customWidth="1"/>
    <col min="480" max="480" width="7.33203125" style="62" customWidth="1"/>
    <col min="481" max="481" width="9.88671875" style="62" customWidth="1"/>
    <col min="482" max="482" width="12.6640625" style="62" customWidth="1"/>
    <col min="483" max="483" width="11.109375" style="62" customWidth="1"/>
    <col min="484" max="484" width="10.88671875" style="62" customWidth="1"/>
    <col min="485" max="485" width="11.5546875" style="62" customWidth="1"/>
    <col min="486" max="486" width="13.44140625" style="62" customWidth="1"/>
    <col min="487" max="487" width="11.109375" style="62" customWidth="1"/>
    <col min="488" max="488" width="11.33203125" style="62" bestFit="1" customWidth="1"/>
    <col min="489" max="489" width="11.5546875" style="62" customWidth="1"/>
    <col min="490" max="490" width="8.88671875" style="62"/>
    <col min="491" max="491" width="9.88671875" style="62" bestFit="1" customWidth="1"/>
    <col min="492" max="492" width="9.109375" style="62" bestFit="1" customWidth="1"/>
    <col min="493" max="493" width="9.5546875" style="62" bestFit="1" customWidth="1"/>
    <col min="494" max="734" width="9.109375" style="62" bestFit="1" customWidth="1"/>
    <col min="735" max="735" width="1.88671875" style="62" customWidth="1"/>
    <col min="736" max="736" width="7.33203125" style="62" customWidth="1"/>
    <col min="737" max="737" width="9.88671875" style="62" customWidth="1"/>
    <col min="738" max="738" width="12.6640625" style="62" customWidth="1"/>
    <col min="739" max="739" width="11.109375" style="62" customWidth="1"/>
    <col min="740" max="740" width="10.88671875" style="62" customWidth="1"/>
    <col min="741" max="741" width="11.5546875" style="62" customWidth="1"/>
    <col min="742" max="742" width="13.44140625" style="62" customWidth="1"/>
    <col min="743" max="743" width="11.109375" style="62" customWidth="1"/>
    <col min="744" max="744" width="11.33203125" style="62" bestFit="1" customWidth="1"/>
    <col min="745" max="745" width="11.5546875" style="62" customWidth="1"/>
    <col min="746" max="746" width="8.88671875" style="62"/>
    <col min="747" max="747" width="9.88671875" style="62" bestFit="1" customWidth="1"/>
    <col min="748" max="748" width="9.109375" style="62" bestFit="1" customWidth="1"/>
    <col min="749" max="749" width="9.5546875" style="62" bestFit="1" customWidth="1"/>
    <col min="750" max="990" width="9.109375" style="62" bestFit="1" customWidth="1"/>
    <col min="991" max="991" width="1.88671875" style="62" customWidth="1"/>
    <col min="992" max="992" width="7.33203125" style="62" customWidth="1"/>
    <col min="993" max="993" width="9.88671875" style="62" customWidth="1"/>
    <col min="994" max="994" width="12.6640625" style="62" customWidth="1"/>
    <col min="995" max="995" width="11.109375" style="62" customWidth="1"/>
    <col min="996" max="996" width="10.88671875" style="62" customWidth="1"/>
    <col min="997" max="997" width="11.5546875" style="62" customWidth="1"/>
    <col min="998" max="998" width="13.44140625" style="62" customWidth="1"/>
    <col min="999" max="999" width="11.109375" style="62" customWidth="1"/>
    <col min="1000" max="1000" width="11.33203125" style="62" bestFit="1" customWidth="1"/>
    <col min="1001" max="1001" width="11.5546875" style="62" customWidth="1"/>
    <col min="1002" max="1002" width="8.88671875" style="62"/>
    <col min="1003" max="1003" width="9.88671875" style="62" bestFit="1" customWidth="1"/>
    <col min="1004" max="1004" width="9.109375" style="62" bestFit="1" customWidth="1"/>
    <col min="1005" max="1005" width="9.5546875" style="62" bestFit="1" customWidth="1"/>
    <col min="1006" max="1246" width="9.109375" style="62" bestFit="1" customWidth="1"/>
    <col min="1247" max="1247" width="1.88671875" style="62" customWidth="1"/>
    <col min="1248" max="1248" width="7.33203125" style="62" customWidth="1"/>
    <col min="1249" max="1249" width="9.88671875" style="62" customWidth="1"/>
    <col min="1250" max="1250" width="12.6640625" style="62" customWidth="1"/>
    <col min="1251" max="1251" width="11.109375" style="62" customWidth="1"/>
    <col min="1252" max="1252" width="10.88671875" style="62" customWidth="1"/>
    <col min="1253" max="1253" width="11.5546875" style="62" customWidth="1"/>
    <col min="1254" max="1254" width="13.44140625" style="62" customWidth="1"/>
    <col min="1255" max="1255" width="11.109375" style="62" customWidth="1"/>
    <col min="1256" max="1256" width="11.33203125" style="62" bestFit="1" customWidth="1"/>
    <col min="1257" max="1257" width="11.5546875" style="62" customWidth="1"/>
    <col min="1258" max="1258" width="8.88671875" style="62"/>
    <col min="1259" max="1259" width="9.88671875" style="62" bestFit="1" customWidth="1"/>
    <col min="1260" max="1260" width="9.109375" style="62" bestFit="1" customWidth="1"/>
    <col min="1261" max="1261" width="9.5546875" style="62" bestFit="1" customWidth="1"/>
    <col min="1262" max="1502" width="9.109375" style="62" bestFit="1" customWidth="1"/>
    <col min="1503" max="1503" width="1.88671875" style="62" customWidth="1"/>
    <col min="1504" max="1504" width="7.33203125" style="62" customWidth="1"/>
    <col min="1505" max="1505" width="9.88671875" style="62" customWidth="1"/>
    <col min="1506" max="1506" width="12.6640625" style="62" customWidth="1"/>
    <col min="1507" max="1507" width="11.109375" style="62" customWidth="1"/>
    <col min="1508" max="1508" width="10.88671875" style="62" customWidth="1"/>
    <col min="1509" max="1509" width="11.5546875" style="62" customWidth="1"/>
    <col min="1510" max="1510" width="13.44140625" style="62" customWidth="1"/>
    <col min="1511" max="1511" width="11.109375" style="62" customWidth="1"/>
    <col min="1512" max="1512" width="11.33203125" style="62" bestFit="1" customWidth="1"/>
    <col min="1513" max="1513" width="11.5546875" style="62" customWidth="1"/>
    <col min="1514" max="1514" width="8.88671875" style="62"/>
    <col min="1515" max="1515" width="9.88671875" style="62" bestFit="1" customWidth="1"/>
    <col min="1516" max="1516" width="9.109375" style="62" bestFit="1" customWidth="1"/>
    <col min="1517" max="1517" width="9.5546875" style="62" bestFit="1" customWidth="1"/>
    <col min="1518" max="1758" width="9.109375" style="62" bestFit="1" customWidth="1"/>
    <col min="1759" max="1759" width="1.88671875" style="62" customWidth="1"/>
    <col min="1760" max="1760" width="7.33203125" style="62" customWidth="1"/>
    <col min="1761" max="1761" width="9.88671875" style="62" customWidth="1"/>
    <col min="1762" max="1762" width="12.6640625" style="62" customWidth="1"/>
    <col min="1763" max="1763" width="11.109375" style="62" customWidth="1"/>
    <col min="1764" max="1764" width="10.88671875" style="62" customWidth="1"/>
    <col min="1765" max="1765" width="11.5546875" style="62" customWidth="1"/>
    <col min="1766" max="1766" width="13.44140625" style="62" customWidth="1"/>
    <col min="1767" max="1767" width="11.109375" style="62" customWidth="1"/>
    <col min="1768" max="1768" width="11.33203125" style="62" bestFit="1" customWidth="1"/>
    <col min="1769" max="1769" width="11.5546875" style="62" customWidth="1"/>
    <col min="1770" max="1770" width="8.88671875" style="62"/>
    <col min="1771" max="1771" width="9.88671875" style="62" bestFit="1" customWidth="1"/>
    <col min="1772" max="1772" width="9.109375" style="62" bestFit="1" customWidth="1"/>
    <col min="1773" max="1773" width="9.5546875" style="62" bestFit="1" customWidth="1"/>
    <col min="1774" max="2014" width="9.109375" style="62" bestFit="1" customWidth="1"/>
    <col min="2015" max="2015" width="1.88671875" style="62" customWidth="1"/>
    <col min="2016" max="2016" width="7.33203125" style="62" customWidth="1"/>
    <col min="2017" max="2017" width="9.88671875" style="62" customWidth="1"/>
    <col min="2018" max="2018" width="12.6640625" style="62" customWidth="1"/>
    <col min="2019" max="2019" width="11.109375" style="62" customWidth="1"/>
    <col min="2020" max="2020" width="10.88671875" style="62" customWidth="1"/>
    <col min="2021" max="2021" width="11.5546875" style="62" customWidth="1"/>
    <col min="2022" max="2022" width="13.44140625" style="62" customWidth="1"/>
    <col min="2023" max="2023" width="11.109375" style="62" customWidth="1"/>
    <col min="2024" max="2024" width="11.33203125" style="62" bestFit="1" customWidth="1"/>
    <col min="2025" max="2025" width="11.5546875" style="62" customWidth="1"/>
    <col min="2026" max="2026" width="8.88671875" style="62"/>
    <col min="2027" max="2027" width="9.88671875" style="62" bestFit="1" customWidth="1"/>
    <col min="2028" max="2028" width="9.109375" style="62" bestFit="1" customWidth="1"/>
    <col min="2029" max="2029" width="9.5546875" style="62" bestFit="1" customWidth="1"/>
    <col min="2030" max="2270" width="9.109375" style="62" bestFit="1" customWidth="1"/>
    <col min="2271" max="2271" width="1.88671875" style="62" customWidth="1"/>
    <col min="2272" max="2272" width="7.33203125" style="62" customWidth="1"/>
    <col min="2273" max="2273" width="9.88671875" style="62" customWidth="1"/>
    <col min="2274" max="2274" width="12.6640625" style="62" customWidth="1"/>
    <col min="2275" max="2275" width="11.109375" style="62" customWidth="1"/>
    <col min="2276" max="2276" width="10.88671875" style="62" customWidth="1"/>
    <col min="2277" max="2277" width="11.5546875" style="62" customWidth="1"/>
    <col min="2278" max="2278" width="13.44140625" style="62" customWidth="1"/>
    <col min="2279" max="2279" width="11.109375" style="62" customWidth="1"/>
    <col min="2280" max="2280" width="11.33203125" style="62" bestFit="1" customWidth="1"/>
    <col min="2281" max="2281" width="11.5546875" style="62" customWidth="1"/>
    <col min="2282" max="2282" width="8.88671875" style="62"/>
    <col min="2283" max="2283" width="9.88671875" style="62" bestFit="1" customWidth="1"/>
    <col min="2284" max="2284" width="9.109375" style="62" bestFit="1" customWidth="1"/>
    <col min="2285" max="2285" width="9.5546875" style="62" bestFit="1" customWidth="1"/>
    <col min="2286" max="2526" width="9.109375" style="62" bestFit="1" customWidth="1"/>
    <col min="2527" max="2527" width="1.88671875" style="62" customWidth="1"/>
    <col min="2528" max="2528" width="7.33203125" style="62" customWidth="1"/>
    <col min="2529" max="2529" width="9.88671875" style="62" customWidth="1"/>
    <col min="2530" max="2530" width="12.6640625" style="62" customWidth="1"/>
    <col min="2531" max="2531" width="11.109375" style="62" customWidth="1"/>
    <col min="2532" max="2532" width="10.88671875" style="62" customWidth="1"/>
    <col min="2533" max="2533" width="11.5546875" style="62" customWidth="1"/>
    <col min="2534" max="2534" width="13.44140625" style="62" customWidth="1"/>
    <col min="2535" max="2535" width="11.109375" style="62" customWidth="1"/>
    <col min="2536" max="2536" width="11.33203125" style="62" bestFit="1" customWidth="1"/>
    <col min="2537" max="2537" width="11.5546875" style="62" customWidth="1"/>
    <col min="2538" max="2538" width="8.88671875" style="62"/>
    <col min="2539" max="2539" width="9.88671875" style="62" bestFit="1" customWidth="1"/>
    <col min="2540" max="2540" width="9.109375" style="62" bestFit="1" customWidth="1"/>
    <col min="2541" max="2541" width="9.5546875" style="62" bestFit="1" customWidth="1"/>
    <col min="2542" max="2782" width="9.109375" style="62" bestFit="1" customWidth="1"/>
    <col min="2783" max="2783" width="1.88671875" style="62" customWidth="1"/>
    <col min="2784" max="2784" width="7.33203125" style="62" customWidth="1"/>
    <col min="2785" max="2785" width="9.88671875" style="62" customWidth="1"/>
    <col min="2786" max="2786" width="12.6640625" style="62" customWidth="1"/>
    <col min="2787" max="2787" width="11.109375" style="62" customWidth="1"/>
    <col min="2788" max="2788" width="10.88671875" style="62" customWidth="1"/>
    <col min="2789" max="2789" width="11.5546875" style="62" customWidth="1"/>
    <col min="2790" max="2790" width="13.44140625" style="62" customWidth="1"/>
    <col min="2791" max="2791" width="11.109375" style="62" customWidth="1"/>
    <col min="2792" max="2792" width="11.33203125" style="62" bestFit="1" customWidth="1"/>
    <col min="2793" max="2793" width="11.5546875" style="62" customWidth="1"/>
    <col min="2794" max="2794" width="8.88671875" style="62"/>
    <col min="2795" max="2795" width="9.88671875" style="62" bestFit="1" customWidth="1"/>
    <col min="2796" max="2796" width="9.109375" style="62" bestFit="1" customWidth="1"/>
    <col min="2797" max="2797" width="9.5546875" style="62" bestFit="1" customWidth="1"/>
    <col min="2798" max="3038" width="9.109375" style="62" bestFit="1" customWidth="1"/>
    <col min="3039" max="3039" width="1.88671875" style="62" customWidth="1"/>
    <col min="3040" max="3040" width="7.33203125" style="62" customWidth="1"/>
    <col min="3041" max="3041" width="9.88671875" style="62" customWidth="1"/>
    <col min="3042" max="3042" width="12.6640625" style="62" customWidth="1"/>
    <col min="3043" max="3043" width="11.109375" style="62" customWidth="1"/>
    <col min="3044" max="3044" width="10.88671875" style="62" customWidth="1"/>
    <col min="3045" max="3045" width="11.5546875" style="62" customWidth="1"/>
    <col min="3046" max="3046" width="13.44140625" style="62" customWidth="1"/>
    <col min="3047" max="3047" width="11.109375" style="62" customWidth="1"/>
    <col min="3048" max="3048" width="11.33203125" style="62" bestFit="1" customWidth="1"/>
    <col min="3049" max="3049" width="11.5546875" style="62" customWidth="1"/>
    <col min="3050" max="3050" width="8.88671875" style="62"/>
    <col min="3051" max="3051" width="9.88671875" style="62" bestFit="1" customWidth="1"/>
    <col min="3052" max="3052" width="9.109375" style="62" bestFit="1" customWidth="1"/>
    <col min="3053" max="3053" width="9.5546875" style="62" bestFit="1" customWidth="1"/>
    <col min="3054" max="3294" width="9.109375" style="62" bestFit="1" customWidth="1"/>
    <col min="3295" max="3295" width="1.88671875" style="62" customWidth="1"/>
    <col min="3296" max="3296" width="7.33203125" style="62" customWidth="1"/>
    <col min="3297" max="3297" width="9.88671875" style="62" customWidth="1"/>
    <col min="3298" max="3298" width="12.6640625" style="62" customWidth="1"/>
    <col min="3299" max="3299" width="11.109375" style="62" customWidth="1"/>
    <col min="3300" max="3300" width="10.88671875" style="62" customWidth="1"/>
    <col min="3301" max="3301" width="11.5546875" style="62" customWidth="1"/>
    <col min="3302" max="3302" width="13.44140625" style="62" customWidth="1"/>
    <col min="3303" max="3303" width="11.109375" style="62" customWidth="1"/>
    <col min="3304" max="3304" width="11.33203125" style="62" bestFit="1" customWidth="1"/>
    <col min="3305" max="3305" width="11.5546875" style="62" customWidth="1"/>
    <col min="3306" max="3306" width="8.88671875" style="62"/>
    <col min="3307" max="3307" width="9.88671875" style="62" bestFit="1" customWidth="1"/>
    <col min="3308" max="3308" width="9.109375" style="62" bestFit="1" customWidth="1"/>
    <col min="3309" max="3309" width="9.5546875" style="62" bestFit="1" customWidth="1"/>
    <col min="3310" max="3550" width="9.109375" style="62" bestFit="1" customWidth="1"/>
    <col min="3551" max="3551" width="1.88671875" style="62" customWidth="1"/>
    <col min="3552" max="3552" width="7.33203125" style="62" customWidth="1"/>
    <col min="3553" max="3553" width="9.88671875" style="62" customWidth="1"/>
    <col min="3554" max="3554" width="12.6640625" style="62" customWidth="1"/>
    <col min="3555" max="3555" width="11.109375" style="62" customWidth="1"/>
    <col min="3556" max="3556" width="10.88671875" style="62" customWidth="1"/>
    <col min="3557" max="3557" width="11.5546875" style="62" customWidth="1"/>
    <col min="3558" max="3558" width="13.44140625" style="62" customWidth="1"/>
    <col min="3559" max="3559" width="11.109375" style="62" customWidth="1"/>
    <col min="3560" max="3560" width="11.33203125" style="62" bestFit="1" customWidth="1"/>
    <col min="3561" max="3561" width="11.5546875" style="62" customWidth="1"/>
    <col min="3562" max="3562" width="8.88671875" style="62"/>
    <col min="3563" max="3563" width="9.88671875" style="62" bestFit="1" customWidth="1"/>
    <col min="3564" max="3564" width="9.109375" style="62" bestFit="1" customWidth="1"/>
    <col min="3565" max="3565" width="9.5546875" style="62" bestFit="1" customWidth="1"/>
    <col min="3566" max="3806" width="9.109375" style="62" bestFit="1" customWidth="1"/>
    <col min="3807" max="3807" width="1.88671875" style="62" customWidth="1"/>
    <col min="3808" max="3808" width="7.33203125" style="62" customWidth="1"/>
    <col min="3809" max="3809" width="9.88671875" style="62" customWidth="1"/>
    <col min="3810" max="3810" width="12.6640625" style="62" customWidth="1"/>
    <col min="3811" max="3811" width="11.109375" style="62" customWidth="1"/>
    <col min="3812" max="3812" width="10.88671875" style="62" customWidth="1"/>
    <col min="3813" max="3813" width="11.5546875" style="62" customWidth="1"/>
    <col min="3814" max="3814" width="13.44140625" style="62" customWidth="1"/>
    <col min="3815" max="3815" width="11.109375" style="62" customWidth="1"/>
    <col min="3816" max="3816" width="11.33203125" style="62" bestFit="1" customWidth="1"/>
    <col min="3817" max="3817" width="11.5546875" style="62" customWidth="1"/>
    <col min="3818" max="3818" width="8.88671875" style="62"/>
    <col min="3819" max="3819" width="9.88671875" style="62" bestFit="1" customWidth="1"/>
    <col min="3820" max="3820" width="9.109375" style="62" bestFit="1" customWidth="1"/>
    <col min="3821" max="3821" width="9.5546875" style="62" bestFit="1" customWidth="1"/>
    <col min="3822" max="4062" width="9.109375" style="62" bestFit="1" customWidth="1"/>
    <col min="4063" max="4063" width="1.88671875" style="62" customWidth="1"/>
    <col min="4064" max="4064" width="7.33203125" style="62" customWidth="1"/>
    <col min="4065" max="4065" width="9.88671875" style="62" customWidth="1"/>
    <col min="4066" max="4066" width="12.6640625" style="62" customWidth="1"/>
    <col min="4067" max="4067" width="11.109375" style="62" customWidth="1"/>
    <col min="4068" max="4068" width="10.88671875" style="62" customWidth="1"/>
    <col min="4069" max="4069" width="11.5546875" style="62" customWidth="1"/>
    <col min="4070" max="4070" width="13.44140625" style="62" customWidth="1"/>
    <col min="4071" max="4071" width="11.109375" style="62" customWidth="1"/>
    <col min="4072" max="4072" width="11.33203125" style="62" bestFit="1" customWidth="1"/>
    <col min="4073" max="4073" width="11.5546875" style="62" customWidth="1"/>
    <col min="4074" max="4074" width="8.88671875" style="62"/>
    <col min="4075" max="4075" width="9.88671875" style="62" bestFit="1" customWidth="1"/>
    <col min="4076" max="4076" width="9.109375" style="62" bestFit="1" customWidth="1"/>
    <col min="4077" max="4077" width="9.5546875" style="62" bestFit="1" customWidth="1"/>
    <col min="4078" max="4318" width="9.109375" style="62" bestFit="1" customWidth="1"/>
    <col min="4319" max="4319" width="1.88671875" style="62" customWidth="1"/>
    <col min="4320" max="4320" width="7.33203125" style="62" customWidth="1"/>
    <col min="4321" max="4321" width="9.88671875" style="62" customWidth="1"/>
    <col min="4322" max="4322" width="12.6640625" style="62" customWidth="1"/>
    <col min="4323" max="4323" width="11.109375" style="62" customWidth="1"/>
    <col min="4324" max="4324" width="10.88671875" style="62" customWidth="1"/>
    <col min="4325" max="4325" width="11.5546875" style="62" customWidth="1"/>
    <col min="4326" max="4326" width="13.44140625" style="62" customWidth="1"/>
    <col min="4327" max="4327" width="11.109375" style="62" customWidth="1"/>
    <col min="4328" max="4328" width="11.33203125" style="62" bestFit="1" customWidth="1"/>
    <col min="4329" max="4329" width="11.5546875" style="62" customWidth="1"/>
    <col min="4330" max="4330" width="8.88671875" style="62"/>
    <col min="4331" max="4331" width="9.88671875" style="62" bestFit="1" customWidth="1"/>
    <col min="4332" max="4332" width="9.109375" style="62" bestFit="1" customWidth="1"/>
    <col min="4333" max="4333" width="9.5546875" style="62" bestFit="1" customWidth="1"/>
    <col min="4334" max="4574" width="9.109375" style="62" bestFit="1" customWidth="1"/>
    <col min="4575" max="4575" width="1.88671875" style="62" customWidth="1"/>
    <col min="4576" max="4576" width="7.33203125" style="62" customWidth="1"/>
    <col min="4577" max="4577" width="9.88671875" style="62" customWidth="1"/>
    <col min="4578" max="4578" width="12.6640625" style="62" customWidth="1"/>
    <col min="4579" max="4579" width="11.109375" style="62" customWidth="1"/>
    <col min="4580" max="4580" width="10.88671875" style="62" customWidth="1"/>
    <col min="4581" max="4581" width="11.5546875" style="62" customWidth="1"/>
    <col min="4582" max="4582" width="13.44140625" style="62" customWidth="1"/>
    <col min="4583" max="4583" width="11.109375" style="62" customWidth="1"/>
    <col min="4584" max="4584" width="11.33203125" style="62" bestFit="1" customWidth="1"/>
    <col min="4585" max="4585" width="11.5546875" style="62" customWidth="1"/>
    <col min="4586" max="4586" width="8.88671875" style="62"/>
    <col min="4587" max="4587" width="9.88671875" style="62" bestFit="1" customWidth="1"/>
    <col min="4588" max="4588" width="9.109375" style="62" bestFit="1" customWidth="1"/>
    <col min="4589" max="4589" width="9.5546875" style="62" bestFit="1" customWidth="1"/>
    <col min="4590" max="4830" width="9.109375" style="62" bestFit="1" customWidth="1"/>
    <col min="4831" max="4831" width="1.88671875" style="62" customWidth="1"/>
    <col min="4832" max="4832" width="7.33203125" style="62" customWidth="1"/>
    <col min="4833" max="4833" width="9.88671875" style="62" customWidth="1"/>
    <col min="4834" max="4834" width="12.6640625" style="62" customWidth="1"/>
    <col min="4835" max="4835" width="11.109375" style="62" customWidth="1"/>
    <col min="4836" max="4836" width="10.88671875" style="62" customWidth="1"/>
    <col min="4837" max="4837" width="11.5546875" style="62" customWidth="1"/>
    <col min="4838" max="4838" width="13.44140625" style="62" customWidth="1"/>
    <col min="4839" max="4839" width="11.109375" style="62" customWidth="1"/>
    <col min="4840" max="4840" width="11.33203125" style="62" bestFit="1" customWidth="1"/>
    <col min="4841" max="4841" width="11.5546875" style="62" customWidth="1"/>
    <col min="4842" max="4842" width="8.88671875" style="62"/>
    <col min="4843" max="4843" width="9.88671875" style="62" bestFit="1" customWidth="1"/>
    <col min="4844" max="4844" width="9.109375" style="62" bestFit="1" customWidth="1"/>
    <col min="4845" max="4845" width="9.5546875" style="62" bestFit="1" customWidth="1"/>
    <col min="4846" max="5086" width="9.109375" style="62" bestFit="1" customWidth="1"/>
    <col min="5087" max="5087" width="1.88671875" style="62" customWidth="1"/>
    <col min="5088" max="5088" width="7.33203125" style="62" customWidth="1"/>
    <col min="5089" max="5089" width="9.88671875" style="62" customWidth="1"/>
    <col min="5090" max="5090" width="12.6640625" style="62" customWidth="1"/>
    <col min="5091" max="5091" width="11.109375" style="62" customWidth="1"/>
    <col min="5092" max="5092" width="10.88671875" style="62" customWidth="1"/>
    <col min="5093" max="5093" width="11.5546875" style="62" customWidth="1"/>
    <col min="5094" max="5094" width="13.44140625" style="62" customWidth="1"/>
    <col min="5095" max="5095" width="11.109375" style="62" customWidth="1"/>
    <col min="5096" max="5096" width="11.33203125" style="62" bestFit="1" customWidth="1"/>
    <col min="5097" max="5097" width="11.5546875" style="62" customWidth="1"/>
    <col min="5098" max="5098" width="8.88671875" style="62"/>
    <col min="5099" max="5099" width="9.88671875" style="62" bestFit="1" customWidth="1"/>
    <col min="5100" max="5100" width="9.109375" style="62" bestFit="1" customWidth="1"/>
    <col min="5101" max="5101" width="9.5546875" style="62" bestFit="1" customWidth="1"/>
    <col min="5102" max="5342" width="9.109375" style="62" bestFit="1" customWidth="1"/>
    <col min="5343" max="5343" width="1.88671875" style="62" customWidth="1"/>
    <col min="5344" max="5344" width="7.33203125" style="62" customWidth="1"/>
    <col min="5345" max="5345" width="9.88671875" style="62" customWidth="1"/>
    <col min="5346" max="5346" width="12.6640625" style="62" customWidth="1"/>
    <col min="5347" max="5347" width="11.109375" style="62" customWidth="1"/>
    <col min="5348" max="5348" width="10.88671875" style="62" customWidth="1"/>
    <col min="5349" max="5349" width="11.5546875" style="62" customWidth="1"/>
    <col min="5350" max="5350" width="13.44140625" style="62" customWidth="1"/>
    <col min="5351" max="5351" width="11.109375" style="62" customWidth="1"/>
    <col min="5352" max="5352" width="11.33203125" style="62" bestFit="1" customWidth="1"/>
    <col min="5353" max="5353" width="11.5546875" style="62" customWidth="1"/>
    <col min="5354" max="5354" width="8.88671875" style="62"/>
    <col min="5355" max="5355" width="9.88671875" style="62" bestFit="1" customWidth="1"/>
    <col min="5356" max="5356" width="9.109375" style="62" bestFit="1" customWidth="1"/>
    <col min="5357" max="5357" width="9.5546875" style="62" bestFit="1" customWidth="1"/>
    <col min="5358" max="5598" width="9.109375" style="62" bestFit="1" customWidth="1"/>
    <col min="5599" max="5599" width="1.88671875" style="62" customWidth="1"/>
    <col min="5600" max="5600" width="7.33203125" style="62" customWidth="1"/>
    <col min="5601" max="5601" width="9.88671875" style="62" customWidth="1"/>
    <col min="5602" max="5602" width="12.6640625" style="62" customWidth="1"/>
    <col min="5603" max="5603" width="11.109375" style="62" customWidth="1"/>
    <col min="5604" max="5604" width="10.88671875" style="62" customWidth="1"/>
    <col min="5605" max="5605" width="11.5546875" style="62" customWidth="1"/>
    <col min="5606" max="5606" width="13.44140625" style="62" customWidth="1"/>
    <col min="5607" max="5607" width="11.109375" style="62" customWidth="1"/>
    <col min="5608" max="5608" width="11.33203125" style="62" bestFit="1" customWidth="1"/>
    <col min="5609" max="5609" width="11.5546875" style="62" customWidth="1"/>
    <col min="5610" max="5610" width="8.88671875" style="62"/>
    <col min="5611" max="5611" width="9.88671875" style="62" bestFit="1" customWidth="1"/>
    <col min="5612" max="5612" width="9.109375" style="62" bestFit="1" customWidth="1"/>
    <col min="5613" max="5613" width="9.5546875" style="62" bestFit="1" customWidth="1"/>
    <col min="5614" max="5854" width="9.109375" style="62" bestFit="1" customWidth="1"/>
    <col min="5855" max="5855" width="1.88671875" style="62" customWidth="1"/>
    <col min="5856" max="5856" width="7.33203125" style="62" customWidth="1"/>
    <col min="5857" max="5857" width="9.88671875" style="62" customWidth="1"/>
    <col min="5858" max="5858" width="12.6640625" style="62" customWidth="1"/>
    <col min="5859" max="5859" width="11.109375" style="62" customWidth="1"/>
    <col min="5860" max="5860" width="10.88671875" style="62" customWidth="1"/>
    <col min="5861" max="5861" width="11.5546875" style="62" customWidth="1"/>
    <col min="5862" max="5862" width="13.44140625" style="62" customWidth="1"/>
    <col min="5863" max="5863" width="11.109375" style="62" customWidth="1"/>
    <col min="5864" max="5864" width="11.33203125" style="62" bestFit="1" customWidth="1"/>
    <col min="5865" max="5865" width="11.5546875" style="62" customWidth="1"/>
    <col min="5866" max="5866" width="8.88671875" style="62"/>
    <col min="5867" max="5867" width="9.88671875" style="62" bestFit="1" customWidth="1"/>
    <col min="5868" max="5868" width="9.109375" style="62" bestFit="1" customWidth="1"/>
    <col min="5869" max="5869" width="9.5546875" style="62" bestFit="1" customWidth="1"/>
    <col min="5870" max="6110" width="9.109375" style="62" bestFit="1" customWidth="1"/>
    <col min="6111" max="6111" width="1.88671875" style="62" customWidth="1"/>
    <col min="6112" max="6112" width="7.33203125" style="62" customWidth="1"/>
    <col min="6113" max="6113" width="9.88671875" style="62" customWidth="1"/>
    <col min="6114" max="6114" width="12.6640625" style="62" customWidth="1"/>
    <col min="6115" max="6115" width="11.109375" style="62" customWidth="1"/>
    <col min="6116" max="6116" width="10.88671875" style="62" customWidth="1"/>
    <col min="6117" max="6117" width="11.5546875" style="62" customWidth="1"/>
    <col min="6118" max="6118" width="13.44140625" style="62" customWidth="1"/>
    <col min="6119" max="6119" width="11.109375" style="62" customWidth="1"/>
    <col min="6120" max="6120" width="11.33203125" style="62" bestFit="1" customWidth="1"/>
    <col min="6121" max="6121" width="11.5546875" style="62" customWidth="1"/>
    <col min="6122" max="6122" width="8.88671875" style="62"/>
    <col min="6123" max="6123" width="9.88671875" style="62" bestFit="1" customWidth="1"/>
    <col min="6124" max="6124" width="9.109375" style="62" bestFit="1" customWidth="1"/>
    <col min="6125" max="6125" width="9.5546875" style="62" bestFit="1" customWidth="1"/>
    <col min="6126" max="6366" width="9.109375" style="62" bestFit="1" customWidth="1"/>
    <col min="6367" max="6367" width="1.88671875" style="62" customWidth="1"/>
    <col min="6368" max="6368" width="7.33203125" style="62" customWidth="1"/>
    <col min="6369" max="6369" width="9.88671875" style="62" customWidth="1"/>
    <col min="6370" max="6370" width="12.6640625" style="62" customWidth="1"/>
    <col min="6371" max="6371" width="11.109375" style="62" customWidth="1"/>
    <col min="6372" max="6372" width="10.88671875" style="62" customWidth="1"/>
    <col min="6373" max="6373" width="11.5546875" style="62" customWidth="1"/>
    <col min="6374" max="6374" width="13.44140625" style="62" customWidth="1"/>
    <col min="6375" max="6375" width="11.109375" style="62" customWidth="1"/>
    <col min="6376" max="6376" width="11.33203125" style="62" bestFit="1" customWidth="1"/>
    <col min="6377" max="6377" width="11.5546875" style="62" customWidth="1"/>
    <col min="6378" max="6378" width="8.88671875" style="62"/>
    <col min="6379" max="6379" width="9.88671875" style="62" bestFit="1" customWidth="1"/>
    <col min="6380" max="6380" width="9.109375" style="62" bestFit="1" customWidth="1"/>
    <col min="6381" max="6381" width="9.5546875" style="62" bestFit="1" customWidth="1"/>
    <col min="6382" max="6622" width="9.109375" style="62" bestFit="1" customWidth="1"/>
    <col min="6623" max="6623" width="1.88671875" style="62" customWidth="1"/>
    <col min="6624" max="6624" width="7.33203125" style="62" customWidth="1"/>
    <col min="6625" max="6625" width="9.88671875" style="62" customWidth="1"/>
    <col min="6626" max="6626" width="12.6640625" style="62" customWidth="1"/>
    <col min="6627" max="6627" width="11.109375" style="62" customWidth="1"/>
    <col min="6628" max="6628" width="10.88671875" style="62" customWidth="1"/>
    <col min="6629" max="6629" width="11.5546875" style="62" customWidth="1"/>
    <col min="6630" max="6630" width="13.44140625" style="62" customWidth="1"/>
    <col min="6631" max="6631" width="11.109375" style="62" customWidth="1"/>
    <col min="6632" max="6632" width="11.33203125" style="62" bestFit="1" customWidth="1"/>
    <col min="6633" max="6633" width="11.5546875" style="62" customWidth="1"/>
    <col min="6634" max="6634" width="8.88671875" style="62"/>
    <col min="6635" max="6635" width="9.88671875" style="62" bestFit="1" customWidth="1"/>
    <col min="6636" max="6636" width="9.109375" style="62" bestFit="1" customWidth="1"/>
    <col min="6637" max="6637" width="9.5546875" style="62" bestFit="1" customWidth="1"/>
    <col min="6638" max="6878" width="9.109375" style="62" bestFit="1" customWidth="1"/>
    <col min="6879" max="6879" width="1.88671875" style="62" customWidth="1"/>
    <col min="6880" max="6880" width="7.33203125" style="62" customWidth="1"/>
    <col min="6881" max="6881" width="9.88671875" style="62" customWidth="1"/>
    <col min="6882" max="6882" width="12.6640625" style="62" customWidth="1"/>
    <col min="6883" max="6883" width="11.109375" style="62" customWidth="1"/>
    <col min="6884" max="6884" width="10.88671875" style="62" customWidth="1"/>
    <col min="6885" max="6885" width="11.5546875" style="62" customWidth="1"/>
    <col min="6886" max="6886" width="13.44140625" style="62" customWidth="1"/>
    <col min="6887" max="6887" width="11.109375" style="62" customWidth="1"/>
    <col min="6888" max="6888" width="11.33203125" style="62" bestFit="1" customWidth="1"/>
    <col min="6889" max="6889" width="11.5546875" style="62" customWidth="1"/>
    <col min="6890" max="6890" width="8.88671875" style="62"/>
    <col min="6891" max="6891" width="9.88671875" style="62" bestFit="1" customWidth="1"/>
    <col min="6892" max="6892" width="9.109375" style="62" bestFit="1" customWidth="1"/>
    <col min="6893" max="6893" width="9.5546875" style="62" bestFit="1" customWidth="1"/>
    <col min="6894" max="7134" width="9.109375" style="62" bestFit="1" customWidth="1"/>
    <col min="7135" max="7135" width="1.88671875" style="62" customWidth="1"/>
    <col min="7136" max="7136" width="7.33203125" style="62" customWidth="1"/>
    <col min="7137" max="7137" width="9.88671875" style="62" customWidth="1"/>
    <col min="7138" max="7138" width="12.6640625" style="62" customWidth="1"/>
    <col min="7139" max="7139" width="11.109375" style="62" customWidth="1"/>
    <col min="7140" max="7140" width="10.88671875" style="62" customWidth="1"/>
    <col min="7141" max="7141" width="11.5546875" style="62" customWidth="1"/>
    <col min="7142" max="7142" width="13.44140625" style="62" customWidth="1"/>
    <col min="7143" max="7143" width="11.109375" style="62" customWidth="1"/>
    <col min="7144" max="7144" width="11.33203125" style="62" bestFit="1" customWidth="1"/>
    <col min="7145" max="7145" width="11.5546875" style="62" customWidth="1"/>
    <col min="7146" max="7146" width="8.88671875" style="62"/>
    <col min="7147" max="7147" width="9.88671875" style="62" bestFit="1" customWidth="1"/>
    <col min="7148" max="7148" width="9.109375" style="62" bestFit="1" customWidth="1"/>
    <col min="7149" max="7149" width="9.5546875" style="62" bestFit="1" customWidth="1"/>
    <col min="7150" max="7390" width="9.109375" style="62" bestFit="1" customWidth="1"/>
    <col min="7391" max="7391" width="1.88671875" style="62" customWidth="1"/>
    <col min="7392" max="7392" width="7.33203125" style="62" customWidth="1"/>
    <col min="7393" max="7393" width="9.88671875" style="62" customWidth="1"/>
    <col min="7394" max="7394" width="12.6640625" style="62" customWidth="1"/>
    <col min="7395" max="7395" width="11.109375" style="62" customWidth="1"/>
    <col min="7396" max="7396" width="10.88671875" style="62" customWidth="1"/>
    <col min="7397" max="7397" width="11.5546875" style="62" customWidth="1"/>
    <col min="7398" max="7398" width="13.44140625" style="62" customWidth="1"/>
    <col min="7399" max="7399" width="11.109375" style="62" customWidth="1"/>
    <col min="7400" max="7400" width="11.33203125" style="62" bestFit="1" customWidth="1"/>
    <col min="7401" max="7401" width="11.5546875" style="62" customWidth="1"/>
    <col min="7402" max="7402" width="8.88671875" style="62"/>
    <col min="7403" max="7403" width="9.88671875" style="62" bestFit="1" customWidth="1"/>
    <col min="7404" max="7404" width="9.109375" style="62" bestFit="1" customWidth="1"/>
    <col min="7405" max="7405" width="9.5546875" style="62" bestFit="1" customWidth="1"/>
    <col min="7406" max="7646" width="9.109375" style="62" bestFit="1" customWidth="1"/>
    <col min="7647" max="7647" width="1.88671875" style="62" customWidth="1"/>
    <col min="7648" max="7648" width="7.33203125" style="62" customWidth="1"/>
    <col min="7649" max="7649" width="9.88671875" style="62" customWidth="1"/>
    <col min="7650" max="7650" width="12.6640625" style="62" customWidth="1"/>
    <col min="7651" max="7651" width="11.109375" style="62" customWidth="1"/>
    <col min="7652" max="7652" width="10.88671875" style="62" customWidth="1"/>
    <col min="7653" max="7653" width="11.5546875" style="62" customWidth="1"/>
    <col min="7654" max="7654" width="13.44140625" style="62" customWidth="1"/>
    <col min="7655" max="7655" width="11.109375" style="62" customWidth="1"/>
    <col min="7656" max="7656" width="11.33203125" style="62" bestFit="1" customWidth="1"/>
    <col min="7657" max="7657" width="11.5546875" style="62" customWidth="1"/>
    <col min="7658" max="7658" width="8.88671875" style="62"/>
    <col min="7659" max="7659" width="9.88671875" style="62" bestFit="1" customWidth="1"/>
    <col min="7660" max="7660" width="9.109375" style="62" bestFit="1" customWidth="1"/>
    <col min="7661" max="7661" width="9.5546875" style="62" bestFit="1" customWidth="1"/>
    <col min="7662" max="7902" width="9.109375" style="62" bestFit="1" customWidth="1"/>
    <col min="7903" max="7903" width="1.88671875" style="62" customWidth="1"/>
    <col min="7904" max="7904" width="7.33203125" style="62" customWidth="1"/>
    <col min="7905" max="7905" width="9.88671875" style="62" customWidth="1"/>
    <col min="7906" max="7906" width="12.6640625" style="62" customWidth="1"/>
    <col min="7907" max="7907" width="11.109375" style="62" customWidth="1"/>
    <col min="7908" max="7908" width="10.88671875" style="62" customWidth="1"/>
    <col min="7909" max="7909" width="11.5546875" style="62" customWidth="1"/>
    <col min="7910" max="7910" width="13.44140625" style="62" customWidth="1"/>
    <col min="7911" max="7911" width="11.109375" style="62" customWidth="1"/>
    <col min="7912" max="7912" width="11.33203125" style="62" bestFit="1" customWidth="1"/>
    <col min="7913" max="7913" width="11.5546875" style="62" customWidth="1"/>
    <col min="7914" max="7914" width="8.88671875" style="62"/>
    <col min="7915" max="7915" width="9.88671875" style="62" bestFit="1" customWidth="1"/>
    <col min="7916" max="7916" width="9.109375" style="62" bestFit="1" customWidth="1"/>
    <col min="7917" max="7917" width="9.5546875" style="62" bestFit="1" customWidth="1"/>
    <col min="7918" max="8158" width="9.109375" style="62" bestFit="1" customWidth="1"/>
    <col min="8159" max="8159" width="1.88671875" style="62" customWidth="1"/>
    <col min="8160" max="8160" width="7.33203125" style="62" customWidth="1"/>
    <col min="8161" max="8161" width="9.88671875" style="62" customWidth="1"/>
    <col min="8162" max="8162" width="12.6640625" style="62" customWidth="1"/>
    <col min="8163" max="8163" width="11.109375" style="62" customWidth="1"/>
    <col min="8164" max="8164" width="10.88671875" style="62" customWidth="1"/>
    <col min="8165" max="8165" width="11.5546875" style="62" customWidth="1"/>
    <col min="8166" max="8166" width="13.44140625" style="62" customWidth="1"/>
    <col min="8167" max="8167" width="11.109375" style="62" customWidth="1"/>
    <col min="8168" max="8168" width="11.33203125" style="62" bestFit="1" customWidth="1"/>
    <col min="8169" max="8169" width="11.5546875" style="62" customWidth="1"/>
    <col min="8170" max="8170" width="8.88671875" style="62"/>
    <col min="8171" max="8171" width="9.88671875" style="62" bestFit="1" customWidth="1"/>
    <col min="8172" max="8172" width="9.109375" style="62" bestFit="1" customWidth="1"/>
    <col min="8173" max="8173" width="9.5546875" style="62" bestFit="1" customWidth="1"/>
    <col min="8174" max="8414" width="9.109375" style="62" bestFit="1" customWidth="1"/>
    <col min="8415" max="8415" width="1.88671875" style="62" customWidth="1"/>
    <col min="8416" max="8416" width="7.33203125" style="62" customWidth="1"/>
    <col min="8417" max="8417" width="9.88671875" style="62" customWidth="1"/>
    <col min="8418" max="8418" width="12.6640625" style="62" customWidth="1"/>
    <col min="8419" max="8419" width="11.109375" style="62" customWidth="1"/>
    <col min="8420" max="8420" width="10.88671875" style="62" customWidth="1"/>
    <col min="8421" max="8421" width="11.5546875" style="62" customWidth="1"/>
    <col min="8422" max="8422" width="13.44140625" style="62" customWidth="1"/>
    <col min="8423" max="8423" width="11.109375" style="62" customWidth="1"/>
    <col min="8424" max="8424" width="11.33203125" style="62" bestFit="1" customWidth="1"/>
    <col min="8425" max="8425" width="11.5546875" style="62" customWidth="1"/>
    <col min="8426" max="8426" width="8.88671875" style="62"/>
    <col min="8427" max="8427" width="9.88671875" style="62" bestFit="1" customWidth="1"/>
    <col min="8428" max="8428" width="9.109375" style="62" bestFit="1" customWidth="1"/>
    <col min="8429" max="8429" width="9.5546875" style="62" bestFit="1" customWidth="1"/>
    <col min="8430" max="8670" width="9.109375" style="62" bestFit="1" customWidth="1"/>
    <col min="8671" max="8671" width="1.88671875" style="62" customWidth="1"/>
    <col min="8672" max="8672" width="7.33203125" style="62" customWidth="1"/>
    <col min="8673" max="8673" width="9.88671875" style="62" customWidth="1"/>
    <col min="8674" max="8674" width="12.6640625" style="62" customWidth="1"/>
    <col min="8675" max="8675" width="11.109375" style="62" customWidth="1"/>
    <col min="8676" max="8676" width="10.88671875" style="62" customWidth="1"/>
    <col min="8677" max="8677" width="11.5546875" style="62" customWidth="1"/>
    <col min="8678" max="8678" width="13.44140625" style="62" customWidth="1"/>
    <col min="8679" max="8679" width="11.109375" style="62" customWidth="1"/>
    <col min="8680" max="8680" width="11.33203125" style="62" bestFit="1" customWidth="1"/>
    <col min="8681" max="8681" width="11.5546875" style="62" customWidth="1"/>
    <col min="8682" max="8682" width="8.88671875" style="62"/>
    <col min="8683" max="8683" width="9.88671875" style="62" bestFit="1" customWidth="1"/>
    <col min="8684" max="8684" width="9.109375" style="62" bestFit="1" customWidth="1"/>
    <col min="8685" max="8685" width="9.5546875" style="62" bestFit="1" customWidth="1"/>
    <col min="8686" max="8926" width="9.109375" style="62" bestFit="1" customWidth="1"/>
    <col min="8927" max="8927" width="1.88671875" style="62" customWidth="1"/>
    <col min="8928" max="8928" width="7.33203125" style="62" customWidth="1"/>
    <col min="8929" max="8929" width="9.88671875" style="62" customWidth="1"/>
    <col min="8930" max="8930" width="12.6640625" style="62" customWidth="1"/>
    <col min="8931" max="8931" width="11.109375" style="62" customWidth="1"/>
    <col min="8932" max="8932" width="10.88671875" style="62" customWidth="1"/>
    <col min="8933" max="8933" width="11.5546875" style="62" customWidth="1"/>
    <col min="8934" max="8934" width="13.44140625" style="62" customWidth="1"/>
    <col min="8935" max="8935" width="11.109375" style="62" customWidth="1"/>
    <col min="8936" max="8936" width="11.33203125" style="62" bestFit="1" customWidth="1"/>
    <col min="8937" max="8937" width="11.5546875" style="62" customWidth="1"/>
    <col min="8938" max="8938" width="8.88671875" style="62"/>
    <col min="8939" max="8939" width="9.88671875" style="62" bestFit="1" customWidth="1"/>
    <col min="8940" max="8940" width="9.109375" style="62" bestFit="1" customWidth="1"/>
    <col min="8941" max="8941" width="9.5546875" style="62" bestFit="1" customWidth="1"/>
    <col min="8942" max="9182" width="9.109375" style="62" bestFit="1" customWidth="1"/>
    <col min="9183" max="9183" width="1.88671875" style="62" customWidth="1"/>
    <col min="9184" max="9184" width="7.33203125" style="62" customWidth="1"/>
    <col min="9185" max="9185" width="9.88671875" style="62" customWidth="1"/>
    <col min="9186" max="9186" width="12.6640625" style="62" customWidth="1"/>
    <col min="9187" max="9187" width="11.109375" style="62" customWidth="1"/>
    <col min="9188" max="9188" width="10.88671875" style="62" customWidth="1"/>
    <col min="9189" max="9189" width="11.5546875" style="62" customWidth="1"/>
    <col min="9190" max="9190" width="13.44140625" style="62" customWidth="1"/>
    <col min="9191" max="9191" width="11.109375" style="62" customWidth="1"/>
    <col min="9192" max="9192" width="11.33203125" style="62" bestFit="1" customWidth="1"/>
    <col min="9193" max="9193" width="11.5546875" style="62" customWidth="1"/>
    <col min="9194" max="9194" width="8.88671875" style="62"/>
    <col min="9195" max="9195" width="9.88671875" style="62" bestFit="1" customWidth="1"/>
    <col min="9196" max="9196" width="9.109375" style="62" bestFit="1" customWidth="1"/>
    <col min="9197" max="9197" width="9.5546875" style="62" bestFit="1" customWidth="1"/>
    <col min="9198" max="9438" width="9.109375" style="62" bestFit="1" customWidth="1"/>
    <col min="9439" max="9439" width="1.88671875" style="62" customWidth="1"/>
    <col min="9440" max="9440" width="7.33203125" style="62" customWidth="1"/>
    <col min="9441" max="9441" width="9.88671875" style="62" customWidth="1"/>
    <col min="9442" max="9442" width="12.6640625" style="62" customWidth="1"/>
    <col min="9443" max="9443" width="11.109375" style="62" customWidth="1"/>
    <col min="9444" max="9444" width="10.88671875" style="62" customWidth="1"/>
    <col min="9445" max="9445" width="11.5546875" style="62" customWidth="1"/>
    <col min="9446" max="9446" width="13.44140625" style="62" customWidth="1"/>
    <col min="9447" max="9447" width="11.109375" style="62" customWidth="1"/>
    <col min="9448" max="9448" width="11.33203125" style="62" bestFit="1" customWidth="1"/>
    <col min="9449" max="9449" width="11.5546875" style="62" customWidth="1"/>
    <col min="9450" max="9450" width="8.88671875" style="62"/>
    <col min="9451" max="9451" width="9.88671875" style="62" bestFit="1" customWidth="1"/>
    <col min="9452" max="9452" width="9.109375" style="62" bestFit="1" customWidth="1"/>
    <col min="9453" max="9453" width="9.5546875" style="62" bestFit="1" customWidth="1"/>
    <col min="9454" max="9694" width="9.109375" style="62" bestFit="1" customWidth="1"/>
    <col min="9695" max="9695" width="1.88671875" style="62" customWidth="1"/>
    <col min="9696" max="9696" width="7.33203125" style="62" customWidth="1"/>
    <col min="9697" max="9697" width="9.88671875" style="62" customWidth="1"/>
    <col min="9698" max="9698" width="12.6640625" style="62" customWidth="1"/>
    <col min="9699" max="9699" width="11.109375" style="62" customWidth="1"/>
    <col min="9700" max="9700" width="10.88671875" style="62" customWidth="1"/>
    <col min="9701" max="9701" width="11.5546875" style="62" customWidth="1"/>
    <col min="9702" max="9702" width="13.44140625" style="62" customWidth="1"/>
    <col min="9703" max="9703" width="11.109375" style="62" customWidth="1"/>
    <col min="9704" max="9704" width="11.33203125" style="62" bestFit="1" customWidth="1"/>
    <col min="9705" max="9705" width="11.5546875" style="62" customWidth="1"/>
    <col min="9706" max="9706" width="8.88671875" style="62"/>
    <col min="9707" max="9707" width="9.88671875" style="62" bestFit="1" customWidth="1"/>
    <col min="9708" max="9708" width="9.109375" style="62" bestFit="1" customWidth="1"/>
    <col min="9709" max="9709" width="9.5546875" style="62" bestFit="1" customWidth="1"/>
    <col min="9710" max="9950" width="9.109375" style="62" bestFit="1" customWidth="1"/>
    <col min="9951" max="9951" width="1.88671875" style="62" customWidth="1"/>
    <col min="9952" max="9952" width="7.33203125" style="62" customWidth="1"/>
    <col min="9953" max="9953" width="9.88671875" style="62" customWidth="1"/>
    <col min="9954" max="9954" width="12.6640625" style="62" customWidth="1"/>
    <col min="9955" max="9955" width="11.109375" style="62" customWidth="1"/>
    <col min="9956" max="9956" width="10.88671875" style="62" customWidth="1"/>
    <col min="9957" max="9957" width="11.5546875" style="62" customWidth="1"/>
    <col min="9958" max="9958" width="13.44140625" style="62" customWidth="1"/>
    <col min="9959" max="9959" width="11.109375" style="62" customWidth="1"/>
    <col min="9960" max="9960" width="11.33203125" style="62" bestFit="1" customWidth="1"/>
    <col min="9961" max="9961" width="11.5546875" style="62" customWidth="1"/>
    <col min="9962" max="9962" width="8.88671875" style="62"/>
    <col min="9963" max="9963" width="9.88671875" style="62" bestFit="1" customWidth="1"/>
    <col min="9964" max="9964" width="9.109375" style="62" bestFit="1" customWidth="1"/>
    <col min="9965" max="9965" width="9.5546875" style="62" bestFit="1" customWidth="1"/>
    <col min="9966" max="10206" width="9.109375" style="62" bestFit="1" customWidth="1"/>
    <col min="10207" max="10207" width="1.88671875" style="62" customWidth="1"/>
    <col min="10208" max="10208" width="7.33203125" style="62" customWidth="1"/>
    <col min="10209" max="10209" width="9.88671875" style="62" customWidth="1"/>
    <col min="10210" max="10210" width="12.6640625" style="62" customWidth="1"/>
    <col min="10211" max="10211" width="11.109375" style="62" customWidth="1"/>
    <col min="10212" max="10212" width="10.88671875" style="62" customWidth="1"/>
    <col min="10213" max="10213" width="11.5546875" style="62" customWidth="1"/>
    <col min="10214" max="10214" width="13.44140625" style="62" customWidth="1"/>
    <col min="10215" max="10215" width="11.109375" style="62" customWidth="1"/>
    <col min="10216" max="10216" width="11.33203125" style="62" bestFit="1" customWidth="1"/>
    <col min="10217" max="10217" width="11.5546875" style="62" customWidth="1"/>
    <col min="10218" max="10218" width="8.88671875" style="62"/>
    <col min="10219" max="10219" width="9.88671875" style="62" bestFit="1" customWidth="1"/>
    <col min="10220" max="10220" width="9.109375" style="62" bestFit="1" customWidth="1"/>
    <col min="10221" max="10221" width="9.5546875" style="62" bestFit="1" customWidth="1"/>
    <col min="10222" max="10462" width="9.109375" style="62" bestFit="1" customWidth="1"/>
    <col min="10463" max="10463" width="1.88671875" style="62" customWidth="1"/>
    <col min="10464" max="10464" width="7.33203125" style="62" customWidth="1"/>
    <col min="10465" max="10465" width="9.88671875" style="62" customWidth="1"/>
    <col min="10466" max="10466" width="12.6640625" style="62" customWidth="1"/>
    <col min="10467" max="10467" width="11.109375" style="62" customWidth="1"/>
    <col min="10468" max="10468" width="10.88671875" style="62" customWidth="1"/>
    <col min="10469" max="10469" width="11.5546875" style="62" customWidth="1"/>
    <col min="10470" max="10470" width="13.44140625" style="62" customWidth="1"/>
    <col min="10471" max="10471" width="11.109375" style="62" customWidth="1"/>
    <col min="10472" max="10472" width="11.33203125" style="62" bestFit="1" customWidth="1"/>
    <col min="10473" max="10473" width="11.5546875" style="62" customWidth="1"/>
    <col min="10474" max="10474" width="8.88671875" style="62"/>
    <col min="10475" max="10475" width="9.88671875" style="62" bestFit="1" customWidth="1"/>
    <col min="10476" max="10476" width="9.109375" style="62" bestFit="1" customWidth="1"/>
    <col min="10477" max="10477" width="9.5546875" style="62" bestFit="1" customWidth="1"/>
    <col min="10478" max="10718" width="9.109375" style="62" bestFit="1" customWidth="1"/>
    <col min="10719" max="10719" width="1.88671875" style="62" customWidth="1"/>
    <col min="10720" max="10720" width="7.33203125" style="62" customWidth="1"/>
    <col min="10721" max="10721" width="9.88671875" style="62" customWidth="1"/>
    <col min="10722" max="10722" width="12.6640625" style="62" customWidth="1"/>
    <col min="10723" max="10723" width="11.109375" style="62" customWidth="1"/>
    <col min="10724" max="10724" width="10.88671875" style="62" customWidth="1"/>
    <col min="10725" max="10725" width="11.5546875" style="62" customWidth="1"/>
    <col min="10726" max="10726" width="13.44140625" style="62" customWidth="1"/>
    <col min="10727" max="10727" width="11.109375" style="62" customWidth="1"/>
    <col min="10728" max="10728" width="11.33203125" style="62" bestFit="1" customWidth="1"/>
    <col min="10729" max="10729" width="11.5546875" style="62" customWidth="1"/>
    <col min="10730" max="10730" width="8.88671875" style="62"/>
    <col min="10731" max="10731" width="9.88671875" style="62" bestFit="1" customWidth="1"/>
    <col min="10732" max="10732" width="9.109375" style="62" bestFit="1" customWidth="1"/>
    <col min="10733" max="10733" width="9.5546875" style="62" bestFit="1" customWidth="1"/>
    <col min="10734" max="10974" width="9.109375" style="62" bestFit="1" customWidth="1"/>
    <col min="10975" max="10975" width="1.88671875" style="62" customWidth="1"/>
    <col min="10976" max="10976" width="7.33203125" style="62" customWidth="1"/>
    <col min="10977" max="10977" width="9.88671875" style="62" customWidth="1"/>
    <col min="10978" max="10978" width="12.6640625" style="62" customWidth="1"/>
    <col min="10979" max="10979" width="11.109375" style="62" customWidth="1"/>
    <col min="10980" max="10980" width="10.88671875" style="62" customWidth="1"/>
    <col min="10981" max="10981" width="11.5546875" style="62" customWidth="1"/>
    <col min="10982" max="10982" width="13.44140625" style="62" customWidth="1"/>
    <col min="10983" max="10983" width="11.109375" style="62" customWidth="1"/>
    <col min="10984" max="10984" width="11.33203125" style="62" bestFit="1" customWidth="1"/>
    <col min="10985" max="10985" width="11.5546875" style="62" customWidth="1"/>
    <col min="10986" max="10986" width="8.88671875" style="62"/>
    <col min="10987" max="10987" width="9.88671875" style="62" bestFit="1" customWidth="1"/>
    <col min="10988" max="10988" width="9.109375" style="62" bestFit="1" customWidth="1"/>
    <col min="10989" max="10989" width="9.5546875" style="62" bestFit="1" customWidth="1"/>
    <col min="10990" max="11230" width="9.109375" style="62" bestFit="1" customWidth="1"/>
    <col min="11231" max="11231" width="1.88671875" style="62" customWidth="1"/>
    <col min="11232" max="11232" width="7.33203125" style="62" customWidth="1"/>
    <col min="11233" max="11233" width="9.88671875" style="62" customWidth="1"/>
    <col min="11234" max="11234" width="12.6640625" style="62" customWidth="1"/>
    <col min="11235" max="11235" width="11.109375" style="62" customWidth="1"/>
    <col min="11236" max="11236" width="10.88671875" style="62" customWidth="1"/>
    <col min="11237" max="11237" width="11.5546875" style="62" customWidth="1"/>
    <col min="11238" max="11238" width="13.44140625" style="62" customWidth="1"/>
    <col min="11239" max="11239" width="11.109375" style="62" customWidth="1"/>
    <col min="11240" max="11240" width="11.33203125" style="62" bestFit="1" customWidth="1"/>
    <col min="11241" max="11241" width="11.5546875" style="62" customWidth="1"/>
    <col min="11242" max="11242" width="8.88671875" style="62"/>
    <col min="11243" max="11243" width="9.88671875" style="62" bestFit="1" customWidth="1"/>
    <col min="11244" max="11244" width="9.109375" style="62" bestFit="1" customWidth="1"/>
    <col min="11245" max="11245" width="9.5546875" style="62" bestFit="1" customWidth="1"/>
    <col min="11246" max="11486" width="9.109375" style="62" bestFit="1" customWidth="1"/>
    <col min="11487" max="11487" width="1.88671875" style="62" customWidth="1"/>
    <col min="11488" max="11488" width="7.33203125" style="62" customWidth="1"/>
    <col min="11489" max="11489" width="9.88671875" style="62" customWidth="1"/>
    <col min="11490" max="11490" width="12.6640625" style="62" customWidth="1"/>
    <col min="11491" max="11491" width="11.109375" style="62" customWidth="1"/>
    <col min="11492" max="11492" width="10.88671875" style="62" customWidth="1"/>
    <col min="11493" max="11493" width="11.5546875" style="62" customWidth="1"/>
    <col min="11494" max="11494" width="13.44140625" style="62" customWidth="1"/>
    <col min="11495" max="11495" width="11.109375" style="62" customWidth="1"/>
    <col min="11496" max="11496" width="11.33203125" style="62" bestFit="1" customWidth="1"/>
    <col min="11497" max="11497" width="11.5546875" style="62" customWidth="1"/>
    <col min="11498" max="11498" width="8.88671875" style="62"/>
    <col min="11499" max="11499" width="9.88671875" style="62" bestFit="1" customWidth="1"/>
    <col min="11500" max="11500" width="9.109375" style="62" bestFit="1" customWidth="1"/>
    <col min="11501" max="11501" width="9.5546875" style="62" bestFit="1" customWidth="1"/>
    <col min="11502" max="11742" width="9.109375" style="62" bestFit="1" customWidth="1"/>
    <col min="11743" max="11743" width="1.88671875" style="62" customWidth="1"/>
    <col min="11744" max="11744" width="7.33203125" style="62" customWidth="1"/>
    <col min="11745" max="11745" width="9.88671875" style="62" customWidth="1"/>
    <col min="11746" max="11746" width="12.6640625" style="62" customWidth="1"/>
    <col min="11747" max="11747" width="11.109375" style="62" customWidth="1"/>
    <col min="11748" max="11748" width="10.88671875" style="62" customWidth="1"/>
    <col min="11749" max="11749" width="11.5546875" style="62" customWidth="1"/>
    <col min="11750" max="11750" width="13.44140625" style="62" customWidth="1"/>
    <col min="11751" max="11751" width="11.109375" style="62" customWidth="1"/>
    <col min="11752" max="11752" width="11.33203125" style="62" bestFit="1" customWidth="1"/>
    <col min="11753" max="11753" width="11.5546875" style="62" customWidth="1"/>
    <col min="11754" max="11754" width="8.88671875" style="62"/>
    <col min="11755" max="11755" width="9.88671875" style="62" bestFit="1" customWidth="1"/>
    <col min="11756" max="11756" width="9.109375" style="62" bestFit="1" customWidth="1"/>
    <col min="11757" max="11757" width="9.5546875" style="62" bestFit="1" customWidth="1"/>
    <col min="11758" max="11998" width="9.109375" style="62" bestFit="1" customWidth="1"/>
    <col min="11999" max="11999" width="1.88671875" style="62" customWidth="1"/>
    <col min="12000" max="12000" width="7.33203125" style="62" customWidth="1"/>
    <col min="12001" max="12001" width="9.88671875" style="62" customWidth="1"/>
    <col min="12002" max="12002" width="12.6640625" style="62" customWidth="1"/>
    <col min="12003" max="12003" width="11.109375" style="62" customWidth="1"/>
    <col min="12004" max="12004" width="10.88671875" style="62" customWidth="1"/>
    <col min="12005" max="12005" width="11.5546875" style="62" customWidth="1"/>
    <col min="12006" max="12006" width="13.44140625" style="62" customWidth="1"/>
    <col min="12007" max="12007" width="11.109375" style="62" customWidth="1"/>
    <col min="12008" max="12008" width="11.33203125" style="62" bestFit="1" customWidth="1"/>
    <col min="12009" max="12009" width="11.5546875" style="62" customWidth="1"/>
    <col min="12010" max="12010" width="8.88671875" style="62"/>
    <col min="12011" max="12011" width="9.88671875" style="62" bestFit="1" customWidth="1"/>
    <col min="12012" max="12012" width="9.109375" style="62" bestFit="1" customWidth="1"/>
    <col min="12013" max="12013" width="9.5546875" style="62" bestFit="1" customWidth="1"/>
    <col min="12014" max="12254" width="9.109375" style="62" bestFit="1" customWidth="1"/>
    <col min="12255" max="12255" width="1.88671875" style="62" customWidth="1"/>
    <col min="12256" max="12256" width="7.33203125" style="62" customWidth="1"/>
    <col min="12257" max="12257" width="9.88671875" style="62" customWidth="1"/>
    <col min="12258" max="12258" width="12.6640625" style="62" customWidth="1"/>
    <col min="12259" max="12259" width="11.109375" style="62" customWidth="1"/>
    <col min="12260" max="12260" width="10.88671875" style="62" customWidth="1"/>
    <col min="12261" max="12261" width="11.5546875" style="62" customWidth="1"/>
    <col min="12262" max="12262" width="13.44140625" style="62" customWidth="1"/>
    <col min="12263" max="12263" width="11.109375" style="62" customWidth="1"/>
    <col min="12264" max="12264" width="11.33203125" style="62" bestFit="1" customWidth="1"/>
    <col min="12265" max="12265" width="11.5546875" style="62" customWidth="1"/>
    <col min="12266" max="12266" width="8.88671875" style="62"/>
    <col min="12267" max="12267" width="9.88671875" style="62" bestFit="1" customWidth="1"/>
    <col min="12268" max="12268" width="9.109375" style="62" bestFit="1" customWidth="1"/>
    <col min="12269" max="12269" width="9.5546875" style="62" bestFit="1" customWidth="1"/>
    <col min="12270" max="12510" width="9.109375" style="62" bestFit="1" customWidth="1"/>
    <col min="12511" max="12511" width="1.88671875" style="62" customWidth="1"/>
    <col min="12512" max="12512" width="7.33203125" style="62" customWidth="1"/>
    <col min="12513" max="12513" width="9.88671875" style="62" customWidth="1"/>
    <col min="12514" max="12514" width="12.6640625" style="62" customWidth="1"/>
    <col min="12515" max="12515" width="11.109375" style="62" customWidth="1"/>
    <col min="12516" max="12516" width="10.88671875" style="62" customWidth="1"/>
    <col min="12517" max="12517" width="11.5546875" style="62" customWidth="1"/>
    <col min="12518" max="12518" width="13.44140625" style="62" customWidth="1"/>
    <col min="12519" max="12519" width="11.109375" style="62" customWidth="1"/>
    <col min="12520" max="12520" width="11.33203125" style="62" bestFit="1" customWidth="1"/>
    <col min="12521" max="12521" width="11.5546875" style="62" customWidth="1"/>
    <col min="12522" max="12522" width="8.88671875" style="62"/>
    <col min="12523" max="12523" width="9.88671875" style="62" bestFit="1" customWidth="1"/>
    <col min="12524" max="12524" width="9.109375" style="62" bestFit="1" customWidth="1"/>
    <col min="12525" max="12525" width="9.5546875" style="62" bestFit="1" customWidth="1"/>
    <col min="12526" max="12766" width="9.109375" style="62" bestFit="1" customWidth="1"/>
    <col min="12767" max="12767" width="1.88671875" style="62" customWidth="1"/>
    <col min="12768" max="12768" width="7.33203125" style="62" customWidth="1"/>
    <col min="12769" max="12769" width="9.88671875" style="62" customWidth="1"/>
    <col min="12770" max="12770" width="12.6640625" style="62" customWidth="1"/>
    <col min="12771" max="12771" width="11.109375" style="62" customWidth="1"/>
    <col min="12772" max="12772" width="10.88671875" style="62" customWidth="1"/>
    <col min="12773" max="12773" width="11.5546875" style="62" customWidth="1"/>
    <col min="12774" max="12774" width="13.44140625" style="62" customWidth="1"/>
    <col min="12775" max="12775" width="11.109375" style="62" customWidth="1"/>
    <col min="12776" max="12776" width="11.33203125" style="62" bestFit="1" customWidth="1"/>
    <col min="12777" max="12777" width="11.5546875" style="62" customWidth="1"/>
    <col min="12778" max="12778" width="8.88671875" style="62"/>
    <col min="12779" max="12779" width="9.88671875" style="62" bestFit="1" customWidth="1"/>
    <col min="12780" max="12780" width="9.109375" style="62" bestFit="1" customWidth="1"/>
    <col min="12781" max="12781" width="9.5546875" style="62" bestFit="1" customWidth="1"/>
    <col min="12782" max="13022" width="9.109375" style="62" bestFit="1" customWidth="1"/>
    <col min="13023" max="13023" width="1.88671875" style="62" customWidth="1"/>
    <col min="13024" max="13024" width="7.33203125" style="62" customWidth="1"/>
    <col min="13025" max="13025" width="9.88671875" style="62" customWidth="1"/>
    <col min="13026" max="13026" width="12.6640625" style="62" customWidth="1"/>
    <col min="13027" max="13027" width="11.109375" style="62" customWidth="1"/>
    <col min="13028" max="13028" width="10.88671875" style="62" customWidth="1"/>
    <col min="13029" max="13029" width="11.5546875" style="62" customWidth="1"/>
    <col min="13030" max="13030" width="13.44140625" style="62" customWidth="1"/>
    <col min="13031" max="13031" width="11.109375" style="62" customWidth="1"/>
    <col min="13032" max="13032" width="11.33203125" style="62" bestFit="1" customWidth="1"/>
    <col min="13033" max="13033" width="11.5546875" style="62" customWidth="1"/>
    <col min="13034" max="13034" width="8.88671875" style="62"/>
    <col min="13035" max="13035" width="9.88671875" style="62" bestFit="1" customWidth="1"/>
    <col min="13036" max="13036" width="9.109375" style="62" bestFit="1" customWidth="1"/>
    <col min="13037" max="13037" width="9.5546875" style="62" bestFit="1" customWidth="1"/>
    <col min="13038" max="13278" width="9.109375" style="62" bestFit="1" customWidth="1"/>
    <col min="13279" max="13279" width="1.88671875" style="62" customWidth="1"/>
    <col min="13280" max="13280" width="7.33203125" style="62" customWidth="1"/>
    <col min="13281" max="13281" width="9.88671875" style="62" customWidth="1"/>
    <col min="13282" max="13282" width="12.6640625" style="62" customWidth="1"/>
    <col min="13283" max="13283" width="11.109375" style="62" customWidth="1"/>
    <col min="13284" max="13284" width="10.88671875" style="62" customWidth="1"/>
    <col min="13285" max="13285" width="11.5546875" style="62" customWidth="1"/>
    <col min="13286" max="13286" width="13.44140625" style="62" customWidth="1"/>
    <col min="13287" max="13287" width="11.109375" style="62" customWidth="1"/>
    <col min="13288" max="13288" width="11.33203125" style="62" bestFit="1" customWidth="1"/>
    <col min="13289" max="13289" width="11.5546875" style="62" customWidth="1"/>
    <col min="13290" max="13290" width="8.88671875" style="62"/>
    <col min="13291" max="13291" width="9.88671875" style="62" bestFit="1" customWidth="1"/>
    <col min="13292" max="13292" width="9.109375" style="62" bestFit="1" customWidth="1"/>
    <col min="13293" max="13293" width="9.5546875" style="62" bestFit="1" customWidth="1"/>
    <col min="13294" max="13534" width="9.109375" style="62" bestFit="1" customWidth="1"/>
    <col min="13535" max="13535" width="1.88671875" style="62" customWidth="1"/>
    <col min="13536" max="13536" width="7.33203125" style="62" customWidth="1"/>
    <col min="13537" max="13537" width="9.88671875" style="62" customWidth="1"/>
    <col min="13538" max="13538" width="12.6640625" style="62" customWidth="1"/>
    <col min="13539" max="13539" width="11.109375" style="62" customWidth="1"/>
    <col min="13540" max="13540" width="10.88671875" style="62" customWidth="1"/>
    <col min="13541" max="13541" width="11.5546875" style="62" customWidth="1"/>
    <col min="13542" max="13542" width="13.44140625" style="62" customWidth="1"/>
    <col min="13543" max="13543" width="11.109375" style="62" customWidth="1"/>
    <col min="13544" max="13544" width="11.33203125" style="62" bestFit="1" customWidth="1"/>
    <col min="13545" max="13545" width="11.5546875" style="62" customWidth="1"/>
    <col min="13546" max="13546" width="8.88671875" style="62"/>
    <col min="13547" max="13547" width="9.88671875" style="62" bestFit="1" customWidth="1"/>
    <col min="13548" max="13548" width="9.109375" style="62" bestFit="1" customWidth="1"/>
    <col min="13549" max="13549" width="9.5546875" style="62" bestFit="1" customWidth="1"/>
    <col min="13550" max="13790" width="9.109375" style="62" bestFit="1" customWidth="1"/>
    <col min="13791" max="13791" width="1.88671875" style="62" customWidth="1"/>
    <col min="13792" max="13792" width="7.33203125" style="62" customWidth="1"/>
    <col min="13793" max="13793" width="9.88671875" style="62" customWidth="1"/>
    <col min="13794" max="13794" width="12.6640625" style="62" customWidth="1"/>
    <col min="13795" max="13795" width="11.109375" style="62" customWidth="1"/>
    <col min="13796" max="13796" width="10.88671875" style="62" customWidth="1"/>
    <col min="13797" max="13797" width="11.5546875" style="62" customWidth="1"/>
    <col min="13798" max="13798" width="13.44140625" style="62" customWidth="1"/>
    <col min="13799" max="13799" width="11.109375" style="62" customWidth="1"/>
    <col min="13800" max="13800" width="11.33203125" style="62" bestFit="1" customWidth="1"/>
    <col min="13801" max="13801" width="11.5546875" style="62" customWidth="1"/>
    <col min="13802" max="13802" width="8.88671875" style="62"/>
    <col min="13803" max="13803" width="9.88671875" style="62" bestFit="1" customWidth="1"/>
    <col min="13804" max="13804" width="9.109375" style="62" bestFit="1" customWidth="1"/>
    <col min="13805" max="13805" width="9.5546875" style="62" bestFit="1" customWidth="1"/>
    <col min="13806" max="14046" width="9.109375" style="62" bestFit="1" customWidth="1"/>
    <col min="14047" max="14047" width="1.88671875" style="62" customWidth="1"/>
    <col min="14048" max="14048" width="7.33203125" style="62" customWidth="1"/>
    <col min="14049" max="14049" width="9.88671875" style="62" customWidth="1"/>
    <col min="14050" max="14050" width="12.6640625" style="62" customWidth="1"/>
    <col min="14051" max="14051" width="11.109375" style="62" customWidth="1"/>
    <col min="14052" max="14052" width="10.88671875" style="62" customWidth="1"/>
    <col min="14053" max="14053" width="11.5546875" style="62" customWidth="1"/>
    <col min="14054" max="14054" width="13.44140625" style="62" customWidth="1"/>
    <col min="14055" max="14055" width="11.109375" style="62" customWidth="1"/>
    <col min="14056" max="14056" width="11.33203125" style="62" bestFit="1" customWidth="1"/>
    <col min="14057" max="14057" width="11.5546875" style="62" customWidth="1"/>
    <col min="14058" max="14058" width="8.88671875" style="62"/>
    <col min="14059" max="14059" width="9.88671875" style="62" bestFit="1" customWidth="1"/>
    <col min="14060" max="14060" width="9.109375" style="62" bestFit="1" customWidth="1"/>
    <col min="14061" max="14061" width="9.5546875" style="62" bestFit="1" customWidth="1"/>
    <col min="14062" max="14302" width="9.109375" style="62" bestFit="1" customWidth="1"/>
    <col min="14303" max="14303" width="1.88671875" style="62" customWidth="1"/>
    <col min="14304" max="14304" width="7.33203125" style="62" customWidth="1"/>
    <col min="14305" max="14305" width="9.88671875" style="62" customWidth="1"/>
    <col min="14306" max="14306" width="12.6640625" style="62" customWidth="1"/>
    <col min="14307" max="14307" width="11.109375" style="62" customWidth="1"/>
    <col min="14308" max="14308" width="10.88671875" style="62" customWidth="1"/>
    <col min="14309" max="14309" width="11.5546875" style="62" customWidth="1"/>
    <col min="14310" max="14310" width="13.44140625" style="62" customWidth="1"/>
    <col min="14311" max="14311" width="11.109375" style="62" customWidth="1"/>
    <col min="14312" max="14312" width="11.33203125" style="62" bestFit="1" customWidth="1"/>
    <col min="14313" max="14313" width="11.5546875" style="62" customWidth="1"/>
    <col min="14314" max="14314" width="8.88671875" style="62"/>
    <col min="14315" max="14315" width="9.88671875" style="62" bestFit="1" customWidth="1"/>
    <col min="14316" max="14316" width="9.109375" style="62" bestFit="1" customWidth="1"/>
    <col min="14317" max="14317" width="9.5546875" style="62" bestFit="1" customWidth="1"/>
    <col min="14318" max="14558" width="9.109375" style="62" bestFit="1" customWidth="1"/>
    <col min="14559" max="14559" width="1.88671875" style="62" customWidth="1"/>
    <col min="14560" max="14560" width="7.33203125" style="62" customWidth="1"/>
    <col min="14561" max="14561" width="9.88671875" style="62" customWidth="1"/>
    <col min="14562" max="14562" width="12.6640625" style="62" customWidth="1"/>
    <col min="14563" max="14563" width="11.109375" style="62" customWidth="1"/>
    <col min="14564" max="14564" width="10.88671875" style="62" customWidth="1"/>
    <col min="14565" max="14565" width="11.5546875" style="62" customWidth="1"/>
    <col min="14566" max="14566" width="13.44140625" style="62" customWidth="1"/>
    <col min="14567" max="14567" width="11.109375" style="62" customWidth="1"/>
    <col min="14568" max="14568" width="11.33203125" style="62" bestFit="1" customWidth="1"/>
    <col min="14569" max="14569" width="11.5546875" style="62" customWidth="1"/>
    <col min="14570" max="14570" width="8.88671875" style="62"/>
    <col min="14571" max="14571" width="9.88671875" style="62" bestFit="1" customWidth="1"/>
    <col min="14572" max="14572" width="9.109375" style="62" bestFit="1" customWidth="1"/>
    <col min="14573" max="14573" width="9.5546875" style="62" bestFit="1" customWidth="1"/>
    <col min="14574" max="14814" width="9.109375" style="62" bestFit="1" customWidth="1"/>
    <col min="14815" max="14815" width="1.88671875" style="62" customWidth="1"/>
    <col min="14816" max="14816" width="7.33203125" style="62" customWidth="1"/>
    <col min="14817" max="14817" width="9.88671875" style="62" customWidth="1"/>
    <col min="14818" max="14818" width="12.6640625" style="62" customWidth="1"/>
    <col min="14819" max="14819" width="11.109375" style="62" customWidth="1"/>
    <col min="14820" max="14820" width="10.88671875" style="62" customWidth="1"/>
    <col min="14821" max="14821" width="11.5546875" style="62" customWidth="1"/>
    <col min="14822" max="14822" width="13.44140625" style="62" customWidth="1"/>
    <col min="14823" max="14823" width="11.109375" style="62" customWidth="1"/>
    <col min="14824" max="14824" width="11.33203125" style="62" bestFit="1" customWidth="1"/>
    <col min="14825" max="14825" width="11.5546875" style="62" customWidth="1"/>
    <col min="14826" max="14826" width="8.88671875" style="62"/>
    <col min="14827" max="14827" width="9.88671875" style="62" bestFit="1" customWidth="1"/>
    <col min="14828" max="14828" width="9.109375" style="62" bestFit="1" customWidth="1"/>
    <col min="14829" max="14829" width="9.5546875" style="62" bestFit="1" customWidth="1"/>
    <col min="14830" max="15070" width="9.109375" style="62" bestFit="1" customWidth="1"/>
    <col min="15071" max="15071" width="1.88671875" style="62" customWidth="1"/>
    <col min="15072" max="15072" width="7.33203125" style="62" customWidth="1"/>
    <col min="15073" max="15073" width="9.88671875" style="62" customWidth="1"/>
    <col min="15074" max="15074" width="12.6640625" style="62" customWidth="1"/>
    <col min="15075" max="15075" width="11.109375" style="62" customWidth="1"/>
    <col min="15076" max="15076" width="10.88671875" style="62" customWidth="1"/>
    <col min="15077" max="15077" width="11.5546875" style="62" customWidth="1"/>
    <col min="15078" max="15078" width="13.44140625" style="62" customWidth="1"/>
    <col min="15079" max="15079" width="11.109375" style="62" customWidth="1"/>
    <col min="15080" max="15080" width="11.33203125" style="62" bestFit="1" customWidth="1"/>
    <col min="15081" max="15081" width="11.5546875" style="62" customWidth="1"/>
    <col min="15082" max="15082" width="8.88671875" style="62"/>
    <col min="15083" max="15083" width="9.88671875" style="62" bestFit="1" customWidth="1"/>
    <col min="15084" max="15084" width="9.109375" style="62" bestFit="1" customWidth="1"/>
    <col min="15085" max="15085" width="9.5546875" style="62" bestFit="1" customWidth="1"/>
    <col min="15086" max="15326" width="9.109375" style="62" bestFit="1" customWidth="1"/>
    <col min="15327" max="15327" width="1.88671875" style="62" customWidth="1"/>
    <col min="15328" max="15328" width="7.33203125" style="62" customWidth="1"/>
    <col min="15329" max="15329" width="9.88671875" style="62" customWidth="1"/>
    <col min="15330" max="15330" width="12.6640625" style="62" customWidth="1"/>
    <col min="15331" max="15331" width="11.109375" style="62" customWidth="1"/>
    <col min="15332" max="15332" width="10.88671875" style="62" customWidth="1"/>
    <col min="15333" max="15333" width="11.5546875" style="62" customWidth="1"/>
    <col min="15334" max="15334" width="13.44140625" style="62" customWidth="1"/>
    <col min="15335" max="15335" width="11.109375" style="62" customWidth="1"/>
    <col min="15336" max="15336" width="11.33203125" style="62" bestFit="1" customWidth="1"/>
    <col min="15337" max="15337" width="11.5546875" style="62" customWidth="1"/>
    <col min="15338" max="15338" width="8.88671875" style="62"/>
    <col min="15339" max="15339" width="9.88671875" style="62" bestFit="1" customWidth="1"/>
    <col min="15340" max="15340" width="9.109375" style="62" bestFit="1" customWidth="1"/>
    <col min="15341" max="15341" width="9.5546875" style="62" bestFit="1" customWidth="1"/>
    <col min="15342" max="15582" width="9.109375" style="62" bestFit="1" customWidth="1"/>
    <col min="15583" max="15583" width="1.88671875" style="62" customWidth="1"/>
    <col min="15584" max="15584" width="7.33203125" style="62" customWidth="1"/>
    <col min="15585" max="15585" width="9.88671875" style="62" customWidth="1"/>
    <col min="15586" max="15586" width="12.6640625" style="62" customWidth="1"/>
    <col min="15587" max="15587" width="11.109375" style="62" customWidth="1"/>
    <col min="15588" max="15588" width="10.88671875" style="62" customWidth="1"/>
    <col min="15589" max="15589" width="11.5546875" style="62" customWidth="1"/>
    <col min="15590" max="15590" width="13.44140625" style="62" customWidth="1"/>
    <col min="15591" max="15591" width="11.109375" style="62" customWidth="1"/>
    <col min="15592" max="15592" width="11.33203125" style="62" bestFit="1" customWidth="1"/>
    <col min="15593" max="15593" width="11.5546875" style="62" customWidth="1"/>
    <col min="15594" max="15594" width="8.88671875" style="62"/>
    <col min="15595" max="15595" width="9.88671875" style="62" bestFit="1" customWidth="1"/>
    <col min="15596" max="15596" width="9.109375" style="62" bestFit="1" customWidth="1"/>
    <col min="15597" max="15597" width="9.5546875" style="62" bestFit="1" customWidth="1"/>
    <col min="15598" max="15838" width="9.109375" style="62" bestFit="1" customWidth="1"/>
    <col min="15839" max="15839" width="1.88671875" style="62" customWidth="1"/>
    <col min="15840" max="15840" width="7.33203125" style="62" customWidth="1"/>
    <col min="15841" max="15841" width="9.88671875" style="62" customWidth="1"/>
    <col min="15842" max="15842" width="12.6640625" style="62" customWidth="1"/>
    <col min="15843" max="15843" width="11.109375" style="62" customWidth="1"/>
    <col min="15844" max="15844" width="10.88671875" style="62" customWidth="1"/>
    <col min="15845" max="15845" width="11.5546875" style="62" customWidth="1"/>
    <col min="15846" max="15846" width="13.44140625" style="62" customWidth="1"/>
    <col min="15847" max="15847" width="11.109375" style="62" customWidth="1"/>
    <col min="15848" max="15848" width="11.33203125" style="62" bestFit="1" customWidth="1"/>
    <col min="15849" max="15849" width="11.5546875" style="62" customWidth="1"/>
    <col min="15850" max="15850" width="8.88671875" style="62"/>
    <col min="15851" max="15851" width="9.88671875" style="62" bestFit="1" customWidth="1"/>
    <col min="15852" max="15852" width="9.109375" style="62" bestFit="1" customWidth="1"/>
    <col min="15853" max="15853" width="9.5546875" style="62" bestFit="1" customWidth="1"/>
    <col min="15854" max="16094" width="9.109375" style="62" bestFit="1" customWidth="1"/>
    <col min="16095" max="16095" width="1.88671875" style="62" customWidth="1"/>
    <col min="16096" max="16096" width="7.33203125" style="62" customWidth="1"/>
    <col min="16097" max="16097" width="9.88671875" style="62" customWidth="1"/>
    <col min="16098" max="16098" width="12.6640625" style="62" customWidth="1"/>
    <col min="16099" max="16099" width="11.109375" style="62" customWidth="1"/>
    <col min="16100" max="16100" width="10.88671875" style="62" customWidth="1"/>
    <col min="16101" max="16101" width="11.5546875" style="62" customWidth="1"/>
    <col min="16102" max="16102" width="13.44140625" style="62" customWidth="1"/>
    <col min="16103" max="16103" width="11.109375" style="62" customWidth="1"/>
    <col min="16104" max="16104" width="11.33203125" style="62" bestFit="1" customWidth="1"/>
    <col min="16105" max="16105" width="11.5546875" style="62" customWidth="1"/>
    <col min="16106" max="16106" width="8.88671875" style="62"/>
    <col min="16107" max="16107" width="9.88671875" style="62" bestFit="1" customWidth="1"/>
    <col min="16108" max="16108" width="9.109375" style="62" bestFit="1" customWidth="1"/>
    <col min="16109" max="16109" width="9.5546875" style="62" bestFit="1" customWidth="1"/>
    <col min="16110" max="16384" width="8.88671875" style="62"/>
  </cols>
  <sheetData>
    <row r="1" spans="1:7" ht="17.399999999999999" customHeight="1" x14ac:dyDescent="0.3">
      <c r="A1" s="321" t="str">
        <f>Resumo!A1</f>
        <v>ANEXO K-2</v>
      </c>
      <c r="B1" s="322"/>
      <c r="C1" s="322"/>
      <c r="D1" s="323"/>
    </row>
    <row r="2" spans="1:7" ht="13.8" customHeight="1" x14ac:dyDescent="0.3">
      <c r="A2" s="324" t="str">
        <f>Resumo!A2</f>
        <v>COMPOSIÇÃO DE CUSTO DA ADMINISTRAÇÃO</v>
      </c>
      <c r="B2" s="325"/>
      <c r="C2" s="325"/>
      <c r="D2" s="326"/>
    </row>
    <row r="3" spans="1:7" ht="13.8" customHeight="1" thickBot="1" x14ac:dyDescent="0.35">
      <c r="A3" s="327" t="s">
        <v>41</v>
      </c>
      <c r="B3" s="328"/>
      <c r="C3" s="328"/>
      <c r="D3" s="329"/>
    </row>
    <row r="5" spans="1:7" x14ac:dyDescent="0.3">
      <c r="A5" s="339" t="s">
        <v>585</v>
      </c>
      <c r="B5" s="339"/>
      <c r="C5" s="339"/>
      <c r="D5" s="339"/>
      <c r="G5" s="77"/>
    </row>
    <row r="6" spans="1:7" ht="13.8" thickBot="1" x14ac:dyDescent="0.35">
      <c r="A6" s="330"/>
      <c r="B6" s="330"/>
      <c r="C6" s="330"/>
      <c r="D6" s="330"/>
    </row>
    <row r="7" spans="1:7" ht="13.8" thickBot="1" x14ac:dyDescent="0.35">
      <c r="A7" s="331" t="s">
        <v>138</v>
      </c>
      <c r="B7" s="332"/>
      <c r="C7" s="332"/>
      <c r="D7" s="333"/>
    </row>
    <row r="8" spans="1:7" x14ac:dyDescent="0.3">
      <c r="A8" s="63" t="s">
        <v>139</v>
      </c>
      <c r="B8" s="64" t="s">
        <v>140</v>
      </c>
      <c r="C8" s="65"/>
      <c r="D8" s="66"/>
    </row>
    <row r="9" spans="1:7" x14ac:dyDescent="0.3">
      <c r="A9" s="67" t="s">
        <v>141</v>
      </c>
      <c r="B9" s="68" t="s">
        <v>142</v>
      </c>
      <c r="C9" s="69"/>
      <c r="D9" s="70"/>
    </row>
    <row r="10" spans="1:7" x14ac:dyDescent="0.3">
      <c r="A10" s="67" t="s">
        <v>143</v>
      </c>
      <c r="B10" s="68" t="s">
        <v>144</v>
      </c>
      <c r="C10" s="69"/>
      <c r="D10" s="70"/>
    </row>
    <row r="11" spans="1:7" ht="13.8" thickBot="1" x14ac:dyDescent="0.35">
      <c r="A11" s="71" t="s">
        <v>145</v>
      </c>
      <c r="B11" s="72" t="s">
        <v>146</v>
      </c>
      <c r="C11" s="73"/>
      <c r="D11" s="74"/>
    </row>
    <row r="12" spans="1:7" ht="13.8" thickBot="1" x14ac:dyDescent="0.35">
      <c r="A12" s="75"/>
      <c r="B12" s="76"/>
      <c r="D12" s="78"/>
    </row>
    <row r="13" spans="1:7" ht="13.8" thickBot="1" x14ac:dyDescent="0.35">
      <c r="A13" s="331" t="s">
        <v>147</v>
      </c>
      <c r="B13" s="332"/>
      <c r="C13" s="332"/>
      <c r="D13" s="333"/>
    </row>
    <row r="14" spans="1:7" x14ac:dyDescent="0.3">
      <c r="A14" s="63" t="s">
        <v>148</v>
      </c>
      <c r="B14" s="64" t="s">
        <v>149</v>
      </c>
      <c r="C14" s="79"/>
      <c r="D14" s="180">
        <f>'ENCARREGADO '!D14</f>
        <v>44396</v>
      </c>
    </row>
    <row r="15" spans="1:7" x14ac:dyDescent="0.3">
      <c r="A15" s="67" t="s">
        <v>150</v>
      </c>
      <c r="B15" s="68" t="s">
        <v>151</v>
      </c>
      <c r="C15" s="80"/>
      <c r="D15" s="81" t="str">
        <f>'ENCARREGADO '!D15</f>
        <v>Mossoró/RN</v>
      </c>
    </row>
    <row r="16" spans="1:7" x14ac:dyDescent="0.3">
      <c r="A16" s="67" t="s">
        <v>152</v>
      </c>
      <c r="B16" s="68" t="s">
        <v>153</v>
      </c>
      <c r="C16" s="80"/>
      <c r="D16" s="81" t="s">
        <v>154</v>
      </c>
    </row>
    <row r="17" spans="1:5" x14ac:dyDescent="0.3">
      <c r="A17" s="67" t="s">
        <v>155</v>
      </c>
      <c r="B17" s="68" t="s">
        <v>156</v>
      </c>
      <c r="C17" s="334" t="s">
        <v>157</v>
      </c>
      <c r="D17" s="335"/>
    </row>
    <row r="18" spans="1:5" x14ac:dyDescent="0.3">
      <c r="A18" s="67" t="s">
        <v>158</v>
      </c>
      <c r="B18" s="68" t="s">
        <v>159</v>
      </c>
      <c r="C18" s="82"/>
      <c r="D18" s="83" t="s">
        <v>160</v>
      </c>
    </row>
    <row r="19" spans="1:5" ht="13.8" thickBot="1" x14ac:dyDescent="0.35">
      <c r="A19" s="71" t="s">
        <v>161</v>
      </c>
      <c r="B19" s="84" t="s">
        <v>162</v>
      </c>
      <c r="C19" s="85"/>
      <c r="D19" s="86">
        <v>1045</v>
      </c>
    </row>
    <row r="20" spans="1:5" ht="13.8" thickBot="1" x14ac:dyDescent="0.35">
      <c r="D20" s="78"/>
    </row>
    <row r="21" spans="1:5" ht="13.8" thickBot="1" x14ac:dyDescent="0.35">
      <c r="A21" s="336" t="s">
        <v>163</v>
      </c>
      <c r="B21" s="337"/>
      <c r="C21" s="337"/>
      <c r="D21" s="338"/>
      <c r="E21" s="87"/>
    </row>
    <row r="22" spans="1:5" ht="26.4" customHeight="1" x14ac:dyDescent="0.3">
      <c r="A22" s="67" t="s">
        <v>164</v>
      </c>
      <c r="B22" s="320" t="s">
        <v>165</v>
      </c>
      <c r="C22" s="320"/>
      <c r="D22" s="61" t="s">
        <v>273</v>
      </c>
    </row>
    <row r="23" spans="1:5" ht="13.8" x14ac:dyDescent="0.3">
      <c r="A23" s="67" t="s">
        <v>167</v>
      </c>
      <c r="B23" s="320" t="s">
        <v>168</v>
      </c>
      <c r="C23" s="320"/>
      <c r="D23" s="88" t="s">
        <v>134</v>
      </c>
      <c r="E23" s="89"/>
    </row>
    <row r="24" spans="1:5" x14ac:dyDescent="0.25">
      <c r="A24" s="67" t="s">
        <v>169</v>
      </c>
      <c r="B24" s="320" t="s">
        <v>170</v>
      </c>
      <c r="C24" s="320"/>
      <c r="D24" s="171">
        <v>1420.34</v>
      </c>
      <c r="E24" s="90"/>
    </row>
    <row r="25" spans="1:5" x14ac:dyDescent="0.3">
      <c r="A25" s="67" t="s">
        <v>171</v>
      </c>
      <c r="B25" s="320" t="s">
        <v>172</v>
      </c>
      <c r="C25" s="320"/>
      <c r="D25" s="177" t="str">
        <f>'ENCARREGADO '!D25</f>
        <v>14021.139845/2021-93</v>
      </c>
    </row>
    <row r="26" spans="1:5" x14ac:dyDescent="0.3">
      <c r="A26" s="67" t="s">
        <v>173</v>
      </c>
      <c r="B26" s="320" t="s">
        <v>174</v>
      </c>
      <c r="C26" s="320"/>
      <c r="D26" s="178">
        <f>'ENCARREGADO '!D26</f>
        <v>44293</v>
      </c>
    </row>
    <row r="27" spans="1:5" x14ac:dyDescent="0.3">
      <c r="A27" s="67" t="s">
        <v>175</v>
      </c>
      <c r="B27" s="320" t="s">
        <v>176</v>
      </c>
      <c r="C27" s="320"/>
      <c r="D27" s="179">
        <f>'ENCARREGADO '!D27</f>
        <v>44146</v>
      </c>
    </row>
    <row r="28" spans="1:5" x14ac:dyDescent="0.3">
      <c r="A28" s="67" t="s">
        <v>177</v>
      </c>
      <c r="B28" s="320" t="s">
        <v>178</v>
      </c>
      <c r="C28" s="342"/>
      <c r="D28" s="91" t="s">
        <v>179</v>
      </c>
    </row>
    <row r="29" spans="1:5" x14ac:dyDescent="0.3">
      <c r="A29" s="67" t="s">
        <v>180</v>
      </c>
      <c r="B29" s="320" t="s">
        <v>181</v>
      </c>
      <c r="C29" s="342"/>
      <c r="D29" s="92">
        <v>1</v>
      </c>
    </row>
    <row r="30" spans="1:5" x14ac:dyDescent="0.3">
      <c r="A30" s="67" t="s">
        <v>182</v>
      </c>
      <c r="B30" s="320" t="s">
        <v>183</v>
      </c>
      <c r="C30" s="320"/>
      <c r="D30" s="92">
        <v>1</v>
      </c>
    </row>
    <row r="31" spans="1:5" ht="13.8" thickBot="1" x14ac:dyDescent="0.35">
      <c r="A31" s="71" t="s">
        <v>184</v>
      </c>
      <c r="B31" s="343" t="s">
        <v>296</v>
      </c>
      <c r="C31" s="343"/>
      <c r="D31" s="93">
        <f>D29*D30</f>
        <v>1</v>
      </c>
    </row>
    <row r="32" spans="1:5" ht="13.8" thickBot="1" x14ac:dyDescent="0.35">
      <c r="A32" s="94"/>
      <c r="B32" s="95"/>
      <c r="C32" s="95"/>
      <c r="D32" s="96"/>
    </row>
    <row r="33" spans="1:5" x14ac:dyDescent="0.3">
      <c r="A33" s="344" t="s">
        <v>8</v>
      </c>
      <c r="B33" s="345"/>
      <c r="C33" s="345"/>
      <c r="D33" s="346"/>
    </row>
    <row r="34" spans="1:5" x14ac:dyDescent="0.3">
      <c r="A34" s="347" t="s">
        <v>185</v>
      </c>
      <c r="B34" s="348"/>
      <c r="C34" s="349"/>
      <c r="D34" s="97" t="s">
        <v>186</v>
      </c>
    </row>
    <row r="35" spans="1:5" x14ac:dyDescent="0.3">
      <c r="A35" s="98" t="s">
        <v>187</v>
      </c>
      <c r="B35" s="350" t="s">
        <v>188</v>
      </c>
      <c r="C35" s="350"/>
      <c r="D35" s="176">
        <f>D24</f>
        <v>1420.34</v>
      </c>
      <c r="E35" s="99"/>
    </row>
    <row r="36" spans="1:5" x14ac:dyDescent="0.3">
      <c r="A36" s="98" t="s">
        <v>189</v>
      </c>
      <c r="B36" s="100" t="s">
        <v>190</v>
      </c>
      <c r="C36" s="101">
        <f>IF(D35="","",((D19)*(40%)))</f>
        <v>418</v>
      </c>
      <c r="D36" s="102">
        <f>IF(D35=0,"",IF(C36&gt;C37,C36,0))</f>
        <v>418</v>
      </c>
      <c r="E36" s="99"/>
    </row>
    <row r="37" spans="1:5" x14ac:dyDescent="0.3">
      <c r="A37" s="98" t="s">
        <v>191</v>
      </c>
      <c r="B37" s="103" t="s">
        <v>192</v>
      </c>
      <c r="C37" s="101">
        <f>D35*0.2</f>
        <v>284.06799999999998</v>
      </c>
      <c r="D37" s="102">
        <f>IF(C37&gt;C36,C37,0)</f>
        <v>0</v>
      </c>
      <c r="E37" s="99"/>
    </row>
    <row r="38" spans="1:5" ht="13.8" thickBot="1" x14ac:dyDescent="0.35">
      <c r="A38" s="351" t="s">
        <v>9</v>
      </c>
      <c r="B38" s="352"/>
      <c r="C38" s="352"/>
      <c r="D38" s="104">
        <f>SUM(D35:D37)</f>
        <v>1838.34</v>
      </c>
      <c r="E38" s="105"/>
    </row>
    <row r="39" spans="1:5" ht="13.8" thickBot="1" x14ac:dyDescent="0.35">
      <c r="A39" s="106"/>
      <c r="B39" s="106"/>
      <c r="C39" s="106"/>
      <c r="D39" s="106"/>
    </row>
    <row r="40" spans="1:5" x14ac:dyDescent="0.3">
      <c r="A40" s="344" t="s">
        <v>193</v>
      </c>
      <c r="B40" s="345"/>
      <c r="C40" s="345"/>
      <c r="D40" s="346"/>
    </row>
    <row r="41" spans="1:5" x14ac:dyDescent="0.3">
      <c r="A41" s="340" t="s">
        <v>194</v>
      </c>
      <c r="B41" s="341"/>
      <c r="C41" s="107" t="s">
        <v>195</v>
      </c>
      <c r="D41" s="108" t="s">
        <v>7</v>
      </c>
    </row>
    <row r="42" spans="1:5" x14ac:dyDescent="0.3">
      <c r="A42" s="67" t="s">
        <v>187</v>
      </c>
      <c r="B42" s="109" t="s">
        <v>263</v>
      </c>
      <c r="C42" s="110">
        <v>8.3299999999999999E-2</v>
      </c>
      <c r="D42" s="111">
        <f>(D38)*($C$42)</f>
        <v>153.13372199999998</v>
      </c>
    </row>
    <row r="43" spans="1:5" x14ac:dyDescent="0.3">
      <c r="A43" s="67" t="s">
        <v>189</v>
      </c>
      <c r="B43" s="109" t="s">
        <v>196</v>
      </c>
      <c r="C43" s="110">
        <f>12.1%-C86</f>
        <v>0.11899999999999999</v>
      </c>
      <c r="D43" s="111">
        <f>(D38)*($C$43)</f>
        <v>218.76245999999998</v>
      </c>
      <c r="E43" s="105"/>
    </row>
    <row r="44" spans="1:5" x14ac:dyDescent="0.3">
      <c r="A44" s="353" t="s">
        <v>197</v>
      </c>
      <c r="B44" s="354"/>
      <c r="C44" s="112">
        <f>SUM(C42:C43)</f>
        <v>0.20229999999999998</v>
      </c>
      <c r="D44" s="113">
        <f>SUM(D42:D43)</f>
        <v>371.89618199999995</v>
      </c>
    </row>
    <row r="45" spans="1:5" x14ac:dyDescent="0.3">
      <c r="A45" s="340" t="s">
        <v>198</v>
      </c>
      <c r="B45" s="341"/>
      <c r="C45" s="107" t="s">
        <v>195</v>
      </c>
      <c r="D45" s="114" t="s">
        <v>7</v>
      </c>
    </row>
    <row r="46" spans="1:5" x14ac:dyDescent="0.3">
      <c r="A46" s="67" t="s">
        <v>187</v>
      </c>
      <c r="B46" s="115" t="s">
        <v>264</v>
      </c>
      <c r="C46" s="267">
        <v>0.2</v>
      </c>
      <c r="D46" s="111">
        <f t="shared" ref="D46:D53" si="0">($D$38+$D$44)*(C46)</f>
        <v>442.04723639999997</v>
      </c>
    </row>
    <row r="47" spans="1:5" x14ac:dyDescent="0.3">
      <c r="A47" s="67" t="s">
        <v>189</v>
      </c>
      <c r="B47" s="115" t="s">
        <v>265</v>
      </c>
      <c r="C47" s="266">
        <v>2.5000000000000001E-2</v>
      </c>
      <c r="D47" s="111">
        <f t="shared" si="0"/>
        <v>55.255904549999997</v>
      </c>
    </row>
    <row r="48" spans="1:5" x14ac:dyDescent="0.3">
      <c r="A48" s="67" t="s">
        <v>199</v>
      </c>
      <c r="B48" s="115" t="s">
        <v>266</v>
      </c>
      <c r="C48" s="167">
        <v>0.06</v>
      </c>
      <c r="D48" s="111">
        <f t="shared" si="0"/>
        <v>132.61417091999996</v>
      </c>
      <c r="E48" s="116"/>
    </row>
    <row r="49" spans="1:5" x14ac:dyDescent="0.3">
      <c r="A49" s="67" t="s">
        <v>200</v>
      </c>
      <c r="B49" s="115" t="s">
        <v>267</v>
      </c>
      <c r="C49" s="266">
        <v>1.4999999999999999E-2</v>
      </c>
      <c r="D49" s="111">
        <f t="shared" si="0"/>
        <v>33.153542729999991</v>
      </c>
    </row>
    <row r="50" spans="1:5" x14ac:dyDescent="0.3">
      <c r="A50" s="67" t="s">
        <v>201</v>
      </c>
      <c r="B50" s="115" t="s">
        <v>268</v>
      </c>
      <c r="C50" s="266">
        <v>0.01</v>
      </c>
      <c r="D50" s="111">
        <f t="shared" si="0"/>
        <v>22.102361819999995</v>
      </c>
    </row>
    <row r="51" spans="1:5" x14ac:dyDescent="0.3">
      <c r="A51" s="67" t="s">
        <v>202</v>
      </c>
      <c r="B51" s="117" t="s">
        <v>269</v>
      </c>
      <c r="C51" s="266">
        <v>6.0000000000000001E-3</v>
      </c>
      <c r="D51" s="111">
        <f t="shared" si="0"/>
        <v>13.261417091999999</v>
      </c>
    </row>
    <row r="52" spans="1:5" x14ac:dyDescent="0.3">
      <c r="A52" s="67" t="s">
        <v>203</v>
      </c>
      <c r="B52" s="115" t="s">
        <v>270</v>
      </c>
      <c r="C52" s="266">
        <v>2E-3</v>
      </c>
      <c r="D52" s="111">
        <f t="shared" si="0"/>
        <v>4.4204723639999992</v>
      </c>
    </row>
    <row r="53" spans="1:5" x14ac:dyDescent="0.3">
      <c r="A53" s="67" t="s">
        <v>204</v>
      </c>
      <c r="B53" s="115" t="s">
        <v>271</v>
      </c>
      <c r="C53" s="266">
        <v>0.08</v>
      </c>
      <c r="D53" s="111">
        <f t="shared" si="0"/>
        <v>176.81889455999996</v>
      </c>
      <c r="E53" s="105"/>
    </row>
    <row r="54" spans="1:5" x14ac:dyDescent="0.3">
      <c r="A54" s="353" t="s">
        <v>205</v>
      </c>
      <c r="B54" s="354"/>
      <c r="C54" s="118">
        <f>SUM(C46:C53)</f>
        <v>0.39800000000000008</v>
      </c>
      <c r="D54" s="119">
        <f>SUM(D46:D53)</f>
        <v>879.67400043599991</v>
      </c>
    </row>
    <row r="55" spans="1:5" x14ac:dyDescent="0.3">
      <c r="A55" s="340" t="s">
        <v>11</v>
      </c>
      <c r="B55" s="341"/>
      <c r="C55" s="120" t="s">
        <v>206</v>
      </c>
      <c r="D55" s="97" t="s">
        <v>7</v>
      </c>
    </row>
    <row r="56" spans="1:5" x14ac:dyDescent="0.25">
      <c r="A56" s="67" t="s">
        <v>187</v>
      </c>
      <c r="B56" s="121" t="s">
        <v>207</v>
      </c>
      <c r="C56" s="173">
        <f>'ENCARREGADO '!C56</f>
        <v>6.6</v>
      </c>
      <c r="D56" s="122">
        <f>IF((C56*22)-(D35*6%)&lt;0,0,(C56*22)-(D35*6%))</f>
        <v>59.979599999999991</v>
      </c>
      <c r="E56" s="191" t="str">
        <f>'ENCARREGADO '!E56</f>
        <v>Valor da passagem Local</v>
      </c>
    </row>
    <row r="57" spans="1:5" x14ac:dyDescent="0.25">
      <c r="A57" s="67" t="s">
        <v>189</v>
      </c>
      <c r="B57" s="121" t="s">
        <v>208</v>
      </c>
      <c r="C57" s="173">
        <f>'ENCARREGADO '!C57</f>
        <v>8.35</v>
      </c>
      <c r="D57" s="123">
        <f>(C57)*22</f>
        <v>183.7</v>
      </c>
      <c r="E57" s="191" t="str">
        <f>'ENCARREGADO '!E57</f>
        <v>CLÁUSULA DÉCIMA SEXTA - CESTA BÁSICA. CCT: RN000104/2021</v>
      </c>
    </row>
    <row r="58" spans="1:5" x14ac:dyDescent="0.25">
      <c r="A58" s="67" t="s">
        <v>307</v>
      </c>
      <c r="B58" s="121" t="s">
        <v>308</v>
      </c>
      <c r="C58" s="173">
        <f>'ENCARREGADO '!C58</f>
        <v>0</v>
      </c>
      <c r="D58" s="123">
        <f>(C58)*22</f>
        <v>0</v>
      </c>
      <c r="E58" s="191">
        <f>'ENCARREGADO '!E58</f>
        <v>0</v>
      </c>
    </row>
    <row r="59" spans="1:5" x14ac:dyDescent="0.25">
      <c r="A59" s="67" t="s">
        <v>199</v>
      </c>
      <c r="B59" s="121" t="s">
        <v>209</v>
      </c>
      <c r="C59" s="173">
        <f>'ENCARREGADO '!C59</f>
        <v>0</v>
      </c>
      <c r="D59" s="123">
        <f>($C$59)</f>
        <v>0</v>
      </c>
      <c r="E59" s="191">
        <f>'ENCARREGADO '!E59</f>
        <v>0</v>
      </c>
    </row>
    <row r="60" spans="1:5" x14ac:dyDescent="0.3">
      <c r="A60" s="67" t="s">
        <v>200</v>
      </c>
      <c r="B60" s="121" t="s">
        <v>210</v>
      </c>
      <c r="C60" s="175">
        <v>0</v>
      </c>
      <c r="D60" s="123">
        <f>($C$60)</f>
        <v>0</v>
      </c>
      <c r="E60" s="124"/>
    </row>
    <row r="61" spans="1:5" x14ac:dyDescent="0.3">
      <c r="A61" s="67" t="s">
        <v>201</v>
      </c>
      <c r="B61" s="121" t="s">
        <v>211</v>
      </c>
      <c r="C61" s="175">
        <v>0</v>
      </c>
      <c r="D61" s="123">
        <f>$C$61</f>
        <v>0</v>
      </c>
      <c r="E61" s="125"/>
    </row>
    <row r="62" spans="1:5" x14ac:dyDescent="0.3">
      <c r="A62" s="67" t="s">
        <v>212</v>
      </c>
      <c r="B62" s="121" t="s">
        <v>213</v>
      </c>
      <c r="C62" s="175">
        <v>0</v>
      </c>
      <c r="D62" s="123">
        <f>$C$62</f>
        <v>0</v>
      </c>
      <c r="E62" s="124"/>
    </row>
    <row r="63" spans="1:5" x14ac:dyDescent="0.3">
      <c r="A63" s="355" t="s">
        <v>214</v>
      </c>
      <c r="B63" s="356"/>
      <c r="C63" s="126"/>
      <c r="D63" s="127">
        <f>SUM(D56:D62)</f>
        <v>243.67959999999999</v>
      </c>
    </row>
    <row r="64" spans="1:5" hidden="1" x14ac:dyDescent="0.3">
      <c r="A64" s="347" t="s">
        <v>215</v>
      </c>
      <c r="B64" s="349"/>
      <c r="C64" s="107" t="s">
        <v>216</v>
      </c>
      <c r="D64" s="97" t="s">
        <v>7</v>
      </c>
    </row>
    <row r="65" spans="1:4" hidden="1" x14ac:dyDescent="0.3">
      <c r="A65" s="67" t="s">
        <v>187</v>
      </c>
      <c r="B65" s="109" t="s">
        <v>217</v>
      </c>
      <c r="C65" s="128">
        <v>0</v>
      </c>
      <c r="D65" s="129">
        <f>(D38/220)*150%*0.5*C65</f>
        <v>0</v>
      </c>
    </row>
    <row r="66" spans="1:4" ht="13.8" hidden="1" thickBot="1" x14ac:dyDescent="0.35">
      <c r="A66" s="357" t="s">
        <v>218</v>
      </c>
      <c r="B66" s="358"/>
      <c r="C66" s="130"/>
      <c r="D66" s="131">
        <f>D65</f>
        <v>0</v>
      </c>
    </row>
    <row r="67" spans="1:4" x14ac:dyDescent="0.3">
      <c r="A67" s="359" t="s">
        <v>219</v>
      </c>
      <c r="B67" s="360"/>
      <c r="C67" s="341"/>
      <c r="D67" s="361"/>
    </row>
    <row r="68" spans="1:4" ht="39.6" x14ac:dyDescent="0.3">
      <c r="A68" s="132" t="s">
        <v>220</v>
      </c>
      <c r="B68" s="362" t="s">
        <v>221</v>
      </c>
      <c r="C68" s="362"/>
      <c r="D68" s="133">
        <f>(D44)</f>
        <v>371.89618199999995</v>
      </c>
    </row>
    <row r="69" spans="1:4" ht="39.6" x14ac:dyDescent="0.3">
      <c r="A69" s="132" t="s">
        <v>222</v>
      </c>
      <c r="B69" s="362" t="s">
        <v>223</v>
      </c>
      <c r="C69" s="362"/>
      <c r="D69" s="133">
        <f>(D54)</f>
        <v>879.67400043599991</v>
      </c>
    </row>
    <row r="70" spans="1:4" ht="39.6" x14ac:dyDescent="0.3">
      <c r="A70" s="132" t="s">
        <v>224</v>
      </c>
      <c r="B70" s="362" t="s">
        <v>14</v>
      </c>
      <c r="C70" s="362"/>
      <c r="D70" s="133">
        <f>(D63)</f>
        <v>243.67959999999999</v>
      </c>
    </row>
    <row r="71" spans="1:4" ht="26.4" x14ac:dyDescent="0.3">
      <c r="A71" s="132" t="s">
        <v>54</v>
      </c>
      <c r="B71" s="362" t="s">
        <v>225</v>
      </c>
      <c r="C71" s="363"/>
      <c r="D71" s="133">
        <f>D66</f>
        <v>0</v>
      </c>
    </row>
    <row r="72" spans="1:4" ht="13.8" thickBot="1" x14ac:dyDescent="0.35">
      <c r="A72" s="357" t="s">
        <v>15</v>
      </c>
      <c r="B72" s="364"/>
      <c r="C72" s="364"/>
      <c r="D72" s="134">
        <f>SUM(D68:D71)</f>
        <v>1495.2497824359998</v>
      </c>
    </row>
    <row r="73" spans="1:4" ht="13.8" thickBot="1" x14ac:dyDescent="0.35">
      <c r="A73" s="135"/>
      <c r="B73" s="135"/>
      <c r="C73" s="135"/>
      <c r="D73" s="135"/>
    </row>
    <row r="74" spans="1:4" x14ac:dyDescent="0.3">
      <c r="A74" s="344" t="s">
        <v>226</v>
      </c>
      <c r="B74" s="345"/>
      <c r="C74" s="345"/>
      <c r="D74" s="346"/>
    </row>
    <row r="75" spans="1:4" x14ac:dyDescent="0.3">
      <c r="A75" s="340" t="s">
        <v>227</v>
      </c>
      <c r="B75" s="341"/>
      <c r="C75" s="107" t="s">
        <v>195</v>
      </c>
      <c r="D75" s="97" t="s">
        <v>7</v>
      </c>
    </row>
    <row r="76" spans="1:4" x14ac:dyDescent="0.3">
      <c r="A76" s="67" t="s">
        <v>187</v>
      </c>
      <c r="B76" s="109" t="s">
        <v>228</v>
      </c>
      <c r="C76" s="136">
        <v>4.1999999999999997E-3</v>
      </c>
      <c r="D76" s="137">
        <f t="shared" ref="D76:D81" si="1">($D$38)*(C76)</f>
        <v>7.7210279999999996</v>
      </c>
    </row>
    <row r="77" spans="1:4" x14ac:dyDescent="0.3">
      <c r="A77" s="67" t="s">
        <v>189</v>
      </c>
      <c r="B77" s="109" t="s">
        <v>16</v>
      </c>
      <c r="C77" s="136">
        <f>($C$53)*(C76)</f>
        <v>3.3599999999999998E-4</v>
      </c>
      <c r="D77" s="137">
        <f t="shared" si="1"/>
        <v>0.61768223999999994</v>
      </c>
    </row>
    <row r="78" spans="1:4" x14ac:dyDescent="0.3">
      <c r="A78" s="67" t="s">
        <v>199</v>
      </c>
      <c r="B78" s="109" t="s">
        <v>229</v>
      </c>
      <c r="C78" s="136">
        <v>3.9199999999999999E-2</v>
      </c>
      <c r="D78" s="137">
        <f t="shared" si="1"/>
        <v>72.062927999999999</v>
      </c>
    </row>
    <row r="79" spans="1:4" x14ac:dyDescent="0.3">
      <c r="A79" s="67" t="s">
        <v>200</v>
      </c>
      <c r="B79" s="109" t="s">
        <v>272</v>
      </c>
      <c r="C79" s="136">
        <v>1.9400000000000001E-2</v>
      </c>
      <c r="D79" s="137">
        <f t="shared" si="1"/>
        <v>35.663795999999998</v>
      </c>
    </row>
    <row r="80" spans="1:4" x14ac:dyDescent="0.3">
      <c r="A80" s="67" t="s">
        <v>201</v>
      </c>
      <c r="B80" s="109" t="s">
        <v>230</v>
      </c>
      <c r="C80" s="136">
        <f>($C$54)*(C79)</f>
        <v>7.7212000000000018E-3</v>
      </c>
      <c r="D80" s="137">
        <f t="shared" si="1"/>
        <v>14.194190808000002</v>
      </c>
    </row>
    <row r="81" spans="1:5" x14ac:dyDescent="0.3">
      <c r="A81" s="67" t="s">
        <v>202</v>
      </c>
      <c r="B81" s="109" t="s">
        <v>231</v>
      </c>
      <c r="C81" s="136">
        <v>8.0000000000000004E-4</v>
      </c>
      <c r="D81" s="137">
        <f t="shared" si="1"/>
        <v>1.470672</v>
      </c>
    </row>
    <row r="82" spans="1:5" ht="13.8" thickBot="1" x14ac:dyDescent="0.35">
      <c r="A82" s="357" t="s">
        <v>17</v>
      </c>
      <c r="B82" s="364"/>
      <c r="C82" s="138">
        <f>SUM(C76:C81)</f>
        <v>7.165719999999999E-2</v>
      </c>
      <c r="D82" s="134">
        <f>SUM(D76:D81)</f>
        <v>131.73029704800001</v>
      </c>
    </row>
    <row r="83" spans="1:5" ht="13.8" thickBot="1" x14ac:dyDescent="0.35">
      <c r="A83" s="135"/>
      <c r="B83" s="116"/>
      <c r="C83" s="116"/>
      <c r="D83" s="116"/>
    </row>
    <row r="84" spans="1:5" x14ac:dyDescent="0.3">
      <c r="A84" s="344" t="s">
        <v>232</v>
      </c>
      <c r="B84" s="345"/>
      <c r="C84" s="345"/>
      <c r="D84" s="346"/>
    </row>
    <row r="85" spans="1:5" x14ac:dyDescent="0.3">
      <c r="A85" s="347" t="s">
        <v>18</v>
      </c>
      <c r="B85" s="348"/>
      <c r="C85" s="107" t="s">
        <v>195</v>
      </c>
      <c r="D85" s="97" t="s">
        <v>7</v>
      </c>
    </row>
    <row r="86" spans="1:5" x14ac:dyDescent="0.3">
      <c r="A86" s="67" t="s">
        <v>187</v>
      </c>
      <c r="B86" s="109" t="s">
        <v>233</v>
      </c>
      <c r="C86" s="172">
        <f>'ENCARREGADO '!C86</f>
        <v>2E-3</v>
      </c>
      <c r="D86" s="137">
        <f>($D$38+$D$44+$D$54+$D$63+$D$82)*(C86)</f>
        <v>6.9306401589679991</v>
      </c>
      <c r="E86" s="139"/>
    </row>
    <row r="87" spans="1:5" x14ac:dyDescent="0.3">
      <c r="A87" s="67" t="s">
        <v>189</v>
      </c>
      <c r="B87" s="109" t="s">
        <v>234</v>
      </c>
      <c r="C87" s="172">
        <f>'ENCARREGADO '!C87</f>
        <v>2.7000000000000001E-3</v>
      </c>
      <c r="D87" s="137">
        <f>($D$38+$D$44+$D$54+$D$63+$D$82)*(C87)</f>
        <v>9.3563642146067991</v>
      </c>
    </row>
    <row r="88" spans="1:5" x14ac:dyDescent="0.3">
      <c r="A88" s="67" t="s">
        <v>199</v>
      </c>
      <c r="B88" s="109" t="s">
        <v>235</v>
      </c>
      <c r="C88" s="172">
        <f>'ENCARREGADO '!C88</f>
        <v>2.0000000000000001E-4</v>
      </c>
      <c r="D88" s="137">
        <f>($D$38+$D$44+$D$54+$D$63+$D$82)*(C88)</f>
        <v>0.69306401589679989</v>
      </c>
    </row>
    <row r="89" spans="1:5" x14ac:dyDescent="0.3">
      <c r="A89" s="67" t="s">
        <v>200</v>
      </c>
      <c r="B89" s="109" t="s">
        <v>236</v>
      </c>
      <c r="C89" s="172">
        <f>'ENCARREGADO '!C89</f>
        <v>3.3E-3</v>
      </c>
      <c r="D89" s="137">
        <f>($D$38+$D$44+$D$54+$D$63+$D$82)*(C89)</f>
        <v>11.435556262297199</v>
      </c>
    </row>
    <row r="90" spans="1:5" x14ac:dyDescent="0.3">
      <c r="A90" s="67" t="s">
        <v>201</v>
      </c>
      <c r="B90" s="140" t="s">
        <v>237</v>
      </c>
      <c r="C90" s="172">
        <f>'ENCARREGADO '!C90</f>
        <v>5.0000000000000001E-4</v>
      </c>
      <c r="D90" s="137">
        <f>($D$38+$D$44+$D$54+$D$63+$D$82)*(C90)</f>
        <v>1.7326600397419998</v>
      </c>
    </row>
    <row r="91" spans="1:5" x14ac:dyDescent="0.3">
      <c r="A91" s="355" t="s">
        <v>238</v>
      </c>
      <c r="B91" s="356"/>
      <c r="C91" s="141">
        <f>SUM(C86:C90)</f>
        <v>8.6999999999999994E-3</v>
      </c>
      <c r="D91" s="142">
        <f>SUM(D86:D90)</f>
        <v>30.148284691510796</v>
      </c>
    </row>
    <row r="92" spans="1:5" x14ac:dyDescent="0.3">
      <c r="A92" s="347" t="s">
        <v>20</v>
      </c>
      <c r="B92" s="348"/>
      <c r="C92" s="107"/>
      <c r="D92" s="97" t="s">
        <v>7</v>
      </c>
    </row>
    <row r="93" spans="1:5" x14ac:dyDescent="0.3">
      <c r="A93" s="67" t="s">
        <v>187</v>
      </c>
      <c r="B93" s="109" t="s">
        <v>21</v>
      </c>
      <c r="C93" s="143"/>
      <c r="D93" s="144"/>
    </row>
    <row r="94" spans="1:5" ht="13.8" thickBot="1" x14ac:dyDescent="0.35">
      <c r="A94" s="357" t="s">
        <v>239</v>
      </c>
      <c r="B94" s="364"/>
      <c r="C94" s="130"/>
      <c r="D94" s="131">
        <f>D93</f>
        <v>0</v>
      </c>
    </row>
    <row r="95" spans="1:5" x14ac:dyDescent="0.3">
      <c r="A95" s="367" t="s">
        <v>240</v>
      </c>
      <c r="B95" s="368"/>
      <c r="C95" s="368"/>
      <c r="D95" s="369"/>
    </row>
    <row r="96" spans="1:5" ht="39.6" x14ac:dyDescent="0.3">
      <c r="A96" s="132" t="s">
        <v>241</v>
      </c>
      <c r="B96" s="370" t="s">
        <v>19</v>
      </c>
      <c r="C96" s="371"/>
      <c r="D96" s="133">
        <f>(D91)</f>
        <v>30.148284691510796</v>
      </c>
    </row>
    <row r="97" spans="1:5" x14ac:dyDescent="0.3">
      <c r="A97" s="67" t="s">
        <v>242</v>
      </c>
      <c r="B97" s="372" t="s">
        <v>21</v>
      </c>
      <c r="C97" s="373"/>
      <c r="D97" s="137">
        <f>D94</f>
        <v>0</v>
      </c>
    </row>
    <row r="98" spans="1:5" ht="13.8" thickBot="1" x14ac:dyDescent="0.35">
      <c r="A98" s="357" t="s">
        <v>25</v>
      </c>
      <c r="B98" s="364"/>
      <c r="C98" s="358"/>
      <c r="D98" s="134">
        <f>SUM(D96:D97)</f>
        <v>30.148284691510796</v>
      </c>
    </row>
    <row r="99" spans="1:5" ht="13.8" thickBot="1" x14ac:dyDescent="0.35">
      <c r="A99" s="135"/>
      <c r="B99" s="135"/>
      <c r="C99" s="135"/>
      <c r="D99" s="135"/>
    </row>
    <row r="100" spans="1:5" x14ac:dyDescent="0.3">
      <c r="A100" s="344" t="s">
        <v>243</v>
      </c>
      <c r="B100" s="345"/>
      <c r="C100" s="345"/>
      <c r="D100" s="346"/>
    </row>
    <row r="101" spans="1:5" x14ac:dyDescent="0.3">
      <c r="A101" s="340" t="s">
        <v>244</v>
      </c>
      <c r="B101" s="341"/>
      <c r="C101" s="341"/>
      <c r="D101" s="97" t="s">
        <v>7</v>
      </c>
    </row>
    <row r="102" spans="1:5" x14ac:dyDescent="0.3">
      <c r="A102" s="67" t="s">
        <v>187</v>
      </c>
      <c r="B102" s="145" t="s">
        <v>27</v>
      </c>
      <c r="C102" s="146"/>
      <c r="D102" s="170">
        <f>'ENCARREGADO '!D102</f>
        <v>3.09</v>
      </c>
      <c r="E102" s="62">
        <f>'ENCARREGADO '!E102</f>
        <v>0</v>
      </c>
    </row>
    <row r="103" spans="1:5" x14ac:dyDescent="0.3">
      <c r="A103" s="67" t="s">
        <v>245</v>
      </c>
      <c r="B103" s="145" t="s">
        <v>26</v>
      </c>
      <c r="C103" s="146"/>
      <c r="D103" s="170">
        <f>'ENCARREGADO '!D103</f>
        <v>28.445833333333336</v>
      </c>
      <c r="E103" s="62" t="str">
        <f>'ENCARREGADO '!E103</f>
        <v>Pesquisa de preços (341,35 reais / 12 meses)</v>
      </c>
    </row>
    <row r="104" spans="1:5" x14ac:dyDescent="0.3">
      <c r="A104" s="67" t="s">
        <v>199</v>
      </c>
      <c r="B104" s="145" t="s">
        <v>27</v>
      </c>
      <c r="C104" s="146"/>
      <c r="D104" s="171">
        <v>59.55</v>
      </c>
      <c r="E104" s="62" t="s">
        <v>284</v>
      </c>
    </row>
    <row r="105" spans="1:5" x14ac:dyDescent="0.3">
      <c r="A105" s="67" t="s">
        <v>200</v>
      </c>
      <c r="B105" s="145" t="s">
        <v>28</v>
      </c>
      <c r="C105" s="146"/>
      <c r="D105" s="171">
        <v>117.38</v>
      </c>
      <c r="E105" s="62" t="s">
        <v>285</v>
      </c>
    </row>
    <row r="106" spans="1:5" x14ac:dyDescent="0.3">
      <c r="A106" s="67" t="s">
        <v>199</v>
      </c>
      <c r="B106" s="145" t="s">
        <v>29</v>
      </c>
      <c r="C106" s="146"/>
      <c r="D106" s="171">
        <v>171.87</v>
      </c>
      <c r="E106" s="62" t="s">
        <v>286</v>
      </c>
    </row>
    <row r="107" spans="1:5" ht="13.8" thickBot="1" x14ac:dyDescent="0.35">
      <c r="A107" s="357" t="s">
        <v>30</v>
      </c>
      <c r="B107" s="358"/>
      <c r="C107" s="147">
        <f>C102</f>
        <v>0</v>
      </c>
      <c r="D107" s="148">
        <f>SUM(D102:D106)</f>
        <v>380.33583333333331</v>
      </c>
    </row>
    <row r="108" spans="1:5" ht="13.8" thickBot="1" x14ac:dyDescent="0.35">
      <c r="A108" s="149"/>
      <c r="B108" s="150"/>
      <c r="C108" s="150"/>
      <c r="D108" s="151"/>
    </row>
    <row r="109" spans="1:5" x14ac:dyDescent="0.3">
      <c r="A109" s="374" t="s">
        <v>246</v>
      </c>
      <c r="B109" s="375"/>
      <c r="C109" s="375"/>
      <c r="D109" s="376"/>
    </row>
    <row r="110" spans="1:5" x14ac:dyDescent="0.3">
      <c r="A110" s="365" t="s">
        <v>247</v>
      </c>
      <c r="B110" s="366"/>
      <c r="C110" s="107" t="s">
        <v>195</v>
      </c>
      <c r="D110" s="152" t="s">
        <v>7</v>
      </c>
    </row>
    <row r="111" spans="1:5" x14ac:dyDescent="0.3">
      <c r="A111" s="67" t="s">
        <v>187</v>
      </c>
      <c r="B111" s="153" t="s">
        <v>31</v>
      </c>
      <c r="C111" s="110"/>
      <c r="D111" s="137">
        <f>SUM(D112:D113)</f>
        <v>465.09650370106129</v>
      </c>
      <c r="E111" s="154"/>
    </row>
    <row r="112" spans="1:5" x14ac:dyDescent="0.3">
      <c r="A112" s="67"/>
      <c r="B112" s="153" t="s">
        <v>262</v>
      </c>
      <c r="C112" s="167">
        <f>'ENCARREGADO '!C112</f>
        <v>0.12</v>
      </c>
      <c r="D112" s="137">
        <f>(D38+D72+D82+D98+D107)*C112</f>
        <v>465.09650370106129</v>
      </c>
      <c r="E112" s="154"/>
    </row>
    <row r="113" spans="1:5" ht="26.4" x14ac:dyDescent="0.3">
      <c r="A113" s="67"/>
      <c r="B113" s="230" t="s">
        <v>439</v>
      </c>
      <c r="C113" s="110"/>
      <c r="D113" s="169"/>
      <c r="E113" s="62" t="str">
        <f>'ENCARREGADO '!E113</f>
        <v>Memória de cálculo na C141</v>
      </c>
    </row>
    <row r="114" spans="1:5" x14ac:dyDescent="0.3">
      <c r="A114" s="67" t="s">
        <v>189</v>
      </c>
      <c r="B114" s="153" t="s">
        <v>32</v>
      </c>
      <c r="C114" s="167">
        <f>'ENCARREGADO '!C114</f>
        <v>0.1</v>
      </c>
      <c r="D114" s="137">
        <f>(D38+D72+D82+D98+D107+D111)*C114</f>
        <v>434.09007012099056</v>
      </c>
      <c r="E114" s="154"/>
    </row>
    <row r="115" spans="1:5" x14ac:dyDescent="0.3">
      <c r="A115" s="379" t="s">
        <v>199</v>
      </c>
      <c r="B115" s="117" t="s">
        <v>248</v>
      </c>
      <c r="C115" s="155">
        <f>C116+C117+C120</f>
        <v>0.14250000000000002</v>
      </c>
      <c r="D115" s="156"/>
    </row>
    <row r="116" spans="1:5" x14ac:dyDescent="0.3">
      <c r="A116" s="379"/>
      <c r="B116" s="157" t="s">
        <v>249</v>
      </c>
      <c r="C116" s="167">
        <f>'ENCARREGADO '!C116</f>
        <v>1.6500000000000001E-2</v>
      </c>
      <c r="D116" s="137">
        <f>((D38+D72+D82+D98+D107+D111+D114)/(1-C115))*C116</f>
        <v>91.880288894413752</v>
      </c>
    </row>
    <row r="117" spans="1:5" x14ac:dyDescent="0.3">
      <c r="A117" s="379"/>
      <c r="B117" s="157" t="s">
        <v>250</v>
      </c>
      <c r="C117" s="167">
        <f>'ENCARREGADO '!C117</f>
        <v>7.5999999999999998E-2</v>
      </c>
      <c r="D117" s="137">
        <f>((D38+D72+D82+D98+D107+D111+D114)/(1-C115))*C117</f>
        <v>423.20617915002691</v>
      </c>
    </row>
    <row r="118" spans="1:5" x14ac:dyDescent="0.3">
      <c r="A118" s="379"/>
      <c r="B118" s="117" t="s">
        <v>251</v>
      </c>
      <c r="C118" s="167">
        <f>'ENCARREGADO '!C118</f>
        <v>0</v>
      </c>
      <c r="D118" s="137"/>
    </row>
    <row r="119" spans="1:5" x14ac:dyDescent="0.3">
      <c r="A119" s="379"/>
      <c r="B119" s="117" t="s">
        <v>252</v>
      </c>
      <c r="C119" s="167">
        <f>'ENCARREGADO '!C119</f>
        <v>0</v>
      </c>
      <c r="D119" s="137"/>
    </row>
    <row r="120" spans="1:5" x14ac:dyDescent="0.3">
      <c r="A120" s="379"/>
      <c r="B120" s="157" t="s">
        <v>253</v>
      </c>
      <c r="C120" s="167">
        <f>'ENCARREGADO '!C120</f>
        <v>0.05</v>
      </c>
      <c r="D120" s="137">
        <f>((D38+D72+D82+D98+D107+D111+D114)/(1-C115))*C120</f>
        <v>278.42511786185986</v>
      </c>
    </row>
    <row r="121" spans="1:5" ht="13.8" thickBot="1" x14ac:dyDescent="0.35">
      <c r="A121" s="357" t="s">
        <v>37</v>
      </c>
      <c r="B121" s="364"/>
      <c r="C121" s="158">
        <f>C112+C114+C116+C117+C120</f>
        <v>0.36249999999999999</v>
      </c>
      <c r="D121" s="131">
        <f>SUM(D111,D114,D116:D117,D120)</f>
        <v>1692.6981597283525</v>
      </c>
    </row>
    <row r="122" spans="1:5" ht="13.8" thickBot="1" x14ac:dyDescent="0.35">
      <c r="A122" s="135"/>
      <c r="B122" s="135"/>
      <c r="C122" s="135"/>
      <c r="D122" s="135"/>
    </row>
    <row r="123" spans="1:5" x14ac:dyDescent="0.3">
      <c r="A123" s="344" t="s">
        <v>254</v>
      </c>
      <c r="B123" s="345"/>
      <c r="C123" s="345"/>
      <c r="D123" s="346"/>
    </row>
    <row r="124" spans="1:5" x14ac:dyDescent="0.3">
      <c r="A124" s="340" t="s">
        <v>255</v>
      </c>
      <c r="B124" s="341"/>
      <c r="C124" s="341"/>
      <c r="D124" s="159" t="s">
        <v>7</v>
      </c>
    </row>
    <row r="125" spans="1:5" x14ac:dyDescent="0.3">
      <c r="A125" s="67" t="s">
        <v>187</v>
      </c>
      <c r="B125" s="363" t="s">
        <v>256</v>
      </c>
      <c r="C125" s="380"/>
      <c r="D125" s="160">
        <f>(D38)</f>
        <v>1838.34</v>
      </c>
    </row>
    <row r="126" spans="1:5" x14ac:dyDescent="0.3">
      <c r="A126" s="67" t="s">
        <v>189</v>
      </c>
      <c r="B126" s="363" t="s">
        <v>12</v>
      </c>
      <c r="C126" s="380"/>
      <c r="D126" s="144">
        <f>(D72)</f>
        <v>1495.2497824359998</v>
      </c>
    </row>
    <row r="127" spans="1:5" x14ac:dyDescent="0.3">
      <c r="A127" s="67" t="s">
        <v>199</v>
      </c>
      <c r="B127" s="363" t="s">
        <v>257</v>
      </c>
      <c r="C127" s="380"/>
      <c r="D127" s="144">
        <f>(D82)</f>
        <v>131.73029704800001</v>
      </c>
    </row>
    <row r="128" spans="1:5" x14ac:dyDescent="0.3">
      <c r="A128" s="67" t="s">
        <v>200</v>
      </c>
      <c r="B128" s="363" t="s">
        <v>22</v>
      </c>
      <c r="C128" s="380"/>
      <c r="D128" s="144">
        <f>(D98)</f>
        <v>30.148284691510796</v>
      </c>
    </row>
    <row r="129" spans="1:5" x14ac:dyDescent="0.3">
      <c r="A129" s="67" t="s">
        <v>201</v>
      </c>
      <c r="B129" s="363" t="s">
        <v>258</v>
      </c>
      <c r="C129" s="380"/>
      <c r="D129" s="144">
        <f>D102</f>
        <v>3.09</v>
      </c>
    </row>
    <row r="130" spans="1:5" x14ac:dyDescent="0.3">
      <c r="A130" s="381" t="s">
        <v>259</v>
      </c>
      <c r="B130" s="382"/>
      <c r="C130" s="383"/>
      <c r="D130" s="161">
        <f>SUM(D125:D129)</f>
        <v>3498.5583641755111</v>
      </c>
      <c r="E130" s="105"/>
    </row>
    <row r="131" spans="1:5" ht="13.8" thickBot="1" x14ac:dyDescent="0.35">
      <c r="A131" s="162" t="s">
        <v>202</v>
      </c>
      <c r="B131" s="384" t="s">
        <v>260</v>
      </c>
      <c r="C131" s="384"/>
      <c r="D131" s="163">
        <f>(D121)</f>
        <v>1692.6981597283525</v>
      </c>
    </row>
    <row r="132" spans="1:5" ht="13.8" thickBot="1" x14ac:dyDescent="0.35">
      <c r="A132" s="377" t="s">
        <v>261</v>
      </c>
      <c r="B132" s="378"/>
      <c r="C132" s="378"/>
      <c r="D132" s="164">
        <f>SUM(D130:D131)</f>
        <v>5191.2565239038631</v>
      </c>
    </row>
    <row r="133" spans="1:5" x14ac:dyDescent="0.3">
      <c r="A133" s="62"/>
      <c r="D133" s="78"/>
    </row>
    <row r="134" spans="1:5" x14ac:dyDescent="0.3">
      <c r="D134" s="272"/>
    </row>
    <row r="135" spans="1:5" x14ac:dyDescent="0.3">
      <c r="D135" s="78"/>
    </row>
    <row r="136" spans="1:5" x14ac:dyDescent="0.3">
      <c r="D136" s="78"/>
    </row>
    <row r="137" spans="1:5" x14ac:dyDescent="0.3">
      <c r="C137" s="165"/>
    </row>
  </sheetData>
  <mergeCells count="67">
    <mergeCell ref="A132:C132"/>
    <mergeCell ref="A115:A120"/>
    <mergeCell ref="A121:B121"/>
    <mergeCell ref="A123:D123"/>
    <mergeCell ref="A124:C124"/>
    <mergeCell ref="B125:C125"/>
    <mergeCell ref="B126:C126"/>
    <mergeCell ref="B127:C127"/>
    <mergeCell ref="B128:C128"/>
    <mergeCell ref="B129:C129"/>
    <mergeCell ref="A130:C130"/>
    <mergeCell ref="B131:C131"/>
    <mergeCell ref="A110:B110"/>
    <mergeCell ref="A91:B91"/>
    <mergeCell ref="A92:B92"/>
    <mergeCell ref="A94:B94"/>
    <mergeCell ref="A95:D95"/>
    <mergeCell ref="B96:C96"/>
    <mergeCell ref="B97:C97"/>
    <mergeCell ref="A98:C98"/>
    <mergeCell ref="A100:D100"/>
    <mergeCell ref="A101:C101"/>
    <mergeCell ref="A107:B107"/>
    <mergeCell ref="A109:D109"/>
    <mergeCell ref="A85:B85"/>
    <mergeCell ref="A66:B66"/>
    <mergeCell ref="A67:D67"/>
    <mergeCell ref="B68:C68"/>
    <mergeCell ref="B69:C69"/>
    <mergeCell ref="B70:C70"/>
    <mergeCell ref="B71:C71"/>
    <mergeCell ref="A72:C72"/>
    <mergeCell ref="A74:D74"/>
    <mergeCell ref="A75:B75"/>
    <mergeCell ref="A82:B82"/>
    <mergeCell ref="A84:D84"/>
    <mergeCell ref="A64:B64"/>
    <mergeCell ref="A33:D33"/>
    <mergeCell ref="A34:C34"/>
    <mergeCell ref="B35:C35"/>
    <mergeCell ref="A38:C38"/>
    <mergeCell ref="A40:D40"/>
    <mergeCell ref="A41:B41"/>
    <mergeCell ref="A44:B44"/>
    <mergeCell ref="A45:B45"/>
    <mergeCell ref="A54:B54"/>
    <mergeCell ref="A55:B55"/>
    <mergeCell ref="A63:B63"/>
    <mergeCell ref="B31:C31"/>
    <mergeCell ref="C17:D17"/>
    <mergeCell ref="A21:D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13:D13"/>
    <mergeCell ref="A1:D1"/>
    <mergeCell ref="A2:D2"/>
    <mergeCell ref="A3:D3"/>
    <mergeCell ref="A6:D6"/>
    <mergeCell ref="A7:D7"/>
    <mergeCell ref="A5:D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4E6B-095B-4C7F-AABF-CE88EB94B7F2}">
  <dimension ref="A1:G137"/>
  <sheetViews>
    <sheetView showGridLines="0" topLeftCell="A100" workbookViewId="0">
      <selection activeCell="D113" sqref="D113"/>
    </sheetView>
  </sheetViews>
  <sheetFormatPr defaultRowHeight="13.2" x14ac:dyDescent="0.3"/>
  <cols>
    <col min="1" max="1" width="3.88671875" style="77" customWidth="1"/>
    <col min="2" max="2" width="70.6640625" style="62" customWidth="1"/>
    <col min="3" max="3" width="14.6640625" style="77" customWidth="1"/>
    <col min="4" max="4" width="21.44140625" style="166" bestFit="1" customWidth="1"/>
    <col min="5" max="5" width="55.77734375" style="62" customWidth="1"/>
    <col min="6" max="6" width="17.5546875" style="62" bestFit="1" customWidth="1"/>
    <col min="7" max="7" width="8.44140625" style="62" bestFit="1" customWidth="1"/>
    <col min="8" max="222" width="9.109375" style="62" bestFit="1" customWidth="1"/>
    <col min="223" max="223" width="1.88671875" style="62" customWidth="1"/>
    <col min="224" max="224" width="7.33203125" style="62" customWidth="1"/>
    <col min="225" max="225" width="9.88671875" style="62" customWidth="1"/>
    <col min="226" max="226" width="12.6640625" style="62" customWidth="1"/>
    <col min="227" max="227" width="11.109375" style="62" customWidth="1"/>
    <col min="228" max="228" width="10.88671875" style="62" customWidth="1"/>
    <col min="229" max="229" width="11.5546875" style="62" customWidth="1"/>
    <col min="230" max="230" width="13.44140625" style="62" customWidth="1"/>
    <col min="231" max="231" width="11.109375" style="62" customWidth="1"/>
    <col min="232" max="232" width="11.33203125" style="62" bestFit="1" customWidth="1"/>
    <col min="233" max="233" width="11.5546875" style="62" customWidth="1"/>
    <col min="234" max="234" width="8.88671875" style="62"/>
    <col min="235" max="235" width="9.88671875" style="62" bestFit="1" customWidth="1"/>
    <col min="236" max="236" width="9.109375" style="62" bestFit="1" customWidth="1"/>
    <col min="237" max="237" width="9.5546875" style="62" bestFit="1" customWidth="1"/>
    <col min="238" max="478" width="9.109375" style="62" bestFit="1" customWidth="1"/>
    <col min="479" max="479" width="1.88671875" style="62" customWidth="1"/>
    <col min="480" max="480" width="7.33203125" style="62" customWidth="1"/>
    <col min="481" max="481" width="9.88671875" style="62" customWidth="1"/>
    <col min="482" max="482" width="12.6640625" style="62" customWidth="1"/>
    <col min="483" max="483" width="11.109375" style="62" customWidth="1"/>
    <col min="484" max="484" width="10.88671875" style="62" customWidth="1"/>
    <col min="485" max="485" width="11.5546875" style="62" customWidth="1"/>
    <col min="486" max="486" width="13.44140625" style="62" customWidth="1"/>
    <col min="487" max="487" width="11.109375" style="62" customWidth="1"/>
    <col min="488" max="488" width="11.33203125" style="62" bestFit="1" customWidth="1"/>
    <col min="489" max="489" width="11.5546875" style="62" customWidth="1"/>
    <col min="490" max="490" width="8.88671875" style="62"/>
    <col min="491" max="491" width="9.88671875" style="62" bestFit="1" customWidth="1"/>
    <col min="492" max="492" width="9.109375" style="62" bestFit="1" customWidth="1"/>
    <col min="493" max="493" width="9.5546875" style="62" bestFit="1" customWidth="1"/>
    <col min="494" max="734" width="9.109375" style="62" bestFit="1" customWidth="1"/>
    <col min="735" max="735" width="1.88671875" style="62" customWidth="1"/>
    <col min="736" max="736" width="7.33203125" style="62" customWidth="1"/>
    <col min="737" max="737" width="9.88671875" style="62" customWidth="1"/>
    <col min="738" max="738" width="12.6640625" style="62" customWidth="1"/>
    <col min="739" max="739" width="11.109375" style="62" customWidth="1"/>
    <col min="740" max="740" width="10.88671875" style="62" customWidth="1"/>
    <col min="741" max="741" width="11.5546875" style="62" customWidth="1"/>
    <col min="742" max="742" width="13.44140625" style="62" customWidth="1"/>
    <col min="743" max="743" width="11.109375" style="62" customWidth="1"/>
    <col min="744" max="744" width="11.33203125" style="62" bestFit="1" customWidth="1"/>
    <col min="745" max="745" width="11.5546875" style="62" customWidth="1"/>
    <col min="746" max="746" width="8.88671875" style="62"/>
    <col min="747" max="747" width="9.88671875" style="62" bestFit="1" customWidth="1"/>
    <col min="748" max="748" width="9.109375" style="62" bestFit="1" customWidth="1"/>
    <col min="749" max="749" width="9.5546875" style="62" bestFit="1" customWidth="1"/>
    <col min="750" max="990" width="9.109375" style="62" bestFit="1" customWidth="1"/>
    <col min="991" max="991" width="1.88671875" style="62" customWidth="1"/>
    <col min="992" max="992" width="7.33203125" style="62" customWidth="1"/>
    <col min="993" max="993" width="9.88671875" style="62" customWidth="1"/>
    <col min="994" max="994" width="12.6640625" style="62" customWidth="1"/>
    <col min="995" max="995" width="11.109375" style="62" customWidth="1"/>
    <col min="996" max="996" width="10.88671875" style="62" customWidth="1"/>
    <col min="997" max="997" width="11.5546875" style="62" customWidth="1"/>
    <col min="998" max="998" width="13.44140625" style="62" customWidth="1"/>
    <col min="999" max="999" width="11.109375" style="62" customWidth="1"/>
    <col min="1000" max="1000" width="11.33203125" style="62" bestFit="1" customWidth="1"/>
    <col min="1001" max="1001" width="11.5546875" style="62" customWidth="1"/>
    <col min="1002" max="1002" width="8.88671875" style="62"/>
    <col min="1003" max="1003" width="9.88671875" style="62" bestFit="1" customWidth="1"/>
    <col min="1004" max="1004" width="9.109375" style="62" bestFit="1" customWidth="1"/>
    <col min="1005" max="1005" width="9.5546875" style="62" bestFit="1" customWidth="1"/>
    <col min="1006" max="1246" width="9.109375" style="62" bestFit="1" customWidth="1"/>
    <col min="1247" max="1247" width="1.88671875" style="62" customWidth="1"/>
    <col min="1248" max="1248" width="7.33203125" style="62" customWidth="1"/>
    <col min="1249" max="1249" width="9.88671875" style="62" customWidth="1"/>
    <col min="1250" max="1250" width="12.6640625" style="62" customWidth="1"/>
    <col min="1251" max="1251" width="11.109375" style="62" customWidth="1"/>
    <col min="1252" max="1252" width="10.88671875" style="62" customWidth="1"/>
    <col min="1253" max="1253" width="11.5546875" style="62" customWidth="1"/>
    <col min="1254" max="1254" width="13.44140625" style="62" customWidth="1"/>
    <col min="1255" max="1255" width="11.109375" style="62" customWidth="1"/>
    <col min="1256" max="1256" width="11.33203125" style="62" bestFit="1" customWidth="1"/>
    <col min="1257" max="1257" width="11.5546875" style="62" customWidth="1"/>
    <col min="1258" max="1258" width="8.88671875" style="62"/>
    <col min="1259" max="1259" width="9.88671875" style="62" bestFit="1" customWidth="1"/>
    <col min="1260" max="1260" width="9.109375" style="62" bestFit="1" customWidth="1"/>
    <col min="1261" max="1261" width="9.5546875" style="62" bestFit="1" customWidth="1"/>
    <col min="1262" max="1502" width="9.109375" style="62" bestFit="1" customWidth="1"/>
    <col min="1503" max="1503" width="1.88671875" style="62" customWidth="1"/>
    <col min="1504" max="1504" width="7.33203125" style="62" customWidth="1"/>
    <col min="1505" max="1505" width="9.88671875" style="62" customWidth="1"/>
    <col min="1506" max="1506" width="12.6640625" style="62" customWidth="1"/>
    <col min="1507" max="1507" width="11.109375" style="62" customWidth="1"/>
    <col min="1508" max="1508" width="10.88671875" style="62" customWidth="1"/>
    <col min="1509" max="1509" width="11.5546875" style="62" customWidth="1"/>
    <col min="1510" max="1510" width="13.44140625" style="62" customWidth="1"/>
    <col min="1511" max="1511" width="11.109375" style="62" customWidth="1"/>
    <col min="1512" max="1512" width="11.33203125" style="62" bestFit="1" customWidth="1"/>
    <col min="1513" max="1513" width="11.5546875" style="62" customWidth="1"/>
    <col min="1514" max="1514" width="8.88671875" style="62"/>
    <col min="1515" max="1515" width="9.88671875" style="62" bestFit="1" customWidth="1"/>
    <col min="1516" max="1516" width="9.109375" style="62" bestFit="1" customWidth="1"/>
    <col min="1517" max="1517" width="9.5546875" style="62" bestFit="1" customWidth="1"/>
    <col min="1518" max="1758" width="9.109375" style="62" bestFit="1" customWidth="1"/>
    <col min="1759" max="1759" width="1.88671875" style="62" customWidth="1"/>
    <col min="1760" max="1760" width="7.33203125" style="62" customWidth="1"/>
    <col min="1761" max="1761" width="9.88671875" style="62" customWidth="1"/>
    <col min="1762" max="1762" width="12.6640625" style="62" customWidth="1"/>
    <col min="1763" max="1763" width="11.109375" style="62" customWidth="1"/>
    <col min="1764" max="1764" width="10.88671875" style="62" customWidth="1"/>
    <col min="1765" max="1765" width="11.5546875" style="62" customWidth="1"/>
    <col min="1766" max="1766" width="13.44140625" style="62" customWidth="1"/>
    <col min="1767" max="1767" width="11.109375" style="62" customWidth="1"/>
    <col min="1768" max="1768" width="11.33203125" style="62" bestFit="1" customWidth="1"/>
    <col min="1769" max="1769" width="11.5546875" style="62" customWidth="1"/>
    <col min="1770" max="1770" width="8.88671875" style="62"/>
    <col min="1771" max="1771" width="9.88671875" style="62" bestFit="1" customWidth="1"/>
    <col min="1772" max="1772" width="9.109375" style="62" bestFit="1" customWidth="1"/>
    <col min="1773" max="1773" width="9.5546875" style="62" bestFit="1" customWidth="1"/>
    <col min="1774" max="2014" width="9.109375" style="62" bestFit="1" customWidth="1"/>
    <col min="2015" max="2015" width="1.88671875" style="62" customWidth="1"/>
    <col min="2016" max="2016" width="7.33203125" style="62" customWidth="1"/>
    <col min="2017" max="2017" width="9.88671875" style="62" customWidth="1"/>
    <col min="2018" max="2018" width="12.6640625" style="62" customWidth="1"/>
    <col min="2019" max="2019" width="11.109375" style="62" customWidth="1"/>
    <col min="2020" max="2020" width="10.88671875" style="62" customWidth="1"/>
    <col min="2021" max="2021" width="11.5546875" style="62" customWidth="1"/>
    <col min="2022" max="2022" width="13.44140625" style="62" customWidth="1"/>
    <col min="2023" max="2023" width="11.109375" style="62" customWidth="1"/>
    <col min="2024" max="2024" width="11.33203125" style="62" bestFit="1" customWidth="1"/>
    <col min="2025" max="2025" width="11.5546875" style="62" customWidth="1"/>
    <col min="2026" max="2026" width="8.88671875" style="62"/>
    <col min="2027" max="2027" width="9.88671875" style="62" bestFit="1" customWidth="1"/>
    <col min="2028" max="2028" width="9.109375" style="62" bestFit="1" customWidth="1"/>
    <col min="2029" max="2029" width="9.5546875" style="62" bestFit="1" customWidth="1"/>
    <col min="2030" max="2270" width="9.109375" style="62" bestFit="1" customWidth="1"/>
    <col min="2271" max="2271" width="1.88671875" style="62" customWidth="1"/>
    <col min="2272" max="2272" width="7.33203125" style="62" customWidth="1"/>
    <col min="2273" max="2273" width="9.88671875" style="62" customWidth="1"/>
    <col min="2274" max="2274" width="12.6640625" style="62" customWidth="1"/>
    <col min="2275" max="2275" width="11.109375" style="62" customWidth="1"/>
    <col min="2276" max="2276" width="10.88671875" style="62" customWidth="1"/>
    <col min="2277" max="2277" width="11.5546875" style="62" customWidth="1"/>
    <col min="2278" max="2278" width="13.44140625" style="62" customWidth="1"/>
    <col min="2279" max="2279" width="11.109375" style="62" customWidth="1"/>
    <col min="2280" max="2280" width="11.33203125" style="62" bestFit="1" customWidth="1"/>
    <col min="2281" max="2281" width="11.5546875" style="62" customWidth="1"/>
    <col min="2282" max="2282" width="8.88671875" style="62"/>
    <col min="2283" max="2283" width="9.88671875" style="62" bestFit="1" customWidth="1"/>
    <col min="2284" max="2284" width="9.109375" style="62" bestFit="1" customWidth="1"/>
    <col min="2285" max="2285" width="9.5546875" style="62" bestFit="1" customWidth="1"/>
    <col min="2286" max="2526" width="9.109375" style="62" bestFit="1" customWidth="1"/>
    <col min="2527" max="2527" width="1.88671875" style="62" customWidth="1"/>
    <col min="2528" max="2528" width="7.33203125" style="62" customWidth="1"/>
    <col min="2529" max="2529" width="9.88671875" style="62" customWidth="1"/>
    <col min="2530" max="2530" width="12.6640625" style="62" customWidth="1"/>
    <col min="2531" max="2531" width="11.109375" style="62" customWidth="1"/>
    <col min="2532" max="2532" width="10.88671875" style="62" customWidth="1"/>
    <col min="2533" max="2533" width="11.5546875" style="62" customWidth="1"/>
    <col min="2534" max="2534" width="13.44140625" style="62" customWidth="1"/>
    <col min="2535" max="2535" width="11.109375" style="62" customWidth="1"/>
    <col min="2536" max="2536" width="11.33203125" style="62" bestFit="1" customWidth="1"/>
    <col min="2537" max="2537" width="11.5546875" style="62" customWidth="1"/>
    <col min="2538" max="2538" width="8.88671875" style="62"/>
    <col min="2539" max="2539" width="9.88671875" style="62" bestFit="1" customWidth="1"/>
    <col min="2540" max="2540" width="9.109375" style="62" bestFit="1" customWidth="1"/>
    <col min="2541" max="2541" width="9.5546875" style="62" bestFit="1" customWidth="1"/>
    <col min="2542" max="2782" width="9.109375" style="62" bestFit="1" customWidth="1"/>
    <col min="2783" max="2783" width="1.88671875" style="62" customWidth="1"/>
    <col min="2784" max="2784" width="7.33203125" style="62" customWidth="1"/>
    <col min="2785" max="2785" width="9.88671875" style="62" customWidth="1"/>
    <col min="2786" max="2786" width="12.6640625" style="62" customWidth="1"/>
    <col min="2787" max="2787" width="11.109375" style="62" customWidth="1"/>
    <col min="2788" max="2788" width="10.88671875" style="62" customWidth="1"/>
    <col min="2789" max="2789" width="11.5546875" style="62" customWidth="1"/>
    <col min="2790" max="2790" width="13.44140625" style="62" customWidth="1"/>
    <col min="2791" max="2791" width="11.109375" style="62" customWidth="1"/>
    <col min="2792" max="2792" width="11.33203125" style="62" bestFit="1" customWidth="1"/>
    <col min="2793" max="2793" width="11.5546875" style="62" customWidth="1"/>
    <col min="2794" max="2794" width="8.88671875" style="62"/>
    <col min="2795" max="2795" width="9.88671875" style="62" bestFit="1" customWidth="1"/>
    <col min="2796" max="2796" width="9.109375" style="62" bestFit="1" customWidth="1"/>
    <col min="2797" max="2797" width="9.5546875" style="62" bestFit="1" customWidth="1"/>
    <col min="2798" max="3038" width="9.109375" style="62" bestFit="1" customWidth="1"/>
    <col min="3039" max="3039" width="1.88671875" style="62" customWidth="1"/>
    <col min="3040" max="3040" width="7.33203125" style="62" customWidth="1"/>
    <col min="3041" max="3041" width="9.88671875" style="62" customWidth="1"/>
    <col min="3042" max="3042" width="12.6640625" style="62" customWidth="1"/>
    <col min="3043" max="3043" width="11.109375" style="62" customWidth="1"/>
    <col min="3044" max="3044" width="10.88671875" style="62" customWidth="1"/>
    <col min="3045" max="3045" width="11.5546875" style="62" customWidth="1"/>
    <col min="3046" max="3046" width="13.44140625" style="62" customWidth="1"/>
    <col min="3047" max="3047" width="11.109375" style="62" customWidth="1"/>
    <col min="3048" max="3048" width="11.33203125" style="62" bestFit="1" customWidth="1"/>
    <col min="3049" max="3049" width="11.5546875" style="62" customWidth="1"/>
    <col min="3050" max="3050" width="8.88671875" style="62"/>
    <col min="3051" max="3051" width="9.88671875" style="62" bestFit="1" customWidth="1"/>
    <col min="3052" max="3052" width="9.109375" style="62" bestFit="1" customWidth="1"/>
    <col min="3053" max="3053" width="9.5546875" style="62" bestFit="1" customWidth="1"/>
    <col min="3054" max="3294" width="9.109375" style="62" bestFit="1" customWidth="1"/>
    <col min="3295" max="3295" width="1.88671875" style="62" customWidth="1"/>
    <col min="3296" max="3296" width="7.33203125" style="62" customWidth="1"/>
    <col min="3297" max="3297" width="9.88671875" style="62" customWidth="1"/>
    <col min="3298" max="3298" width="12.6640625" style="62" customWidth="1"/>
    <col min="3299" max="3299" width="11.109375" style="62" customWidth="1"/>
    <col min="3300" max="3300" width="10.88671875" style="62" customWidth="1"/>
    <col min="3301" max="3301" width="11.5546875" style="62" customWidth="1"/>
    <col min="3302" max="3302" width="13.44140625" style="62" customWidth="1"/>
    <col min="3303" max="3303" width="11.109375" style="62" customWidth="1"/>
    <col min="3304" max="3304" width="11.33203125" style="62" bestFit="1" customWidth="1"/>
    <col min="3305" max="3305" width="11.5546875" style="62" customWidth="1"/>
    <col min="3306" max="3306" width="8.88671875" style="62"/>
    <col min="3307" max="3307" width="9.88671875" style="62" bestFit="1" customWidth="1"/>
    <col min="3308" max="3308" width="9.109375" style="62" bestFit="1" customWidth="1"/>
    <col min="3309" max="3309" width="9.5546875" style="62" bestFit="1" customWidth="1"/>
    <col min="3310" max="3550" width="9.109375" style="62" bestFit="1" customWidth="1"/>
    <col min="3551" max="3551" width="1.88671875" style="62" customWidth="1"/>
    <col min="3552" max="3552" width="7.33203125" style="62" customWidth="1"/>
    <col min="3553" max="3553" width="9.88671875" style="62" customWidth="1"/>
    <col min="3554" max="3554" width="12.6640625" style="62" customWidth="1"/>
    <col min="3555" max="3555" width="11.109375" style="62" customWidth="1"/>
    <col min="3556" max="3556" width="10.88671875" style="62" customWidth="1"/>
    <col min="3557" max="3557" width="11.5546875" style="62" customWidth="1"/>
    <col min="3558" max="3558" width="13.44140625" style="62" customWidth="1"/>
    <col min="3559" max="3559" width="11.109375" style="62" customWidth="1"/>
    <col min="3560" max="3560" width="11.33203125" style="62" bestFit="1" customWidth="1"/>
    <col min="3561" max="3561" width="11.5546875" style="62" customWidth="1"/>
    <col min="3562" max="3562" width="8.88671875" style="62"/>
    <col min="3563" max="3563" width="9.88671875" style="62" bestFit="1" customWidth="1"/>
    <col min="3564" max="3564" width="9.109375" style="62" bestFit="1" customWidth="1"/>
    <col min="3565" max="3565" width="9.5546875" style="62" bestFit="1" customWidth="1"/>
    <col min="3566" max="3806" width="9.109375" style="62" bestFit="1" customWidth="1"/>
    <col min="3807" max="3807" width="1.88671875" style="62" customWidth="1"/>
    <col min="3808" max="3808" width="7.33203125" style="62" customWidth="1"/>
    <col min="3809" max="3809" width="9.88671875" style="62" customWidth="1"/>
    <col min="3810" max="3810" width="12.6640625" style="62" customWidth="1"/>
    <col min="3811" max="3811" width="11.109375" style="62" customWidth="1"/>
    <col min="3812" max="3812" width="10.88671875" style="62" customWidth="1"/>
    <col min="3813" max="3813" width="11.5546875" style="62" customWidth="1"/>
    <col min="3814" max="3814" width="13.44140625" style="62" customWidth="1"/>
    <col min="3815" max="3815" width="11.109375" style="62" customWidth="1"/>
    <col min="3816" max="3816" width="11.33203125" style="62" bestFit="1" customWidth="1"/>
    <col min="3817" max="3817" width="11.5546875" style="62" customWidth="1"/>
    <col min="3818" max="3818" width="8.88671875" style="62"/>
    <col min="3819" max="3819" width="9.88671875" style="62" bestFit="1" customWidth="1"/>
    <col min="3820" max="3820" width="9.109375" style="62" bestFit="1" customWidth="1"/>
    <col min="3821" max="3821" width="9.5546875" style="62" bestFit="1" customWidth="1"/>
    <col min="3822" max="4062" width="9.109375" style="62" bestFit="1" customWidth="1"/>
    <col min="4063" max="4063" width="1.88671875" style="62" customWidth="1"/>
    <col min="4064" max="4064" width="7.33203125" style="62" customWidth="1"/>
    <col min="4065" max="4065" width="9.88671875" style="62" customWidth="1"/>
    <col min="4066" max="4066" width="12.6640625" style="62" customWidth="1"/>
    <col min="4067" max="4067" width="11.109375" style="62" customWidth="1"/>
    <col min="4068" max="4068" width="10.88671875" style="62" customWidth="1"/>
    <col min="4069" max="4069" width="11.5546875" style="62" customWidth="1"/>
    <col min="4070" max="4070" width="13.44140625" style="62" customWidth="1"/>
    <col min="4071" max="4071" width="11.109375" style="62" customWidth="1"/>
    <col min="4072" max="4072" width="11.33203125" style="62" bestFit="1" customWidth="1"/>
    <col min="4073" max="4073" width="11.5546875" style="62" customWidth="1"/>
    <col min="4074" max="4074" width="8.88671875" style="62"/>
    <col min="4075" max="4075" width="9.88671875" style="62" bestFit="1" customWidth="1"/>
    <col min="4076" max="4076" width="9.109375" style="62" bestFit="1" customWidth="1"/>
    <col min="4077" max="4077" width="9.5546875" style="62" bestFit="1" customWidth="1"/>
    <col min="4078" max="4318" width="9.109375" style="62" bestFit="1" customWidth="1"/>
    <col min="4319" max="4319" width="1.88671875" style="62" customWidth="1"/>
    <col min="4320" max="4320" width="7.33203125" style="62" customWidth="1"/>
    <col min="4321" max="4321" width="9.88671875" style="62" customWidth="1"/>
    <col min="4322" max="4322" width="12.6640625" style="62" customWidth="1"/>
    <col min="4323" max="4323" width="11.109375" style="62" customWidth="1"/>
    <col min="4324" max="4324" width="10.88671875" style="62" customWidth="1"/>
    <col min="4325" max="4325" width="11.5546875" style="62" customWidth="1"/>
    <col min="4326" max="4326" width="13.44140625" style="62" customWidth="1"/>
    <col min="4327" max="4327" width="11.109375" style="62" customWidth="1"/>
    <col min="4328" max="4328" width="11.33203125" style="62" bestFit="1" customWidth="1"/>
    <col min="4329" max="4329" width="11.5546875" style="62" customWidth="1"/>
    <col min="4330" max="4330" width="8.88671875" style="62"/>
    <col min="4331" max="4331" width="9.88671875" style="62" bestFit="1" customWidth="1"/>
    <col min="4332" max="4332" width="9.109375" style="62" bestFit="1" customWidth="1"/>
    <col min="4333" max="4333" width="9.5546875" style="62" bestFit="1" customWidth="1"/>
    <col min="4334" max="4574" width="9.109375" style="62" bestFit="1" customWidth="1"/>
    <col min="4575" max="4575" width="1.88671875" style="62" customWidth="1"/>
    <col min="4576" max="4576" width="7.33203125" style="62" customWidth="1"/>
    <col min="4577" max="4577" width="9.88671875" style="62" customWidth="1"/>
    <col min="4578" max="4578" width="12.6640625" style="62" customWidth="1"/>
    <col min="4579" max="4579" width="11.109375" style="62" customWidth="1"/>
    <col min="4580" max="4580" width="10.88671875" style="62" customWidth="1"/>
    <col min="4581" max="4581" width="11.5546875" style="62" customWidth="1"/>
    <col min="4582" max="4582" width="13.44140625" style="62" customWidth="1"/>
    <col min="4583" max="4583" width="11.109375" style="62" customWidth="1"/>
    <col min="4584" max="4584" width="11.33203125" style="62" bestFit="1" customWidth="1"/>
    <col min="4585" max="4585" width="11.5546875" style="62" customWidth="1"/>
    <col min="4586" max="4586" width="8.88671875" style="62"/>
    <col min="4587" max="4587" width="9.88671875" style="62" bestFit="1" customWidth="1"/>
    <col min="4588" max="4588" width="9.109375" style="62" bestFit="1" customWidth="1"/>
    <col min="4589" max="4589" width="9.5546875" style="62" bestFit="1" customWidth="1"/>
    <col min="4590" max="4830" width="9.109375" style="62" bestFit="1" customWidth="1"/>
    <col min="4831" max="4831" width="1.88671875" style="62" customWidth="1"/>
    <col min="4832" max="4832" width="7.33203125" style="62" customWidth="1"/>
    <col min="4833" max="4833" width="9.88671875" style="62" customWidth="1"/>
    <col min="4834" max="4834" width="12.6640625" style="62" customWidth="1"/>
    <col min="4835" max="4835" width="11.109375" style="62" customWidth="1"/>
    <col min="4836" max="4836" width="10.88671875" style="62" customWidth="1"/>
    <col min="4837" max="4837" width="11.5546875" style="62" customWidth="1"/>
    <col min="4838" max="4838" width="13.44140625" style="62" customWidth="1"/>
    <col min="4839" max="4839" width="11.109375" style="62" customWidth="1"/>
    <col min="4840" max="4840" width="11.33203125" style="62" bestFit="1" customWidth="1"/>
    <col min="4841" max="4841" width="11.5546875" style="62" customWidth="1"/>
    <col min="4842" max="4842" width="8.88671875" style="62"/>
    <col min="4843" max="4843" width="9.88671875" style="62" bestFit="1" customWidth="1"/>
    <col min="4844" max="4844" width="9.109375" style="62" bestFit="1" customWidth="1"/>
    <col min="4845" max="4845" width="9.5546875" style="62" bestFit="1" customWidth="1"/>
    <col min="4846" max="5086" width="9.109375" style="62" bestFit="1" customWidth="1"/>
    <col min="5087" max="5087" width="1.88671875" style="62" customWidth="1"/>
    <col min="5088" max="5088" width="7.33203125" style="62" customWidth="1"/>
    <col min="5089" max="5089" width="9.88671875" style="62" customWidth="1"/>
    <col min="5090" max="5090" width="12.6640625" style="62" customWidth="1"/>
    <col min="5091" max="5091" width="11.109375" style="62" customWidth="1"/>
    <col min="5092" max="5092" width="10.88671875" style="62" customWidth="1"/>
    <col min="5093" max="5093" width="11.5546875" style="62" customWidth="1"/>
    <col min="5094" max="5094" width="13.44140625" style="62" customWidth="1"/>
    <col min="5095" max="5095" width="11.109375" style="62" customWidth="1"/>
    <col min="5096" max="5096" width="11.33203125" style="62" bestFit="1" customWidth="1"/>
    <col min="5097" max="5097" width="11.5546875" style="62" customWidth="1"/>
    <col min="5098" max="5098" width="8.88671875" style="62"/>
    <col min="5099" max="5099" width="9.88671875" style="62" bestFit="1" customWidth="1"/>
    <col min="5100" max="5100" width="9.109375" style="62" bestFit="1" customWidth="1"/>
    <col min="5101" max="5101" width="9.5546875" style="62" bestFit="1" customWidth="1"/>
    <col min="5102" max="5342" width="9.109375" style="62" bestFit="1" customWidth="1"/>
    <col min="5343" max="5343" width="1.88671875" style="62" customWidth="1"/>
    <col min="5344" max="5344" width="7.33203125" style="62" customWidth="1"/>
    <col min="5345" max="5345" width="9.88671875" style="62" customWidth="1"/>
    <col min="5346" max="5346" width="12.6640625" style="62" customWidth="1"/>
    <col min="5347" max="5347" width="11.109375" style="62" customWidth="1"/>
    <col min="5348" max="5348" width="10.88671875" style="62" customWidth="1"/>
    <col min="5349" max="5349" width="11.5546875" style="62" customWidth="1"/>
    <col min="5350" max="5350" width="13.44140625" style="62" customWidth="1"/>
    <col min="5351" max="5351" width="11.109375" style="62" customWidth="1"/>
    <col min="5352" max="5352" width="11.33203125" style="62" bestFit="1" customWidth="1"/>
    <col min="5353" max="5353" width="11.5546875" style="62" customWidth="1"/>
    <col min="5354" max="5354" width="8.88671875" style="62"/>
    <col min="5355" max="5355" width="9.88671875" style="62" bestFit="1" customWidth="1"/>
    <col min="5356" max="5356" width="9.109375" style="62" bestFit="1" customWidth="1"/>
    <col min="5357" max="5357" width="9.5546875" style="62" bestFit="1" customWidth="1"/>
    <col min="5358" max="5598" width="9.109375" style="62" bestFit="1" customWidth="1"/>
    <col min="5599" max="5599" width="1.88671875" style="62" customWidth="1"/>
    <col min="5600" max="5600" width="7.33203125" style="62" customWidth="1"/>
    <col min="5601" max="5601" width="9.88671875" style="62" customWidth="1"/>
    <col min="5602" max="5602" width="12.6640625" style="62" customWidth="1"/>
    <col min="5603" max="5603" width="11.109375" style="62" customWidth="1"/>
    <col min="5604" max="5604" width="10.88671875" style="62" customWidth="1"/>
    <col min="5605" max="5605" width="11.5546875" style="62" customWidth="1"/>
    <col min="5606" max="5606" width="13.44140625" style="62" customWidth="1"/>
    <col min="5607" max="5607" width="11.109375" style="62" customWidth="1"/>
    <col min="5608" max="5608" width="11.33203125" style="62" bestFit="1" customWidth="1"/>
    <col min="5609" max="5609" width="11.5546875" style="62" customWidth="1"/>
    <col min="5610" max="5610" width="8.88671875" style="62"/>
    <col min="5611" max="5611" width="9.88671875" style="62" bestFit="1" customWidth="1"/>
    <col min="5612" max="5612" width="9.109375" style="62" bestFit="1" customWidth="1"/>
    <col min="5613" max="5613" width="9.5546875" style="62" bestFit="1" customWidth="1"/>
    <col min="5614" max="5854" width="9.109375" style="62" bestFit="1" customWidth="1"/>
    <col min="5855" max="5855" width="1.88671875" style="62" customWidth="1"/>
    <col min="5856" max="5856" width="7.33203125" style="62" customWidth="1"/>
    <col min="5857" max="5857" width="9.88671875" style="62" customWidth="1"/>
    <col min="5858" max="5858" width="12.6640625" style="62" customWidth="1"/>
    <col min="5859" max="5859" width="11.109375" style="62" customWidth="1"/>
    <col min="5860" max="5860" width="10.88671875" style="62" customWidth="1"/>
    <col min="5861" max="5861" width="11.5546875" style="62" customWidth="1"/>
    <col min="5862" max="5862" width="13.44140625" style="62" customWidth="1"/>
    <col min="5863" max="5863" width="11.109375" style="62" customWidth="1"/>
    <col min="5864" max="5864" width="11.33203125" style="62" bestFit="1" customWidth="1"/>
    <col min="5865" max="5865" width="11.5546875" style="62" customWidth="1"/>
    <col min="5866" max="5866" width="8.88671875" style="62"/>
    <col min="5867" max="5867" width="9.88671875" style="62" bestFit="1" customWidth="1"/>
    <col min="5868" max="5868" width="9.109375" style="62" bestFit="1" customWidth="1"/>
    <col min="5869" max="5869" width="9.5546875" style="62" bestFit="1" customWidth="1"/>
    <col min="5870" max="6110" width="9.109375" style="62" bestFit="1" customWidth="1"/>
    <col min="6111" max="6111" width="1.88671875" style="62" customWidth="1"/>
    <col min="6112" max="6112" width="7.33203125" style="62" customWidth="1"/>
    <col min="6113" max="6113" width="9.88671875" style="62" customWidth="1"/>
    <col min="6114" max="6114" width="12.6640625" style="62" customWidth="1"/>
    <col min="6115" max="6115" width="11.109375" style="62" customWidth="1"/>
    <col min="6116" max="6116" width="10.88671875" style="62" customWidth="1"/>
    <col min="6117" max="6117" width="11.5546875" style="62" customWidth="1"/>
    <col min="6118" max="6118" width="13.44140625" style="62" customWidth="1"/>
    <col min="6119" max="6119" width="11.109375" style="62" customWidth="1"/>
    <col min="6120" max="6120" width="11.33203125" style="62" bestFit="1" customWidth="1"/>
    <col min="6121" max="6121" width="11.5546875" style="62" customWidth="1"/>
    <col min="6122" max="6122" width="8.88671875" style="62"/>
    <col min="6123" max="6123" width="9.88671875" style="62" bestFit="1" customWidth="1"/>
    <col min="6124" max="6124" width="9.109375" style="62" bestFit="1" customWidth="1"/>
    <col min="6125" max="6125" width="9.5546875" style="62" bestFit="1" customWidth="1"/>
    <col min="6126" max="6366" width="9.109375" style="62" bestFit="1" customWidth="1"/>
    <col min="6367" max="6367" width="1.88671875" style="62" customWidth="1"/>
    <col min="6368" max="6368" width="7.33203125" style="62" customWidth="1"/>
    <col min="6369" max="6369" width="9.88671875" style="62" customWidth="1"/>
    <col min="6370" max="6370" width="12.6640625" style="62" customWidth="1"/>
    <col min="6371" max="6371" width="11.109375" style="62" customWidth="1"/>
    <col min="6372" max="6372" width="10.88671875" style="62" customWidth="1"/>
    <col min="6373" max="6373" width="11.5546875" style="62" customWidth="1"/>
    <col min="6374" max="6374" width="13.44140625" style="62" customWidth="1"/>
    <col min="6375" max="6375" width="11.109375" style="62" customWidth="1"/>
    <col min="6376" max="6376" width="11.33203125" style="62" bestFit="1" customWidth="1"/>
    <col min="6377" max="6377" width="11.5546875" style="62" customWidth="1"/>
    <col min="6378" max="6378" width="8.88671875" style="62"/>
    <col min="6379" max="6379" width="9.88671875" style="62" bestFit="1" customWidth="1"/>
    <col min="6380" max="6380" width="9.109375" style="62" bestFit="1" customWidth="1"/>
    <col min="6381" max="6381" width="9.5546875" style="62" bestFit="1" customWidth="1"/>
    <col min="6382" max="6622" width="9.109375" style="62" bestFit="1" customWidth="1"/>
    <col min="6623" max="6623" width="1.88671875" style="62" customWidth="1"/>
    <col min="6624" max="6624" width="7.33203125" style="62" customWidth="1"/>
    <col min="6625" max="6625" width="9.88671875" style="62" customWidth="1"/>
    <col min="6626" max="6626" width="12.6640625" style="62" customWidth="1"/>
    <col min="6627" max="6627" width="11.109375" style="62" customWidth="1"/>
    <col min="6628" max="6628" width="10.88671875" style="62" customWidth="1"/>
    <col min="6629" max="6629" width="11.5546875" style="62" customWidth="1"/>
    <col min="6630" max="6630" width="13.44140625" style="62" customWidth="1"/>
    <col min="6631" max="6631" width="11.109375" style="62" customWidth="1"/>
    <col min="6632" max="6632" width="11.33203125" style="62" bestFit="1" customWidth="1"/>
    <col min="6633" max="6633" width="11.5546875" style="62" customWidth="1"/>
    <col min="6634" max="6634" width="8.88671875" style="62"/>
    <col min="6635" max="6635" width="9.88671875" style="62" bestFit="1" customWidth="1"/>
    <col min="6636" max="6636" width="9.109375" style="62" bestFit="1" customWidth="1"/>
    <col min="6637" max="6637" width="9.5546875" style="62" bestFit="1" customWidth="1"/>
    <col min="6638" max="6878" width="9.109375" style="62" bestFit="1" customWidth="1"/>
    <col min="6879" max="6879" width="1.88671875" style="62" customWidth="1"/>
    <col min="6880" max="6880" width="7.33203125" style="62" customWidth="1"/>
    <col min="6881" max="6881" width="9.88671875" style="62" customWidth="1"/>
    <col min="6882" max="6882" width="12.6640625" style="62" customWidth="1"/>
    <col min="6883" max="6883" width="11.109375" style="62" customWidth="1"/>
    <col min="6884" max="6884" width="10.88671875" style="62" customWidth="1"/>
    <col min="6885" max="6885" width="11.5546875" style="62" customWidth="1"/>
    <col min="6886" max="6886" width="13.44140625" style="62" customWidth="1"/>
    <col min="6887" max="6887" width="11.109375" style="62" customWidth="1"/>
    <col min="6888" max="6888" width="11.33203125" style="62" bestFit="1" customWidth="1"/>
    <col min="6889" max="6889" width="11.5546875" style="62" customWidth="1"/>
    <col min="6890" max="6890" width="8.88671875" style="62"/>
    <col min="6891" max="6891" width="9.88671875" style="62" bestFit="1" customWidth="1"/>
    <col min="6892" max="6892" width="9.109375" style="62" bestFit="1" customWidth="1"/>
    <col min="6893" max="6893" width="9.5546875" style="62" bestFit="1" customWidth="1"/>
    <col min="6894" max="7134" width="9.109375" style="62" bestFit="1" customWidth="1"/>
    <col min="7135" max="7135" width="1.88671875" style="62" customWidth="1"/>
    <col min="7136" max="7136" width="7.33203125" style="62" customWidth="1"/>
    <col min="7137" max="7137" width="9.88671875" style="62" customWidth="1"/>
    <col min="7138" max="7138" width="12.6640625" style="62" customWidth="1"/>
    <col min="7139" max="7139" width="11.109375" style="62" customWidth="1"/>
    <col min="7140" max="7140" width="10.88671875" style="62" customWidth="1"/>
    <col min="7141" max="7141" width="11.5546875" style="62" customWidth="1"/>
    <col min="7142" max="7142" width="13.44140625" style="62" customWidth="1"/>
    <col min="7143" max="7143" width="11.109375" style="62" customWidth="1"/>
    <col min="7144" max="7144" width="11.33203125" style="62" bestFit="1" customWidth="1"/>
    <col min="7145" max="7145" width="11.5546875" style="62" customWidth="1"/>
    <col min="7146" max="7146" width="8.88671875" style="62"/>
    <col min="7147" max="7147" width="9.88671875" style="62" bestFit="1" customWidth="1"/>
    <col min="7148" max="7148" width="9.109375" style="62" bestFit="1" customWidth="1"/>
    <col min="7149" max="7149" width="9.5546875" style="62" bestFit="1" customWidth="1"/>
    <col min="7150" max="7390" width="9.109375" style="62" bestFit="1" customWidth="1"/>
    <col min="7391" max="7391" width="1.88671875" style="62" customWidth="1"/>
    <col min="7392" max="7392" width="7.33203125" style="62" customWidth="1"/>
    <col min="7393" max="7393" width="9.88671875" style="62" customWidth="1"/>
    <col min="7394" max="7394" width="12.6640625" style="62" customWidth="1"/>
    <col min="7395" max="7395" width="11.109375" style="62" customWidth="1"/>
    <col min="7396" max="7396" width="10.88671875" style="62" customWidth="1"/>
    <col min="7397" max="7397" width="11.5546875" style="62" customWidth="1"/>
    <col min="7398" max="7398" width="13.44140625" style="62" customWidth="1"/>
    <col min="7399" max="7399" width="11.109375" style="62" customWidth="1"/>
    <col min="7400" max="7400" width="11.33203125" style="62" bestFit="1" customWidth="1"/>
    <col min="7401" max="7401" width="11.5546875" style="62" customWidth="1"/>
    <col min="7402" max="7402" width="8.88671875" style="62"/>
    <col min="7403" max="7403" width="9.88671875" style="62" bestFit="1" customWidth="1"/>
    <col min="7404" max="7404" width="9.109375" style="62" bestFit="1" customWidth="1"/>
    <col min="7405" max="7405" width="9.5546875" style="62" bestFit="1" customWidth="1"/>
    <col min="7406" max="7646" width="9.109375" style="62" bestFit="1" customWidth="1"/>
    <col min="7647" max="7647" width="1.88671875" style="62" customWidth="1"/>
    <col min="7648" max="7648" width="7.33203125" style="62" customWidth="1"/>
    <col min="7649" max="7649" width="9.88671875" style="62" customWidth="1"/>
    <col min="7650" max="7650" width="12.6640625" style="62" customWidth="1"/>
    <col min="7651" max="7651" width="11.109375" style="62" customWidth="1"/>
    <col min="7652" max="7652" width="10.88671875" style="62" customWidth="1"/>
    <col min="7653" max="7653" width="11.5546875" style="62" customWidth="1"/>
    <col min="7654" max="7654" width="13.44140625" style="62" customWidth="1"/>
    <col min="7655" max="7655" width="11.109375" style="62" customWidth="1"/>
    <col min="7656" max="7656" width="11.33203125" style="62" bestFit="1" customWidth="1"/>
    <col min="7657" max="7657" width="11.5546875" style="62" customWidth="1"/>
    <col min="7658" max="7658" width="8.88671875" style="62"/>
    <col min="7659" max="7659" width="9.88671875" style="62" bestFit="1" customWidth="1"/>
    <col min="7660" max="7660" width="9.109375" style="62" bestFit="1" customWidth="1"/>
    <col min="7661" max="7661" width="9.5546875" style="62" bestFit="1" customWidth="1"/>
    <col min="7662" max="7902" width="9.109375" style="62" bestFit="1" customWidth="1"/>
    <col min="7903" max="7903" width="1.88671875" style="62" customWidth="1"/>
    <col min="7904" max="7904" width="7.33203125" style="62" customWidth="1"/>
    <col min="7905" max="7905" width="9.88671875" style="62" customWidth="1"/>
    <col min="7906" max="7906" width="12.6640625" style="62" customWidth="1"/>
    <col min="7907" max="7907" width="11.109375" style="62" customWidth="1"/>
    <col min="7908" max="7908" width="10.88671875" style="62" customWidth="1"/>
    <col min="7909" max="7909" width="11.5546875" style="62" customWidth="1"/>
    <col min="7910" max="7910" width="13.44140625" style="62" customWidth="1"/>
    <col min="7911" max="7911" width="11.109375" style="62" customWidth="1"/>
    <col min="7912" max="7912" width="11.33203125" style="62" bestFit="1" customWidth="1"/>
    <col min="7913" max="7913" width="11.5546875" style="62" customWidth="1"/>
    <col min="7914" max="7914" width="8.88671875" style="62"/>
    <col min="7915" max="7915" width="9.88671875" style="62" bestFit="1" customWidth="1"/>
    <col min="7916" max="7916" width="9.109375" style="62" bestFit="1" customWidth="1"/>
    <col min="7917" max="7917" width="9.5546875" style="62" bestFit="1" customWidth="1"/>
    <col min="7918" max="8158" width="9.109375" style="62" bestFit="1" customWidth="1"/>
    <col min="8159" max="8159" width="1.88671875" style="62" customWidth="1"/>
    <col min="8160" max="8160" width="7.33203125" style="62" customWidth="1"/>
    <col min="8161" max="8161" width="9.88671875" style="62" customWidth="1"/>
    <col min="8162" max="8162" width="12.6640625" style="62" customWidth="1"/>
    <col min="8163" max="8163" width="11.109375" style="62" customWidth="1"/>
    <col min="8164" max="8164" width="10.88671875" style="62" customWidth="1"/>
    <col min="8165" max="8165" width="11.5546875" style="62" customWidth="1"/>
    <col min="8166" max="8166" width="13.44140625" style="62" customWidth="1"/>
    <col min="8167" max="8167" width="11.109375" style="62" customWidth="1"/>
    <col min="8168" max="8168" width="11.33203125" style="62" bestFit="1" customWidth="1"/>
    <col min="8169" max="8169" width="11.5546875" style="62" customWidth="1"/>
    <col min="8170" max="8170" width="8.88671875" style="62"/>
    <col min="8171" max="8171" width="9.88671875" style="62" bestFit="1" customWidth="1"/>
    <col min="8172" max="8172" width="9.109375" style="62" bestFit="1" customWidth="1"/>
    <col min="8173" max="8173" width="9.5546875" style="62" bestFit="1" customWidth="1"/>
    <col min="8174" max="8414" width="9.109375" style="62" bestFit="1" customWidth="1"/>
    <col min="8415" max="8415" width="1.88671875" style="62" customWidth="1"/>
    <col min="8416" max="8416" width="7.33203125" style="62" customWidth="1"/>
    <col min="8417" max="8417" width="9.88671875" style="62" customWidth="1"/>
    <col min="8418" max="8418" width="12.6640625" style="62" customWidth="1"/>
    <col min="8419" max="8419" width="11.109375" style="62" customWidth="1"/>
    <col min="8420" max="8420" width="10.88671875" style="62" customWidth="1"/>
    <col min="8421" max="8421" width="11.5546875" style="62" customWidth="1"/>
    <col min="8422" max="8422" width="13.44140625" style="62" customWidth="1"/>
    <col min="8423" max="8423" width="11.109375" style="62" customWidth="1"/>
    <col min="8424" max="8424" width="11.33203125" style="62" bestFit="1" customWidth="1"/>
    <col min="8425" max="8425" width="11.5546875" style="62" customWidth="1"/>
    <col min="8426" max="8426" width="8.88671875" style="62"/>
    <col min="8427" max="8427" width="9.88671875" style="62" bestFit="1" customWidth="1"/>
    <col min="8428" max="8428" width="9.109375" style="62" bestFit="1" customWidth="1"/>
    <col min="8429" max="8429" width="9.5546875" style="62" bestFit="1" customWidth="1"/>
    <col min="8430" max="8670" width="9.109375" style="62" bestFit="1" customWidth="1"/>
    <col min="8671" max="8671" width="1.88671875" style="62" customWidth="1"/>
    <col min="8672" max="8672" width="7.33203125" style="62" customWidth="1"/>
    <col min="8673" max="8673" width="9.88671875" style="62" customWidth="1"/>
    <col min="8674" max="8674" width="12.6640625" style="62" customWidth="1"/>
    <col min="8675" max="8675" width="11.109375" style="62" customWidth="1"/>
    <col min="8676" max="8676" width="10.88671875" style="62" customWidth="1"/>
    <col min="8677" max="8677" width="11.5546875" style="62" customWidth="1"/>
    <col min="8678" max="8678" width="13.44140625" style="62" customWidth="1"/>
    <col min="8679" max="8679" width="11.109375" style="62" customWidth="1"/>
    <col min="8680" max="8680" width="11.33203125" style="62" bestFit="1" customWidth="1"/>
    <col min="8681" max="8681" width="11.5546875" style="62" customWidth="1"/>
    <col min="8682" max="8682" width="8.88671875" style="62"/>
    <col min="8683" max="8683" width="9.88671875" style="62" bestFit="1" customWidth="1"/>
    <col min="8684" max="8684" width="9.109375" style="62" bestFit="1" customWidth="1"/>
    <col min="8685" max="8685" width="9.5546875" style="62" bestFit="1" customWidth="1"/>
    <col min="8686" max="8926" width="9.109375" style="62" bestFit="1" customWidth="1"/>
    <col min="8927" max="8927" width="1.88671875" style="62" customWidth="1"/>
    <col min="8928" max="8928" width="7.33203125" style="62" customWidth="1"/>
    <col min="8929" max="8929" width="9.88671875" style="62" customWidth="1"/>
    <col min="8930" max="8930" width="12.6640625" style="62" customWidth="1"/>
    <col min="8931" max="8931" width="11.109375" style="62" customWidth="1"/>
    <col min="8932" max="8932" width="10.88671875" style="62" customWidth="1"/>
    <col min="8933" max="8933" width="11.5546875" style="62" customWidth="1"/>
    <col min="8934" max="8934" width="13.44140625" style="62" customWidth="1"/>
    <col min="8935" max="8935" width="11.109375" style="62" customWidth="1"/>
    <col min="8936" max="8936" width="11.33203125" style="62" bestFit="1" customWidth="1"/>
    <col min="8937" max="8937" width="11.5546875" style="62" customWidth="1"/>
    <col min="8938" max="8938" width="8.88671875" style="62"/>
    <col min="8939" max="8939" width="9.88671875" style="62" bestFit="1" customWidth="1"/>
    <col min="8940" max="8940" width="9.109375" style="62" bestFit="1" customWidth="1"/>
    <col min="8941" max="8941" width="9.5546875" style="62" bestFit="1" customWidth="1"/>
    <col min="8942" max="9182" width="9.109375" style="62" bestFit="1" customWidth="1"/>
    <col min="9183" max="9183" width="1.88671875" style="62" customWidth="1"/>
    <col min="9184" max="9184" width="7.33203125" style="62" customWidth="1"/>
    <col min="9185" max="9185" width="9.88671875" style="62" customWidth="1"/>
    <col min="9186" max="9186" width="12.6640625" style="62" customWidth="1"/>
    <col min="9187" max="9187" width="11.109375" style="62" customWidth="1"/>
    <col min="9188" max="9188" width="10.88671875" style="62" customWidth="1"/>
    <col min="9189" max="9189" width="11.5546875" style="62" customWidth="1"/>
    <col min="9190" max="9190" width="13.44140625" style="62" customWidth="1"/>
    <col min="9191" max="9191" width="11.109375" style="62" customWidth="1"/>
    <col min="9192" max="9192" width="11.33203125" style="62" bestFit="1" customWidth="1"/>
    <col min="9193" max="9193" width="11.5546875" style="62" customWidth="1"/>
    <col min="9194" max="9194" width="8.88671875" style="62"/>
    <col min="9195" max="9195" width="9.88671875" style="62" bestFit="1" customWidth="1"/>
    <col min="9196" max="9196" width="9.109375" style="62" bestFit="1" customWidth="1"/>
    <col min="9197" max="9197" width="9.5546875" style="62" bestFit="1" customWidth="1"/>
    <col min="9198" max="9438" width="9.109375" style="62" bestFit="1" customWidth="1"/>
    <col min="9439" max="9439" width="1.88671875" style="62" customWidth="1"/>
    <col min="9440" max="9440" width="7.33203125" style="62" customWidth="1"/>
    <col min="9441" max="9441" width="9.88671875" style="62" customWidth="1"/>
    <col min="9442" max="9442" width="12.6640625" style="62" customWidth="1"/>
    <col min="9443" max="9443" width="11.109375" style="62" customWidth="1"/>
    <col min="9444" max="9444" width="10.88671875" style="62" customWidth="1"/>
    <col min="9445" max="9445" width="11.5546875" style="62" customWidth="1"/>
    <col min="9446" max="9446" width="13.44140625" style="62" customWidth="1"/>
    <col min="9447" max="9447" width="11.109375" style="62" customWidth="1"/>
    <col min="9448" max="9448" width="11.33203125" style="62" bestFit="1" customWidth="1"/>
    <col min="9449" max="9449" width="11.5546875" style="62" customWidth="1"/>
    <col min="9450" max="9450" width="8.88671875" style="62"/>
    <col min="9451" max="9451" width="9.88671875" style="62" bestFit="1" customWidth="1"/>
    <col min="9452" max="9452" width="9.109375" style="62" bestFit="1" customWidth="1"/>
    <col min="9453" max="9453" width="9.5546875" style="62" bestFit="1" customWidth="1"/>
    <col min="9454" max="9694" width="9.109375" style="62" bestFit="1" customWidth="1"/>
    <col min="9695" max="9695" width="1.88671875" style="62" customWidth="1"/>
    <col min="9696" max="9696" width="7.33203125" style="62" customWidth="1"/>
    <col min="9697" max="9697" width="9.88671875" style="62" customWidth="1"/>
    <col min="9698" max="9698" width="12.6640625" style="62" customWidth="1"/>
    <col min="9699" max="9699" width="11.109375" style="62" customWidth="1"/>
    <col min="9700" max="9700" width="10.88671875" style="62" customWidth="1"/>
    <col min="9701" max="9701" width="11.5546875" style="62" customWidth="1"/>
    <col min="9702" max="9702" width="13.44140625" style="62" customWidth="1"/>
    <col min="9703" max="9703" width="11.109375" style="62" customWidth="1"/>
    <col min="9704" max="9704" width="11.33203125" style="62" bestFit="1" customWidth="1"/>
    <col min="9705" max="9705" width="11.5546875" style="62" customWidth="1"/>
    <col min="9706" max="9706" width="8.88671875" style="62"/>
    <col min="9707" max="9707" width="9.88671875" style="62" bestFit="1" customWidth="1"/>
    <col min="9708" max="9708" width="9.109375" style="62" bestFit="1" customWidth="1"/>
    <col min="9709" max="9709" width="9.5546875" style="62" bestFit="1" customWidth="1"/>
    <col min="9710" max="9950" width="9.109375" style="62" bestFit="1" customWidth="1"/>
    <col min="9951" max="9951" width="1.88671875" style="62" customWidth="1"/>
    <col min="9952" max="9952" width="7.33203125" style="62" customWidth="1"/>
    <col min="9953" max="9953" width="9.88671875" style="62" customWidth="1"/>
    <col min="9954" max="9954" width="12.6640625" style="62" customWidth="1"/>
    <col min="9955" max="9955" width="11.109375" style="62" customWidth="1"/>
    <col min="9956" max="9956" width="10.88671875" style="62" customWidth="1"/>
    <col min="9957" max="9957" width="11.5546875" style="62" customWidth="1"/>
    <col min="9958" max="9958" width="13.44140625" style="62" customWidth="1"/>
    <col min="9959" max="9959" width="11.109375" style="62" customWidth="1"/>
    <col min="9960" max="9960" width="11.33203125" style="62" bestFit="1" customWidth="1"/>
    <col min="9961" max="9961" width="11.5546875" style="62" customWidth="1"/>
    <col min="9962" max="9962" width="8.88671875" style="62"/>
    <col min="9963" max="9963" width="9.88671875" style="62" bestFit="1" customWidth="1"/>
    <col min="9964" max="9964" width="9.109375" style="62" bestFit="1" customWidth="1"/>
    <col min="9965" max="9965" width="9.5546875" style="62" bestFit="1" customWidth="1"/>
    <col min="9966" max="10206" width="9.109375" style="62" bestFit="1" customWidth="1"/>
    <col min="10207" max="10207" width="1.88671875" style="62" customWidth="1"/>
    <col min="10208" max="10208" width="7.33203125" style="62" customWidth="1"/>
    <col min="10209" max="10209" width="9.88671875" style="62" customWidth="1"/>
    <col min="10210" max="10210" width="12.6640625" style="62" customWidth="1"/>
    <col min="10211" max="10211" width="11.109375" style="62" customWidth="1"/>
    <col min="10212" max="10212" width="10.88671875" style="62" customWidth="1"/>
    <col min="10213" max="10213" width="11.5546875" style="62" customWidth="1"/>
    <col min="10214" max="10214" width="13.44140625" style="62" customWidth="1"/>
    <col min="10215" max="10215" width="11.109375" style="62" customWidth="1"/>
    <col min="10216" max="10216" width="11.33203125" style="62" bestFit="1" customWidth="1"/>
    <col min="10217" max="10217" width="11.5546875" style="62" customWidth="1"/>
    <col min="10218" max="10218" width="8.88671875" style="62"/>
    <col min="10219" max="10219" width="9.88671875" style="62" bestFit="1" customWidth="1"/>
    <col min="10220" max="10220" width="9.109375" style="62" bestFit="1" customWidth="1"/>
    <col min="10221" max="10221" width="9.5546875" style="62" bestFit="1" customWidth="1"/>
    <col min="10222" max="10462" width="9.109375" style="62" bestFit="1" customWidth="1"/>
    <col min="10463" max="10463" width="1.88671875" style="62" customWidth="1"/>
    <col min="10464" max="10464" width="7.33203125" style="62" customWidth="1"/>
    <col min="10465" max="10465" width="9.88671875" style="62" customWidth="1"/>
    <col min="10466" max="10466" width="12.6640625" style="62" customWidth="1"/>
    <col min="10467" max="10467" width="11.109375" style="62" customWidth="1"/>
    <col min="10468" max="10468" width="10.88671875" style="62" customWidth="1"/>
    <col min="10469" max="10469" width="11.5546875" style="62" customWidth="1"/>
    <col min="10470" max="10470" width="13.44140625" style="62" customWidth="1"/>
    <col min="10471" max="10471" width="11.109375" style="62" customWidth="1"/>
    <col min="10472" max="10472" width="11.33203125" style="62" bestFit="1" customWidth="1"/>
    <col min="10473" max="10473" width="11.5546875" style="62" customWidth="1"/>
    <col min="10474" max="10474" width="8.88671875" style="62"/>
    <col min="10475" max="10475" width="9.88671875" style="62" bestFit="1" customWidth="1"/>
    <col min="10476" max="10476" width="9.109375" style="62" bestFit="1" customWidth="1"/>
    <col min="10477" max="10477" width="9.5546875" style="62" bestFit="1" customWidth="1"/>
    <col min="10478" max="10718" width="9.109375" style="62" bestFit="1" customWidth="1"/>
    <col min="10719" max="10719" width="1.88671875" style="62" customWidth="1"/>
    <col min="10720" max="10720" width="7.33203125" style="62" customWidth="1"/>
    <col min="10721" max="10721" width="9.88671875" style="62" customWidth="1"/>
    <col min="10722" max="10722" width="12.6640625" style="62" customWidth="1"/>
    <col min="10723" max="10723" width="11.109375" style="62" customWidth="1"/>
    <col min="10724" max="10724" width="10.88671875" style="62" customWidth="1"/>
    <col min="10725" max="10725" width="11.5546875" style="62" customWidth="1"/>
    <col min="10726" max="10726" width="13.44140625" style="62" customWidth="1"/>
    <col min="10727" max="10727" width="11.109375" style="62" customWidth="1"/>
    <col min="10728" max="10728" width="11.33203125" style="62" bestFit="1" customWidth="1"/>
    <col min="10729" max="10729" width="11.5546875" style="62" customWidth="1"/>
    <col min="10730" max="10730" width="8.88671875" style="62"/>
    <col min="10731" max="10731" width="9.88671875" style="62" bestFit="1" customWidth="1"/>
    <col min="10732" max="10732" width="9.109375" style="62" bestFit="1" customWidth="1"/>
    <col min="10733" max="10733" width="9.5546875" style="62" bestFit="1" customWidth="1"/>
    <col min="10734" max="10974" width="9.109375" style="62" bestFit="1" customWidth="1"/>
    <col min="10975" max="10975" width="1.88671875" style="62" customWidth="1"/>
    <col min="10976" max="10976" width="7.33203125" style="62" customWidth="1"/>
    <col min="10977" max="10977" width="9.88671875" style="62" customWidth="1"/>
    <col min="10978" max="10978" width="12.6640625" style="62" customWidth="1"/>
    <col min="10979" max="10979" width="11.109375" style="62" customWidth="1"/>
    <col min="10980" max="10980" width="10.88671875" style="62" customWidth="1"/>
    <col min="10981" max="10981" width="11.5546875" style="62" customWidth="1"/>
    <col min="10982" max="10982" width="13.44140625" style="62" customWidth="1"/>
    <col min="10983" max="10983" width="11.109375" style="62" customWidth="1"/>
    <col min="10984" max="10984" width="11.33203125" style="62" bestFit="1" customWidth="1"/>
    <col min="10985" max="10985" width="11.5546875" style="62" customWidth="1"/>
    <col min="10986" max="10986" width="8.88671875" style="62"/>
    <col min="10987" max="10987" width="9.88671875" style="62" bestFit="1" customWidth="1"/>
    <col min="10988" max="10988" width="9.109375" style="62" bestFit="1" customWidth="1"/>
    <col min="10989" max="10989" width="9.5546875" style="62" bestFit="1" customWidth="1"/>
    <col min="10990" max="11230" width="9.109375" style="62" bestFit="1" customWidth="1"/>
    <col min="11231" max="11231" width="1.88671875" style="62" customWidth="1"/>
    <col min="11232" max="11232" width="7.33203125" style="62" customWidth="1"/>
    <col min="11233" max="11233" width="9.88671875" style="62" customWidth="1"/>
    <col min="11234" max="11234" width="12.6640625" style="62" customWidth="1"/>
    <col min="11235" max="11235" width="11.109375" style="62" customWidth="1"/>
    <col min="11236" max="11236" width="10.88671875" style="62" customWidth="1"/>
    <col min="11237" max="11237" width="11.5546875" style="62" customWidth="1"/>
    <col min="11238" max="11238" width="13.44140625" style="62" customWidth="1"/>
    <col min="11239" max="11239" width="11.109375" style="62" customWidth="1"/>
    <col min="11240" max="11240" width="11.33203125" style="62" bestFit="1" customWidth="1"/>
    <col min="11241" max="11241" width="11.5546875" style="62" customWidth="1"/>
    <col min="11242" max="11242" width="8.88671875" style="62"/>
    <col min="11243" max="11243" width="9.88671875" style="62" bestFit="1" customWidth="1"/>
    <col min="11244" max="11244" width="9.109375" style="62" bestFit="1" customWidth="1"/>
    <col min="11245" max="11245" width="9.5546875" style="62" bestFit="1" customWidth="1"/>
    <col min="11246" max="11486" width="9.109375" style="62" bestFit="1" customWidth="1"/>
    <col min="11487" max="11487" width="1.88671875" style="62" customWidth="1"/>
    <col min="11488" max="11488" width="7.33203125" style="62" customWidth="1"/>
    <col min="11489" max="11489" width="9.88671875" style="62" customWidth="1"/>
    <col min="11490" max="11490" width="12.6640625" style="62" customWidth="1"/>
    <col min="11491" max="11491" width="11.109375" style="62" customWidth="1"/>
    <col min="11492" max="11492" width="10.88671875" style="62" customWidth="1"/>
    <col min="11493" max="11493" width="11.5546875" style="62" customWidth="1"/>
    <col min="11494" max="11494" width="13.44140625" style="62" customWidth="1"/>
    <col min="11495" max="11495" width="11.109375" style="62" customWidth="1"/>
    <col min="11496" max="11496" width="11.33203125" style="62" bestFit="1" customWidth="1"/>
    <col min="11497" max="11497" width="11.5546875" style="62" customWidth="1"/>
    <col min="11498" max="11498" width="8.88671875" style="62"/>
    <col min="11499" max="11499" width="9.88671875" style="62" bestFit="1" customWidth="1"/>
    <col min="11500" max="11500" width="9.109375" style="62" bestFit="1" customWidth="1"/>
    <col min="11501" max="11501" width="9.5546875" style="62" bestFit="1" customWidth="1"/>
    <col min="11502" max="11742" width="9.109375" style="62" bestFit="1" customWidth="1"/>
    <col min="11743" max="11743" width="1.88671875" style="62" customWidth="1"/>
    <col min="11744" max="11744" width="7.33203125" style="62" customWidth="1"/>
    <col min="11745" max="11745" width="9.88671875" style="62" customWidth="1"/>
    <col min="11746" max="11746" width="12.6640625" style="62" customWidth="1"/>
    <col min="11747" max="11747" width="11.109375" style="62" customWidth="1"/>
    <col min="11748" max="11748" width="10.88671875" style="62" customWidth="1"/>
    <col min="11749" max="11749" width="11.5546875" style="62" customWidth="1"/>
    <col min="11750" max="11750" width="13.44140625" style="62" customWidth="1"/>
    <col min="11751" max="11751" width="11.109375" style="62" customWidth="1"/>
    <col min="11752" max="11752" width="11.33203125" style="62" bestFit="1" customWidth="1"/>
    <col min="11753" max="11753" width="11.5546875" style="62" customWidth="1"/>
    <col min="11754" max="11754" width="8.88671875" style="62"/>
    <col min="11755" max="11755" width="9.88671875" style="62" bestFit="1" customWidth="1"/>
    <col min="11756" max="11756" width="9.109375" style="62" bestFit="1" customWidth="1"/>
    <col min="11757" max="11757" width="9.5546875" style="62" bestFit="1" customWidth="1"/>
    <col min="11758" max="11998" width="9.109375" style="62" bestFit="1" customWidth="1"/>
    <col min="11999" max="11999" width="1.88671875" style="62" customWidth="1"/>
    <col min="12000" max="12000" width="7.33203125" style="62" customWidth="1"/>
    <col min="12001" max="12001" width="9.88671875" style="62" customWidth="1"/>
    <col min="12002" max="12002" width="12.6640625" style="62" customWidth="1"/>
    <col min="12003" max="12003" width="11.109375" style="62" customWidth="1"/>
    <col min="12004" max="12004" width="10.88671875" style="62" customWidth="1"/>
    <col min="12005" max="12005" width="11.5546875" style="62" customWidth="1"/>
    <col min="12006" max="12006" width="13.44140625" style="62" customWidth="1"/>
    <col min="12007" max="12007" width="11.109375" style="62" customWidth="1"/>
    <col min="12008" max="12008" width="11.33203125" style="62" bestFit="1" customWidth="1"/>
    <col min="12009" max="12009" width="11.5546875" style="62" customWidth="1"/>
    <col min="12010" max="12010" width="8.88671875" style="62"/>
    <col min="12011" max="12011" width="9.88671875" style="62" bestFit="1" customWidth="1"/>
    <col min="12012" max="12012" width="9.109375" style="62" bestFit="1" customWidth="1"/>
    <col min="12013" max="12013" width="9.5546875" style="62" bestFit="1" customWidth="1"/>
    <col min="12014" max="12254" width="9.109375" style="62" bestFit="1" customWidth="1"/>
    <col min="12255" max="12255" width="1.88671875" style="62" customWidth="1"/>
    <col min="12256" max="12256" width="7.33203125" style="62" customWidth="1"/>
    <col min="12257" max="12257" width="9.88671875" style="62" customWidth="1"/>
    <col min="12258" max="12258" width="12.6640625" style="62" customWidth="1"/>
    <col min="12259" max="12259" width="11.109375" style="62" customWidth="1"/>
    <col min="12260" max="12260" width="10.88671875" style="62" customWidth="1"/>
    <col min="12261" max="12261" width="11.5546875" style="62" customWidth="1"/>
    <col min="12262" max="12262" width="13.44140625" style="62" customWidth="1"/>
    <col min="12263" max="12263" width="11.109375" style="62" customWidth="1"/>
    <col min="12264" max="12264" width="11.33203125" style="62" bestFit="1" customWidth="1"/>
    <col min="12265" max="12265" width="11.5546875" style="62" customWidth="1"/>
    <col min="12266" max="12266" width="8.88671875" style="62"/>
    <col min="12267" max="12267" width="9.88671875" style="62" bestFit="1" customWidth="1"/>
    <col min="12268" max="12268" width="9.109375" style="62" bestFit="1" customWidth="1"/>
    <col min="12269" max="12269" width="9.5546875" style="62" bestFit="1" customWidth="1"/>
    <col min="12270" max="12510" width="9.109375" style="62" bestFit="1" customWidth="1"/>
    <col min="12511" max="12511" width="1.88671875" style="62" customWidth="1"/>
    <col min="12512" max="12512" width="7.33203125" style="62" customWidth="1"/>
    <col min="12513" max="12513" width="9.88671875" style="62" customWidth="1"/>
    <col min="12514" max="12514" width="12.6640625" style="62" customWidth="1"/>
    <col min="12515" max="12515" width="11.109375" style="62" customWidth="1"/>
    <col min="12516" max="12516" width="10.88671875" style="62" customWidth="1"/>
    <col min="12517" max="12517" width="11.5546875" style="62" customWidth="1"/>
    <col min="12518" max="12518" width="13.44140625" style="62" customWidth="1"/>
    <col min="12519" max="12519" width="11.109375" style="62" customWidth="1"/>
    <col min="12520" max="12520" width="11.33203125" style="62" bestFit="1" customWidth="1"/>
    <col min="12521" max="12521" width="11.5546875" style="62" customWidth="1"/>
    <col min="12522" max="12522" width="8.88671875" style="62"/>
    <col min="12523" max="12523" width="9.88671875" style="62" bestFit="1" customWidth="1"/>
    <col min="12524" max="12524" width="9.109375" style="62" bestFit="1" customWidth="1"/>
    <col min="12525" max="12525" width="9.5546875" style="62" bestFit="1" customWidth="1"/>
    <col min="12526" max="12766" width="9.109375" style="62" bestFit="1" customWidth="1"/>
    <col min="12767" max="12767" width="1.88671875" style="62" customWidth="1"/>
    <col min="12768" max="12768" width="7.33203125" style="62" customWidth="1"/>
    <col min="12769" max="12769" width="9.88671875" style="62" customWidth="1"/>
    <col min="12770" max="12770" width="12.6640625" style="62" customWidth="1"/>
    <col min="12771" max="12771" width="11.109375" style="62" customWidth="1"/>
    <col min="12772" max="12772" width="10.88671875" style="62" customWidth="1"/>
    <col min="12773" max="12773" width="11.5546875" style="62" customWidth="1"/>
    <col min="12774" max="12774" width="13.44140625" style="62" customWidth="1"/>
    <col min="12775" max="12775" width="11.109375" style="62" customWidth="1"/>
    <col min="12776" max="12776" width="11.33203125" style="62" bestFit="1" customWidth="1"/>
    <col min="12777" max="12777" width="11.5546875" style="62" customWidth="1"/>
    <col min="12778" max="12778" width="8.88671875" style="62"/>
    <col min="12779" max="12779" width="9.88671875" style="62" bestFit="1" customWidth="1"/>
    <col min="12780" max="12780" width="9.109375" style="62" bestFit="1" customWidth="1"/>
    <col min="12781" max="12781" width="9.5546875" style="62" bestFit="1" customWidth="1"/>
    <col min="12782" max="13022" width="9.109375" style="62" bestFit="1" customWidth="1"/>
    <col min="13023" max="13023" width="1.88671875" style="62" customWidth="1"/>
    <col min="13024" max="13024" width="7.33203125" style="62" customWidth="1"/>
    <col min="13025" max="13025" width="9.88671875" style="62" customWidth="1"/>
    <col min="13026" max="13026" width="12.6640625" style="62" customWidth="1"/>
    <col min="13027" max="13027" width="11.109375" style="62" customWidth="1"/>
    <col min="13028" max="13028" width="10.88671875" style="62" customWidth="1"/>
    <col min="13029" max="13029" width="11.5546875" style="62" customWidth="1"/>
    <col min="13030" max="13030" width="13.44140625" style="62" customWidth="1"/>
    <col min="13031" max="13031" width="11.109375" style="62" customWidth="1"/>
    <col min="13032" max="13032" width="11.33203125" style="62" bestFit="1" customWidth="1"/>
    <col min="13033" max="13033" width="11.5546875" style="62" customWidth="1"/>
    <col min="13034" max="13034" width="8.88671875" style="62"/>
    <col min="13035" max="13035" width="9.88671875" style="62" bestFit="1" customWidth="1"/>
    <col min="13036" max="13036" width="9.109375" style="62" bestFit="1" customWidth="1"/>
    <col min="13037" max="13037" width="9.5546875" style="62" bestFit="1" customWidth="1"/>
    <col min="13038" max="13278" width="9.109375" style="62" bestFit="1" customWidth="1"/>
    <col min="13279" max="13279" width="1.88671875" style="62" customWidth="1"/>
    <col min="13280" max="13280" width="7.33203125" style="62" customWidth="1"/>
    <col min="13281" max="13281" width="9.88671875" style="62" customWidth="1"/>
    <col min="13282" max="13282" width="12.6640625" style="62" customWidth="1"/>
    <col min="13283" max="13283" width="11.109375" style="62" customWidth="1"/>
    <col min="13284" max="13284" width="10.88671875" style="62" customWidth="1"/>
    <col min="13285" max="13285" width="11.5546875" style="62" customWidth="1"/>
    <col min="13286" max="13286" width="13.44140625" style="62" customWidth="1"/>
    <col min="13287" max="13287" width="11.109375" style="62" customWidth="1"/>
    <col min="13288" max="13288" width="11.33203125" style="62" bestFit="1" customWidth="1"/>
    <col min="13289" max="13289" width="11.5546875" style="62" customWidth="1"/>
    <col min="13290" max="13290" width="8.88671875" style="62"/>
    <col min="13291" max="13291" width="9.88671875" style="62" bestFit="1" customWidth="1"/>
    <col min="13292" max="13292" width="9.109375" style="62" bestFit="1" customWidth="1"/>
    <col min="13293" max="13293" width="9.5546875" style="62" bestFit="1" customWidth="1"/>
    <col min="13294" max="13534" width="9.109375" style="62" bestFit="1" customWidth="1"/>
    <col min="13535" max="13535" width="1.88671875" style="62" customWidth="1"/>
    <col min="13536" max="13536" width="7.33203125" style="62" customWidth="1"/>
    <col min="13537" max="13537" width="9.88671875" style="62" customWidth="1"/>
    <col min="13538" max="13538" width="12.6640625" style="62" customWidth="1"/>
    <col min="13539" max="13539" width="11.109375" style="62" customWidth="1"/>
    <col min="13540" max="13540" width="10.88671875" style="62" customWidth="1"/>
    <col min="13541" max="13541" width="11.5546875" style="62" customWidth="1"/>
    <col min="13542" max="13542" width="13.44140625" style="62" customWidth="1"/>
    <col min="13543" max="13543" width="11.109375" style="62" customWidth="1"/>
    <col min="13544" max="13544" width="11.33203125" style="62" bestFit="1" customWidth="1"/>
    <col min="13545" max="13545" width="11.5546875" style="62" customWidth="1"/>
    <col min="13546" max="13546" width="8.88671875" style="62"/>
    <col min="13547" max="13547" width="9.88671875" style="62" bestFit="1" customWidth="1"/>
    <col min="13548" max="13548" width="9.109375" style="62" bestFit="1" customWidth="1"/>
    <col min="13549" max="13549" width="9.5546875" style="62" bestFit="1" customWidth="1"/>
    <col min="13550" max="13790" width="9.109375" style="62" bestFit="1" customWidth="1"/>
    <col min="13791" max="13791" width="1.88671875" style="62" customWidth="1"/>
    <col min="13792" max="13792" width="7.33203125" style="62" customWidth="1"/>
    <col min="13793" max="13793" width="9.88671875" style="62" customWidth="1"/>
    <col min="13794" max="13794" width="12.6640625" style="62" customWidth="1"/>
    <col min="13795" max="13795" width="11.109375" style="62" customWidth="1"/>
    <col min="13796" max="13796" width="10.88671875" style="62" customWidth="1"/>
    <col min="13797" max="13797" width="11.5546875" style="62" customWidth="1"/>
    <col min="13798" max="13798" width="13.44140625" style="62" customWidth="1"/>
    <col min="13799" max="13799" width="11.109375" style="62" customWidth="1"/>
    <col min="13800" max="13800" width="11.33203125" style="62" bestFit="1" customWidth="1"/>
    <col min="13801" max="13801" width="11.5546875" style="62" customWidth="1"/>
    <col min="13802" max="13802" width="8.88671875" style="62"/>
    <col min="13803" max="13803" width="9.88671875" style="62" bestFit="1" customWidth="1"/>
    <col min="13804" max="13804" width="9.109375" style="62" bestFit="1" customWidth="1"/>
    <col min="13805" max="13805" width="9.5546875" style="62" bestFit="1" customWidth="1"/>
    <col min="13806" max="14046" width="9.109375" style="62" bestFit="1" customWidth="1"/>
    <col min="14047" max="14047" width="1.88671875" style="62" customWidth="1"/>
    <col min="14048" max="14048" width="7.33203125" style="62" customWidth="1"/>
    <col min="14049" max="14049" width="9.88671875" style="62" customWidth="1"/>
    <col min="14050" max="14050" width="12.6640625" style="62" customWidth="1"/>
    <col min="14051" max="14051" width="11.109375" style="62" customWidth="1"/>
    <col min="14052" max="14052" width="10.88671875" style="62" customWidth="1"/>
    <col min="14053" max="14053" width="11.5546875" style="62" customWidth="1"/>
    <col min="14054" max="14054" width="13.44140625" style="62" customWidth="1"/>
    <col min="14055" max="14055" width="11.109375" style="62" customWidth="1"/>
    <col min="14056" max="14056" width="11.33203125" style="62" bestFit="1" customWidth="1"/>
    <col min="14057" max="14057" width="11.5546875" style="62" customWidth="1"/>
    <col min="14058" max="14058" width="8.88671875" style="62"/>
    <col min="14059" max="14059" width="9.88671875" style="62" bestFit="1" customWidth="1"/>
    <col min="14060" max="14060" width="9.109375" style="62" bestFit="1" customWidth="1"/>
    <col min="14061" max="14061" width="9.5546875" style="62" bestFit="1" customWidth="1"/>
    <col min="14062" max="14302" width="9.109375" style="62" bestFit="1" customWidth="1"/>
    <col min="14303" max="14303" width="1.88671875" style="62" customWidth="1"/>
    <col min="14304" max="14304" width="7.33203125" style="62" customWidth="1"/>
    <col min="14305" max="14305" width="9.88671875" style="62" customWidth="1"/>
    <col min="14306" max="14306" width="12.6640625" style="62" customWidth="1"/>
    <col min="14307" max="14307" width="11.109375" style="62" customWidth="1"/>
    <col min="14308" max="14308" width="10.88671875" style="62" customWidth="1"/>
    <col min="14309" max="14309" width="11.5546875" style="62" customWidth="1"/>
    <col min="14310" max="14310" width="13.44140625" style="62" customWidth="1"/>
    <col min="14311" max="14311" width="11.109375" style="62" customWidth="1"/>
    <col min="14312" max="14312" width="11.33203125" style="62" bestFit="1" customWidth="1"/>
    <col min="14313" max="14313" width="11.5546875" style="62" customWidth="1"/>
    <col min="14314" max="14314" width="8.88671875" style="62"/>
    <col min="14315" max="14315" width="9.88671875" style="62" bestFit="1" customWidth="1"/>
    <col min="14316" max="14316" width="9.109375" style="62" bestFit="1" customWidth="1"/>
    <col min="14317" max="14317" width="9.5546875" style="62" bestFit="1" customWidth="1"/>
    <col min="14318" max="14558" width="9.109375" style="62" bestFit="1" customWidth="1"/>
    <col min="14559" max="14559" width="1.88671875" style="62" customWidth="1"/>
    <col min="14560" max="14560" width="7.33203125" style="62" customWidth="1"/>
    <col min="14561" max="14561" width="9.88671875" style="62" customWidth="1"/>
    <col min="14562" max="14562" width="12.6640625" style="62" customWidth="1"/>
    <col min="14563" max="14563" width="11.109375" style="62" customWidth="1"/>
    <col min="14564" max="14564" width="10.88671875" style="62" customWidth="1"/>
    <col min="14565" max="14565" width="11.5546875" style="62" customWidth="1"/>
    <col min="14566" max="14566" width="13.44140625" style="62" customWidth="1"/>
    <col min="14567" max="14567" width="11.109375" style="62" customWidth="1"/>
    <col min="14568" max="14568" width="11.33203125" style="62" bestFit="1" customWidth="1"/>
    <col min="14569" max="14569" width="11.5546875" style="62" customWidth="1"/>
    <col min="14570" max="14570" width="8.88671875" style="62"/>
    <col min="14571" max="14571" width="9.88671875" style="62" bestFit="1" customWidth="1"/>
    <col min="14572" max="14572" width="9.109375" style="62" bestFit="1" customWidth="1"/>
    <col min="14573" max="14573" width="9.5546875" style="62" bestFit="1" customWidth="1"/>
    <col min="14574" max="14814" width="9.109375" style="62" bestFit="1" customWidth="1"/>
    <col min="14815" max="14815" width="1.88671875" style="62" customWidth="1"/>
    <col min="14816" max="14816" width="7.33203125" style="62" customWidth="1"/>
    <col min="14817" max="14817" width="9.88671875" style="62" customWidth="1"/>
    <col min="14818" max="14818" width="12.6640625" style="62" customWidth="1"/>
    <col min="14819" max="14819" width="11.109375" style="62" customWidth="1"/>
    <col min="14820" max="14820" width="10.88671875" style="62" customWidth="1"/>
    <col min="14821" max="14821" width="11.5546875" style="62" customWidth="1"/>
    <col min="14822" max="14822" width="13.44140625" style="62" customWidth="1"/>
    <col min="14823" max="14823" width="11.109375" style="62" customWidth="1"/>
    <col min="14824" max="14824" width="11.33203125" style="62" bestFit="1" customWidth="1"/>
    <col min="14825" max="14825" width="11.5546875" style="62" customWidth="1"/>
    <col min="14826" max="14826" width="8.88671875" style="62"/>
    <col min="14827" max="14827" width="9.88671875" style="62" bestFit="1" customWidth="1"/>
    <col min="14828" max="14828" width="9.109375" style="62" bestFit="1" customWidth="1"/>
    <col min="14829" max="14829" width="9.5546875" style="62" bestFit="1" customWidth="1"/>
    <col min="14830" max="15070" width="9.109375" style="62" bestFit="1" customWidth="1"/>
    <col min="15071" max="15071" width="1.88671875" style="62" customWidth="1"/>
    <col min="15072" max="15072" width="7.33203125" style="62" customWidth="1"/>
    <col min="15073" max="15073" width="9.88671875" style="62" customWidth="1"/>
    <col min="15074" max="15074" width="12.6640625" style="62" customWidth="1"/>
    <col min="15075" max="15075" width="11.109375" style="62" customWidth="1"/>
    <col min="15076" max="15076" width="10.88671875" style="62" customWidth="1"/>
    <col min="15077" max="15077" width="11.5546875" style="62" customWidth="1"/>
    <col min="15078" max="15078" width="13.44140625" style="62" customWidth="1"/>
    <col min="15079" max="15079" width="11.109375" style="62" customWidth="1"/>
    <col min="15080" max="15080" width="11.33203125" style="62" bestFit="1" customWidth="1"/>
    <col min="15081" max="15081" width="11.5546875" style="62" customWidth="1"/>
    <col min="15082" max="15082" width="8.88671875" style="62"/>
    <col min="15083" max="15083" width="9.88671875" style="62" bestFit="1" customWidth="1"/>
    <col min="15084" max="15084" width="9.109375" style="62" bestFit="1" customWidth="1"/>
    <col min="15085" max="15085" width="9.5546875" style="62" bestFit="1" customWidth="1"/>
    <col min="15086" max="15326" width="9.109375" style="62" bestFit="1" customWidth="1"/>
    <col min="15327" max="15327" width="1.88671875" style="62" customWidth="1"/>
    <col min="15328" max="15328" width="7.33203125" style="62" customWidth="1"/>
    <col min="15329" max="15329" width="9.88671875" style="62" customWidth="1"/>
    <col min="15330" max="15330" width="12.6640625" style="62" customWidth="1"/>
    <col min="15331" max="15331" width="11.109375" style="62" customWidth="1"/>
    <col min="15332" max="15332" width="10.88671875" style="62" customWidth="1"/>
    <col min="15333" max="15333" width="11.5546875" style="62" customWidth="1"/>
    <col min="15334" max="15334" width="13.44140625" style="62" customWidth="1"/>
    <col min="15335" max="15335" width="11.109375" style="62" customWidth="1"/>
    <col min="15336" max="15336" width="11.33203125" style="62" bestFit="1" customWidth="1"/>
    <col min="15337" max="15337" width="11.5546875" style="62" customWidth="1"/>
    <col min="15338" max="15338" width="8.88671875" style="62"/>
    <col min="15339" max="15339" width="9.88671875" style="62" bestFit="1" customWidth="1"/>
    <col min="15340" max="15340" width="9.109375" style="62" bestFit="1" customWidth="1"/>
    <col min="15341" max="15341" width="9.5546875" style="62" bestFit="1" customWidth="1"/>
    <col min="15342" max="15582" width="9.109375" style="62" bestFit="1" customWidth="1"/>
    <col min="15583" max="15583" width="1.88671875" style="62" customWidth="1"/>
    <col min="15584" max="15584" width="7.33203125" style="62" customWidth="1"/>
    <col min="15585" max="15585" width="9.88671875" style="62" customWidth="1"/>
    <col min="15586" max="15586" width="12.6640625" style="62" customWidth="1"/>
    <col min="15587" max="15587" width="11.109375" style="62" customWidth="1"/>
    <col min="15588" max="15588" width="10.88671875" style="62" customWidth="1"/>
    <col min="15589" max="15589" width="11.5546875" style="62" customWidth="1"/>
    <col min="15590" max="15590" width="13.44140625" style="62" customWidth="1"/>
    <col min="15591" max="15591" width="11.109375" style="62" customWidth="1"/>
    <col min="15592" max="15592" width="11.33203125" style="62" bestFit="1" customWidth="1"/>
    <col min="15593" max="15593" width="11.5546875" style="62" customWidth="1"/>
    <col min="15594" max="15594" width="8.88671875" style="62"/>
    <col min="15595" max="15595" width="9.88671875" style="62" bestFit="1" customWidth="1"/>
    <col min="15596" max="15596" width="9.109375" style="62" bestFit="1" customWidth="1"/>
    <col min="15597" max="15597" width="9.5546875" style="62" bestFit="1" customWidth="1"/>
    <col min="15598" max="15838" width="9.109375" style="62" bestFit="1" customWidth="1"/>
    <col min="15839" max="15839" width="1.88671875" style="62" customWidth="1"/>
    <col min="15840" max="15840" width="7.33203125" style="62" customWidth="1"/>
    <col min="15841" max="15841" width="9.88671875" style="62" customWidth="1"/>
    <col min="15842" max="15842" width="12.6640625" style="62" customWidth="1"/>
    <col min="15843" max="15843" width="11.109375" style="62" customWidth="1"/>
    <col min="15844" max="15844" width="10.88671875" style="62" customWidth="1"/>
    <col min="15845" max="15845" width="11.5546875" style="62" customWidth="1"/>
    <col min="15846" max="15846" width="13.44140625" style="62" customWidth="1"/>
    <col min="15847" max="15847" width="11.109375" style="62" customWidth="1"/>
    <col min="15848" max="15848" width="11.33203125" style="62" bestFit="1" customWidth="1"/>
    <col min="15849" max="15849" width="11.5546875" style="62" customWidth="1"/>
    <col min="15850" max="15850" width="8.88671875" style="62"/>
    <col min="15851" max="15851" width="9.88671875" style="62" bestFit="1" customWidth="1"/>
    <col min="15852" max="15852" width="9.109375" style="62" bestFit="1" customWidth="1"/>
    <col min="15853" max="15853" width="9.5546875" style="62" bestFit="1" customWidth="1"/>
    <col min="15854" max="16094" width="9.109375" style="62" bestFit="1" customWidth="1"/>
    <col min="16095" max="16095" width="1.88671875" style="62" customWidth="1"/>
    <col min="16096" max="16096" width="7.33203125" style="62" customWidth="1"/>
    <col min="16097" max="16097" width="9.88671875" style="62" customWidth="1"/>
    <col min="16098" max="16098" width="12.6640625" style="62" customWidth="1"/>
    <col min="16099" max="16099" width="11.109375" style="62" customWidth="1"/>
    <col min="16100" max="16100" width="10.88671875" style="62" customWidth="1"/>
    <col min="16101" max="16101" width="11.5546875" style="62" customWidth="1"/>
    <col min="16102" max="16102" width="13.44140625" style="62" customWidth="1"/>
    <col min="16103" max="16103" width="11.109375" style="62" customWidth="1"/>
    <col min="16104" max="16104" width="11.33203125" style="62" bestFit="1" customWidth="1"/>
    <col min="16105" max="16105" width="11.5546875" style="62" customWidth="1"/>
    <col min="16106" max="16106" width="8.88671875" style="62"/>
    <col min="16107" max="16107" width="9.88671875" style="62" bestFit="1" customWidth="1"/>
    <col min="16108" max="16108" width="9.109375" style="62" bestFit="1" customWidth="1"/>
    <col min="16109" max="16109" width="9.5546875" style="62" bestFit="1" customWidth="1"/>
    <col min="16110" max="16384" width="8.88671875" style="62"/>
  </cols>
  <sheetData>
    <row r="1" spans="1:7" ht="17.399999999999999" customHeight="1" x14ac:dyDescent="0.3">
      <c r="A1" s="321" t="s">
        <v>433</v>
      </c>
      <c r="B1" s="322"/>
      <c r="C1" s="322"/>
      <c r="D1" s="323"/>
    </row>
    <row r="2" spans="1:7" ht="13.8" customHeight="1" x14ac:dyDescent="0.3">
      <c r="A2" s="324" t="s">
        <v>434</v>
      </c>
      <c r="B2" s="325"/>
      <c r="C2" s="325"/>
      <c r="D2" s="326"/>
    </row>
    <row r="3" spans="1:7" ht="13.8" customHeight="1" thickBot="1" x14ac:dyDescent="0.35">
      <c r="A3" s="327" t="s">
        <v>41</v>
      </c>
      <c r="B3" s="328"/>
      <c r="C3" s="328"/>
      <c r="D3" s="329"/>
    </row>
    <row r="5" spans="1:7" x14ac:dyDescent="0.3">
      <c r="A5" s="339" t="s">
        <v>585</v>
      </c>
      <c r="B5" s="339"/>
      <c r="C5" s="339"/>
      <c r="D5" s="339"/>
      <c r="G5" s="77"/>
    </row>
    <row r="6" spans="1:7" ht="13.8" thickBot="1" x14ac:dyDescent="0.35">
      <c r="A6" s="330"/>
      <c r="B6" s="330"/>
      <c r="C6" s="330"/>
      <c r="D6" s="330"/>
    </row>
    <row r="7" spans="1:7" ht="13.8" thickBot="1" x14ac:dyDescent="0.35">
      <c r="A7" s="331" t="s">
        <v>138</v>
      </c>
      <c r="B7" s="332"/>
      <c r="C7" s="332"/>
      <c r="D7" s="333"/>
    </row>
    <row r="8" spans="1:7" x14ac:dyDescent="0.3">
      <c r="A8" s="63" t="s">
        <v>139</v>
      </c>
      <c r="B8" s="64" t="s">
        <v>140</v>
      </c>
      <c r="C8" s="65"/>
      <c r="D8" s="66"/>
    </row>
    <row r="9" spans="1:7" x14ac:dyDescent="0.3">
      <c r="A9" s="67" t="s">
        <v>141</v>
      </c>
      <c r="B9" s="68" t="s">
        <v>142</v>
      </c>
      <c r="C9" s="69"/>
      <c r="D9" s="70"/>
    </row>
    <row r="10" spans="1:7" x14ac:dyDescent="0.3">
      <c r="A10" s="67" t="s">
        <v>143</v>
      </c>
      <c r="B10" s="68" t="s">
        <v>144</v>
      </c>
      <c r="C10" s="69"/>
      <c r="D10" s="70"/>
    </row>
    <row r="11" spans="1:7" ht="13.8" thickBot="1" x14ac:dyDescent="0.35">
      <c r="A11" s="71" t="s">
        <v>145</v>
      </c>
      <c r="B11" s="72" t="s">
        <v>146</v>
      </c>
      <c r="C11" s="73"/>
      <c r="D11" s="74"/>
    </row>
    <row r="12" spans="1:7" ht="13.8" thickBot="1" x14ac:dyDescent="0.35">
      <c r="A12" s="75"/>
      <c r="B12" s="76"/>
      <c r="D12" s="78"/>
    </row>
    <row r="13" spans="1:7" ht="13.8" thickBot="1" x14ac:dyDescent="0.35">
      <c r="A13" s="331" t="s">
        <v>147</v>
      </c>
      <c r="B13" s="332"/>
      <c r="C13" s="332"/>
      <c r="D13" s="333"/>
    </row>
    <row r="14" spans="1:7" x14ac:dyDescent="0.3">
      <c r="A14" s="63" t="s">
        <v>148</v>
      </c>
      <c r="B14" s="64" t="s">
        <v>149</v>
      </c>
      <c r="C14" s="79"/>
      <c r="D14" s="180">
        <f>'ENCARREGADO '!D14</f>
        <v>44396</v>
      </c>
    </row>
    <row r="15" spans="1:7" x14ac:dyDescent="0.3">
      <c r="A15" s="67" t="s">
        <v>150</v>
      </c>
      <c r="B15" s="68" t="s">
        <v>151</v>
      </c>
      <c r="C15" s="80"/>
      <c r="D15" s="81" t="str">
        <f>'ENCARREGADO '!D15</f>
        <v>Mossoró/RN</v>
      </c>
    </row>
    <row r="16" spans="1:7" x14ac:dyDescent="0.3">
      <c r="A16" s="67" t="s">
        <v>152</v>
      </c>
      <c r="B16" s="68" t="s">
        <v>153</v>
      </c>
      <c r="C16" s="80"/>
      <c r="D16" s="81" t="s">
        <v>154</v>
      </c>
    </row>
    <row r="17" spans="1:5" x14ac:dyDescent="0.3">
      <c r="A17" s="67" t="s">
        <v>155</v>
      </c>
      <c r="B17" s="68" t="s">
        <v>156</v>
      </c>
      <c r="C17" s="334" t="s">
        <v>157</v>
      </c>
      <c r="D17" s="335"/>
    </row>
    <row r="18" spans="1:5" x14ac:dyDescent="0.3">
      <c r="A18" s="67" t="s">
        <v>158</v>
      </c>
      <c r="B18" s="68" t="s">
        <v>159</v>
      </c>
      <c r="C18" s="82"/>
      <c r="D18" s="83" t="s">
        <v>160</v>
      </c>
    </row>
    <row r="19" spans="1:5" ht="13.8" thickBot="1" x14ac:dyDescent="0.35">
      <c r="A19" s="71" t="s">
        <v>161</v>
      </c>
      <c r="B19" s="84" t="s">
        <v>162</v>
      </c>
      <c r="C19" s="85"/>
      <c r="D19" s="86">
        <v>1045</v>
      </c>
    </row>
    <row r="20" spans="1:5" ht="13.8" thickBot="1" x14ac:dyDescent="0.35">
      <c r="D20" s="78"/>
    </row>
    <row r="21" spans="1:5" ht="13.8" thickBot="1" x14ac:dyDescent="0.35">
      <c r="A21" s="336" t="s">
        <v>163</v>
      </c>
      <c r="B21" s="337"/>
      <c r="C21" s="337"/>
      <c r="D21" s="338"/>
      <c r="E21" s="87"/>
    </row>
    <row r="22" spans="1:5" ht="26.4" customHeight="1" x14ac:dyDescent="0.3">
      <c r="A22" s="67" t="s">
        <v>164</v>
      </c>
      <c r="B22" s="320" t="s">
        <v>165</v>
      </c>
      <c r="C22" s="320"/>
      <c r="D22" s="61" t="s">
        <v>274</v>
      </c>
    </row>
    <row r="23" spans="1:5" ht="13.8" x14ac:dyDescent="0.3">
      <c r="A23" s="67" t="s">
        <v>167</v>
      </c>
      <c r="B23" s="320" t="s">
        <v>168</v>
      </c>
      <c r="C23" s="320"/>
      <c r="D23" s="88" t="s">
        <v>135</v>
      </c>
      <c r="E23" s="89"/>
    </row>
    <row r="24" spans="1:5" x14ac:dyDescent="0.25">
      <c r="A24" s="67" t="s">
        <v>169</v>
      </c>
      <c r="B24" s="320" t="s">
        <v>170</v>
      </c>
      <c r="C24" s="320"/>
      <c r="D24" s="171">
        <v>1420.34</v>
      </c>
      <c r="E24" s="192"/>
    </row>
    <row r="25" spans="1:5" x14ac:dyDescent="0.3">
      <c r="A25" s="67" t="s">
        <v>171</v>
      </c>
      <c r="B25" s="320" t="s">
        <v>172</v>
      </c>
      <c r="C25" s="320"/>
      <c r="D25" s="177" t="str">
        <f>'ENCARREGADO '!D25</f>
        <v>14021.139845/2021-93</v>
      </c>
    </row>
    <row r="26" spans="1:5" x14ac:dyDescent="0.3">
      <c r="A26" s="67" t="s">
        <v>173</v>
      </c>
      <c r="B26" s="320" t="s">
        <v>174</v>
      </c>
      <c r="C26" s="320"/>
      <c r="D26" s="178">
        <f>'ENCARREGADO '!D26</f>
        <v>44293</v>
      </c>
    </row>
    <row r="27" spans="1:5" x14ac:dyDescent="0.3">
      <c r="A27" s="67" t="s">
        <v>175</v>
      </c>
      <c r="B27" s="320" t="s">
        <v>176</v>
      </c>
      <c r="C27" s="320"/>
      <c r="D27" s="179">
        <f>'ENCARREGADO '!D27</f>
        <v>44146</v>
      </c>
    </row>
    <row r="28" spans="1:5" x14ac:dyDescent="0.3">
      <c r="A28" s="67" t="s">
        <v>177</v>
      </c>
      <c r="B28" s="320" t="s">
        <v>178</v>
      </c>
      <c r="C28" s="342"/>
      <c r="D28" s="91" t="s">
        <v>179</v>
      </c>
    </row>
    <row r="29" spans="1:5" x14ac:dyDescent="0.3">
      <c r="A29" s="67" t="s">
        <v>180</v>
      </c>
      <c r="B29" s="320" t="s">
        <v>181</v>
      </c>
      <c r="C29" s="342"/>
      <c r="D29" s="92">
        <v>1</v>
      </c>
    </row>
    <row r="30" spans="1:5" x14ac:dyDescent="0.3">
      <c r="A30" s="67" t="s">
        <v>182</v>
      </c>
      <c r="B30" s="320" t="s">
        <v>183</v>
      </c>
      <c r="C30" s="320"/>
      <c r="D30" s="92">
        <v>1</v>
      </c>
    </row>
    <row r="31" spans="1:5" ht="13.8" thickBot="1" x14ac:dyDescent="0.35">
      <c r="A31" s="71" t="s">
        <v>184</v>
      </c>
      <c r="B31" s="343" t="s">
        <v>296</v>
      </c>
      <c r="C31" s="343"/>
      <c r="D31" s="93">
        <f>D29*D30</f>
        <v>1</v>
      </c>
    </row>
    <row r="32" spans="1:5" ht="13.8" thickBot="1" x14ac:dyDescent="0.35">
      <c r="A32" s="94"/>
      <c r="B32" s="95"/>
      <c r="C32" s="95"/>
      <c r="D32" s="96"/>
    </row>
    <row r="33" spans="1:5" x14ac:dyDescent="0.3">
      <c r="A33" s="344" t="s">
        <v>8</v>
      </c>
      <c r="B33" s="345"/>
      <c r="C33" s="345"/>
      <c r="D33" s="346"/>
    </row>
    <row r="34" spans="1:5" x14ac:dyDescent="0.3">
      <c r="A34" s="347" t="s">
        <v>185</v>
      </c>
      <c r="B34" s="348"/>
      <c r="C34" s="349"/>
      <c r="D34" s="97" t="s">
        <v>186</v>
      </c>
    </row>
    <row r="35" spans="1:5" x14ac:dyDescent="0.3">
      <c r="A35" s="98" t="s">
        <v>187</v>
      </c>
      <c r="B35" s="350" t="s">
        <v>188</v>
      </c>
      <c r="C35" s="350"/>
      <c r="D35" s="176">
        <f>D24</f>
        <v>1420.34</v>
      </c>
      <c r="E35" s="99"/>
    </row>
    <row r="36" spans="1:5" x14ac:dyDescent="0.3">
      <c r="A36" s="98" t="s">
        <v>189</v>
      </c>
      <c r="B36" s="100" t="s">
        <v>190</v>
      </c>
      <c r="C36" s="101">
        <f>IF(D35="","",((D19)*(40%)))</f>
        <v>418</v>
      </c>
      <c r="D36" s="102">
        <f>IF(D35=0,"",IF(C36&gt;C37,C36,0))</f>
        <v>418</v>
      </c>
      <c r="E36" s="99"/>
    </row>
    <row r="37" spans="1:5" x14ac:dyDescent="0.3">
      <c r="A37" s="98" t="s">
        <v>191</v>
      </c>
      <c r="B37" s="103" t="s">
        <v>192</v>
      </c>
      <c r="C37" s="101">
        <f>D35*0.2</f>
        <v>284.06799999999998</v>
      </c>
      <c r="D37" s="102">
        <f>IF(C37&gt;C36,C37,0)</f>
        <v>0</v>
      </c>
      <c r="E37" s="99"/>
    </row>
    <row r="38" spans="1:5" ht="13.8" thickBot="1" x14ac:dyDescent="0.35">
      <c r="A38" s="351" t="s">
        <v>9</v>
      </c>
      <c r="B38" s="352"/>
      <c r="C38" s="352"/>
      <c r="D38" s="104">
        <f>SUM(D35:D37)</f>
        <v>1838.34</v>
      </c>
      <c r="E38" s="105"/>
    </row>
    <row r="39" spans="1:5" ht="13.8" thickBot="1" x14ac:dyDescent="0.35">
      <c r="A39" s="106"/>
      <c r="B39" s="106"/>
      <c r="C39" s="106"/>
      <c r="D39" s="106"/>
    </row>
    <row r="40" spans="1:5" x14ac:dyDescent="0.3">
      <c r="A40" s="344" t="s">
        <v>193</v>
      </c>
      <c r="B40" s="345"/>
      <c r="C40" s="345"/>
      <c r="D40" s="346"/>
    </row>
    <row r="41" spans="1:5" x14ac:dyDescent="0.3">
      <c r="A41" s="340" t="s">
        <v>194</v>
      </c>
      <c r="B41" s="341"/>
      <c r="C41" s="107" t="s">
        <v>195</v>
      </c>
      <c r="D41" s="108" t="s">
        <v>7</v>
      </c>
    </row>
    <row r="42" spans="1:5" x14ac:dyDescent="0.3">
      <c r="A42" s="67" t="s">
        <v>187</v>
      </c>
      <c r="B42" s="109" t="s">
        <v>263</v>
      </c>
      <c r="C42" s="110">
        <v>8.3299999999999999E-2</v>
      </c>
      <c r="D42" s="111">
        <f>(D38)*($C$42)</f>
        <v>153.13372199999998</v>
      </c>
    </row>
    <row r="43" spans="1:5" x14ac:dyDescent="0.3">
      <c r="A43" s="67" t="s">
        <v>189</v>
      </c>
      <c r="B43" s="109" t="s">
        <v>196</v>
      </c>
      <c r="C43" s="110">
        <f>12.1%-C86</f>
        <v>0.11899999999999999</v>
      </c>
      <c r="D43" s="111">
        <f>(D38)*($C$43)</f>
        <v>218.76245999999998</v>
      </c>
      <c r="E43" s="105"/>
    </row>
    <row r="44" spans="1:5" x14ac:dyDescent="0.3">
      <c r="A44" s="353" t="s">
        <v>197</v>
      </c>
      <c r="B44" s="354"/>
      <c r="C44" s="112">
        <f>SUM(C42:C43)</f>
        <v>0.20229999999999998</v>
      </c>
      <c r="D44" s="113">
        <f>SUM(D42:D43)</f>
        <v>371.89618199999995</v>
      </c>
    </row>
    <row r="45" spans="1:5" x14ac:dyDescent="0.3">
      <c r="A45" s="340" t="s">
        <v>198</v>
      </c>
      <c r="B45" s="341"/>
      <c r="C45" s="107" t="s">
        <v>195</v>
      </c>
      <c r="D45" s="114" t="s">
        <v>7</v>
      </c>
    </row>
    <row r="46" spans="1:5" x14ac:dyDescent="0.3">
      <c r="A46" s="67" t="s">
        <v>187</v>
      </c>
      <c r="B46" s="115" t="s">
        <v>264</v>
      </c>
      <c r="C46" s="267">
        <v>0.2</v>
      </c>
      <c r="D46" s="111">
        <f t="shared" ref="D46:D53" si="0">($D$38+$D$44)*(C46)</f>
        <v>442.04723639999997</v>
      </c>
    </row>
    <row r="47" spans="1:5" x14ac:dyDescent="0.3">
      <c r="A47" s="67" t="s">
        <v>189</v>
      </c>
      <c r="B47" s="115" t="s">
        <v>265</v>
      </c>
      <c r="C47" s="266">
        <v>2.5000000000000001E-2</v>
      </c>
      <c r="D47" s="111">
        <f t="shared" si="0"/>
        <v>55.255904549999997</v>
      </c>
    </row>
    <row r="48" spans="1:5" x14ac:dyDescent="0.3">
      <c r="A48" s="67" t="s">
        <v>199</v>
      </c>
      <c r="B48" s="115" t="s">
        <v>266</v>
      </c>
      <c r="C48" s="167">
        <v>0.06</v>
      </c>
      <c r="D48" s="111">
        <f t="shared" si="0"/>
        <v>132.61417091999996</v>
      </c>
      <c r="E48" s="116"/>
    </row>
    <row r="49" spans="1:5" x14ac:dyDescent="0.3">
      <c r="A49" s="67" t="s">
        <v>200</v>
      </c>
      <c r="B49" s="115" t="s">
        <v>267</v>
      </c>
      <c r="C49" s="266">
        <v>1.4999999999999999E-2</v>
      </c>
      <c r="D49" s="111">
        <f t="shared" si="0"/>
        <v>33.153542729999991</v>
      </c>
    </row>
    <row r="50" spans="1:5" x14ac:dyDescent="0.3">
      <c r="A50" s="67" t="s">
        <v>201</v>
      </c>
      <c r="B50" s="115" t="s">
        <v>268</v>
      </c>
      <c r="C50" s="266">
        <v>0.01</v>
      </c>
      <c r="D50" s="111">
        <f t="shared" si="0"/>
        <v>22.102361819999995</v>
      </c>
    </row>
    <row r="51" spans="1:5" x14ac:dyDescent="0.3">
      <c r="A51" s="67" t="s">
        <v>202</v>
      </c>
      <c r="B51" s="117" t="s">
        <v>269</v>
      </c>
      <c r="C51" s="266">
        <v>6.0000000000000001E-3</v>
      </c>
      <c r="D51" s="111">
        <f t="shared" si="0"/>
        <v>13.261417091999999</v>
      </c>
    </row>
    <row r="52" spans="1:5" x14ac:dyDescent="0.3">
      <c r="A52" s="67" t="s">
        <v>203</v>
      </c>
      <c r="B52" s="115" t="s">
        <v>270</v>
      </c>
      <c r="C52" s="266">
        <v>2E-3</v>
      </c>
      <c r="D52" s="111">
        <f t="shared" si="0"/>
        <v>4.4204723639999992</v>
      </c>
    </row>
    <row r="53" spans="1:5" x14ac:dyDescent="0.3">
      <c r="A53" s="67" t="s">
        <v>204</v>
      </c>
      <c r="B53" s="115" t="s">
        <v>271</v>
      </c>
      <c r="C53" s="266">
        <v>0.08</v>
      </c>
      <c r="D53" s="111">
        <f t="shared" si="0"/>
        <v>176.81889455999996</v>
      </c>
      <c r="E53" s="105"/>
    </row>
    <row r="54" spans="1:5" x14ac:dyDescent="0.3">
      <c r="A54" s="353" t="s">
        <v>205</v>
      </c>
      <c r="B54" s="354"/>
      <c r="C54" s="118">
        <f>SUM(C46:C53)</f>
        <v>0.39800000000000008</v>
      </c>
      <c r="D54" s="119">
        <f>SUM(D46:D53)</f>
        <v>879.67400043599991</v>
      </c>
    </row>
    <row r="55" spans="1:5" x14ac:dyDescent="0.3">
      <c r="A55" s="340" t="s">
        <v>11</v>
      </c>
      <c r="B55" s="341"/>
      <c r="C55" s="120" t="s">
        <v>206</v>
      </c>
      <c r="D55" s="97" t="s">
        <v>7</v>
      </c>
    </row>
    <row r="56" spans="1:5" x14ac:dyDescent="0.25">
      <c r="A56" s="67" t="s">
        <v>187</v>
      </c>
      <c r="B56" s="121" t="s">
        <v>207</v>
      </c>
      <c r="C56" s="173">
        <f>'ENCARREGADO '!C56</f>
        <v>6.6</v>
      </c>
      <c r="D56" s="122">
        <f>IF((C56*22)-(D35*6%)&lt;0,0,(C56*22)-(D35*6%))</f>
        <v>59.979599999999991</v>
      </c>
      <c r="E56" s="191" t="str">
        <f>'ENCARREGADO '!E56</f>
        <v>Valor da passagem Local</v>
      </c>
    </row>
    <row r="57" spans="1:5" x14ac:dyDescent="0.25">
      <c r="A57" s="67" t="s">
        <v>189</v>
      </c>
      <c r="B57" s="121" t="s">
        <v>208</v>
      </c>
      <c r="C57" s="173">
        <f>'ENCARREGADO '!C57</f>
        <v>8.35</v>
      </c>
      <c r="D57" s="123">
        <f>(C57)*22</f>
        <v>183.7</v>
      </c>
      <c r="E57" s="191" t="str">
        <f>'ENCARREGADO '!E57</f>
        <v>CLÁUSULA DÉCIMA SEXTA - CESTA BÁSICA. CCT: RN000104/2021</v>
      </c>
    </row>
    <row r="58" spans="1:5" x14ac:dyDescent="0.25">
      <c r="A58" s="67" t="s">
        <v>307</v>
      </c>
      <c r="B58" s="121" t="s">
        <v>308</v>
      </c>
      <c r="C58" s="173">
        <f>'ENCARREGADO '!C58</f>
        <v>0</v>
      </c>
      <c r="D58" s="123">
        <f>(C58)*22</f>
        <v>0</v>
      </c>
      <c r="E58" s="191">
        <f>'ENCARREGADO '!E58</f>
        <v>0</v>
      </c>
    </row>
    <row r="59" spans="1:5" x14ac:dyDescent="0.3">
      <c r="A59" s="67" t="s">
        <v>199</v>
      </c>
      <c r="B59" s="121" t="s">
        <v>209</v>
      </c>
      <c r="C59" s="173">
        <f>'ENCARREGADO '!C59</f>
        <v>0</v>
      </c>
      <c r="D59" s="123">
        <f>($C$59)</f>
        <v>0</v>
      </c>
      <c r="E59" s="99" t="s">
        <v>280</v>
      </c>
    </row>
    <row r="60" spans="1:5" x14ac:dyDescent="0.3">
      <c r="A60" s="67" t="s">
        <v>200</v>
      </c>
      <c r="B60" s="121" t="s">
        <v>210</v>
      </c>
      <c r="C60" s="175">
        <v>0</v>
      </c>
      <c r="D60" s="123">
        <f>($C$60)</f>
        <v>0</v>
      </c>
      <c r="E60" s="124"/>
    </row>
    <row r="61" spans="1:5" x14ac:dyDescent="0.3">
      <c r="A61" s="67" t="s">
        <v>201</v>
      </c>
      <c r="B61" s="121" t="s">
        <v>211</v>
      </c>
      <c r="C61" s="175">
        <v>0</v>
      </c>
      <c r="D61" s="123">
        <f>$C$61</f>
        <v>0</v>
      </c>
      <c r="E61" s="125"/>
    </row>
    <row r="62" spans="1:5" x14ac:dyDescent="0.3">
      <c r="A62" s="67" t="s">
        <v>212</v>
      </c>
      <c r="B62" s="121" t="s">
        <v>213</v>
      </c>
      <c r="C62" s="175">
        <v>0</v>
      </c>
      <c r="D62" s="123">
        <f>$C$62</f>
        <v>0</v>
      </c>
      <c r="E62" s="124"/>
    </row>
    <row r="63" spans="1:5" x14ac:dyDescent="0.3">
      <c r="A63" s="355" t="s">
        <v>214</v>
      </c>
      <c r="B63" s="356"/>
      <c r="C63" s="126"/>
      <c r="D63" s="127">
        <f>SUM(D56:D62)</f>
        <v>243.67959999999999</v>
      </c>
    </row>
    <row r="64" spans="1:5" hidden="1" x14ac:dyDescent="0.3">
      <c r="A64" s="347" t="s">
        <v>215</v>
      </c>
      <c r="B64" s="349"/>
      <c r="C64" s="107" t="s">
        <v>216</v>
      </c>
      <c r="D64" s="97" t="s">
        <v>7</v>
      </c>
    </row>
    <row r="65" spans="1:4" hidden="1" x14ac:dyDescent="0.3">
      <c r="A65" s="67" t="s">
        <v>187</v>
      </c>
      <c r="B65" s="109" t="s">
        <v>217</v>
      </c>
      <c r="C65" s="128">
        <v>0</v>
      </c>
      <c r="D65" s="129">
        <f>(D38/220)*150%*0.5*C65</f>
        <v>0</v>
      </c>
    </row>
    <row r="66" spans="1:4" ht="13.8" hidden="1" thickBot="1" x14ac:dyDescent="0.35">
      <c r="A66" s="357" t="s">
        <v>218</v>
      </c>
      <c r="B66" s="358"/>
      <c r="C66" s="130"/>
      <c r="D66" s="131">
        <f>D65</f>
        <v>0</v>
      </c>
    </row>
    <row r="67" spans="1:4" x14ac:dyDescent="0.3">
      <c r="A67" s="359" t="s">
        <v>219</v>
      </c>
      <c r="B67" s="360"/>
      <c r="C67" s="341"/>
      <c r="D67" s="361"/>
    </row>
    <row r="68" spans="1:4" ht="39.6" x14ac:dyDescent="0.3">
      <c r="A68" s="132" t="s">
        <v>220</v>
      </c>
      <c r="B68" s="362" t="s">
        <v>221</v>
      </c>
      <c r="C68" s="362"/>
      <c r="D68" s="133">
        <f>(D44)</f>
        <v>371.89618199999995</v>
      </c>
    </row>
    <row r="69" spans="1:4" ht="39.6" x14ac:dyDescent="0.3">
      <c r="A69" s="132" t="s">
        <v>222</v>
      </c>
      <c r="B69" s="362" t="s">
        <v>223</v>
      </c>
      <c r="C69" s="362"/>
      <c r="D69" s="133">
        <f>(D54)</f>
        <v>879.67400043599991</v>
      </c>
    </row>
    <row r="70" spans="1:4" ht="39.6" x14ac:dyDescent="0.3">
      <c r="A70" s="132" t="s">
        <v>224</v>
      </c>
      <c r="B70" s="362" t="s">
        <v>14</v>
      </c>
      <c r="C70" s="362"/>
      <c r="D70" s="133">
        <f>(D63)</f>
        <v>243.67959999999999</v>
      </c>
    </row>
    <row r="71" spans="1:4" ht="26.4" x14ac:dyDescent="0.3">
      <c r="A71" s="132" t="s">
        <v>54</v>
      </c>
      <c r="B71" s="362" t="s">
        <v>225</v>
      </c>
      <c r="C71" s="363"/>
      <c r="D71" s="133">
        <f>D66</f>
        <v>0</v>
      </c>
    </row>
    <row r="72" spans="1:4" ht="13.8" thickBot="1" x14ac:dyDescent="0.35">
      <c r="A72" s="357" t="s">
        <v>15</v>
      </c>
      <c r="B72" s="364"/>
      <c r="C72" s="364"/>
      <c r="D72" s="134">
        <f>SUM(D68:D71)</f>
        <v>1495.2497824359998</v>
      </c>
    </row>
    <row r="73" spans="1:4" ht="13.8" thickBot="1" x14ac:dyDescent="0.35">
      <c r="A73" s="135"/>
      <c r="B73" s="135"/>
      <c r="C73" s="135"/>
      <c r="D73" s="135"/>
    </row>
    <row r="74" spans="1:4" x14ac:dyDescent="0.3">
      <c r="A74" s="344" t="s">
        <v>226</v>
      </c>
      <c r="B74" s="345"/>
      <c r="C74" s="345"/>
      <c r="D74" s="346"/>
    </row>
    <row r="75" spans="1:4" x14ac:dyDescent="0.3">
      <c r="A75" s="340" t="s">
        <v>227</v>
      </c>
      <c r="B75" s="341"/>
      <c r="C75" s="107" t="s">
        <v>195</v>
      </c>
      <c r="D75" s="97" t="s">
        <v>7</v>
      </c>
    </row>
    <row r="76" spans="1:4" x14ac:dyDescent="0.3">
      <c r="A76" s="67" t="s">
        <v>187</v>
      </c>
      <c r="B76" s="109" t="s">
        <v>228</v>
      </c>
      <c r="C76" s="136">
        <v>4.1999999999999997E-3</v>
      </c>
      <c r="D76" s="137">
        <f t="shared" ref="D76:D81" si="1">($D$38)*(C76)</f>
        <v>7.7210279999999996</v>
      </c>
    </row>
    <row r="77" spans="1:4" x14ac:dyDescent="0.3">
      <c r="A77" s="67" t="s">
        <v>189</v>
      </c>
      <c r="B77" s="109" t="s">
        <v>16</v>
      </c>
      <c r="C77" s="136">
        <f>($C$53)*(C76)</f>
        <v>3.3599999999999998E-4</v>
      </c>
      <c r="D77" s="137">
        <f t="shared" si="1"/>
        <v>0.61768223999999994</v>
      </c>
    </row>
    <row r="78" spans="1:4" x14ac:dyDescent="0.3">
      <c r="A78" s="67" t="s">
        <v>199</v>
      </c>
      <c r="B78" s="109" t="s">
        <v>229</v>
      </c>
      <c r="C78" s="136">
        <v>3.9199999999999999E-2</v>
      </c>
      <c r="D78" s="137">
        <f t="shared" si="1"/>
        <v>72.062927999999999</v>
      </c>
    </row>
    <row r="79" spans="1:4" x14ac:dyDescent="0.3">
      <c r="A79" s="67" t="s">
        <v>200</v>
      </c>
      <c r="B79" s="109" t="s">
        <v>272</v>
      </c>
      <c r="C79" s="136">
        <v>1.9400000000000001E-2</v>
      </c>
      <c r="D79" s="137">
        <f t="shared" si="1"/>
        <v>35.663795999999998</v>
      </c>
    </row>
    <row r="80" spans="1:4" x14ac:dyDescent="0.3">
      <c r="A80" s="67" t="s">
        <v>201</v>
      </c>
      <c r="B80" s="109" t="s">
        <v>230</v>
      </c>
      <c r="C80" s="136">
        <f>($C$54)*(C79)</f>
        <v>7.7212000000000018E-3</v>
      </c>
      <c r="D80" s="137">
        <f t="shared" si="1"/>
        <v>14.194190808000002</v>
      </c>
    </row>
    <row r="81" spans="1:5" x14ac:dyDescent="0.3">
      <c r="A81" s="67" t="s">
        <v>202</v>
      </c>
      <c r="B81" s="109" t="s">
        <v>231</v>
      </c>
      <c r="C81" s="136">
        <v>8.0000000000000004E-4</v>
      </c>
      <c r="D81" s="137">
        <f t="shared" si="1"/>
        <v>1.470672</v>
      </c>
    </row>
    <row r="82" spans="1:5" ht="13.8" thickBot="1" x14ac:dyDescent="0.35">
      <c r="A82" s="357" t="s">
        <v>17</v>
      </c>
      <c r="B82" s="364"/>
      <c r="C82" s="138">
        <f>SUM(C76:C81)</f>
        <v>7.165719999999999E-2</v>
      </c>
      <c r="D82" s="134">
        <f>SUM(D76:D81)</f>
        <v>131.73029704800001</v>
      </c>
    </row>
    <row r="83" spans="1:5" ht="13.8" thickBot="1" x14ac:dyDescent="0.35">
      <c r="A83" s="135"/>
      <c r="B83" s="116"/>
      <c r="C83" s="116"/>
      <c r="D83" s="116"/>
    </row>
    <row r="84" spans="1:5" x14ac:dyDescent="0.3">
      <c r="A84" s="344" t="s">
        <v>232</v>
      </c>
      <c r="B84" s="345"/>
      <c r="C84" s="345"/>
      <c r="D84" s="346"/>
    </row>
    <row r="85" spans="1:5" x14ac:dyDescent="0.3">
      <c r="A85" s="347" t="s">
        <v>18</v>
      </c>
      <c r="B85" s="348"/>
      <c r="C85" s="107" t="s">
        <v>195</v>
      </c>
      <c r="D85" s="97" t="s">
        <v>7</v>
      </c>
    </row>
    <row r="86" spans="1:5" x14ac:dyDescent="0.3">
      <c r="A86" s="67" t="s">
        <v>187</v>
      </c>
      <c r="B86" s="109" t="s">
        <v>233</v>
      </c>
      <c r="C86" s="172">
        <f>'ENCARREGADO '!C86</f>
        <v>2E-3</v>
      </c>
      <c r="D86" s="137">
        <f>($D$38+$D$44+$D$54+$D$63+$D$82)*(C86)</f>
        <v>6.9306401589679991</v>
      </c>
      <c r="E86" s="139"/>
    </row>
    <row r="87" spans="1:5" x14ac:dyDescent="0.3">
      <c r="A87" s="67" t="s">
        <v>189</v>
      </c>
      <c r="B87" s="109" t="s">
        <v>234</v>
      </c>
      <c r="C87" s="172">
        <f>'ENCARREGADO '!C87</f>
        <v>2.7000000000000001E-3</v>
      </c>
      <c r="D87" s="137">
        <f>($D$38+$D$44+$D$54+$D$63+$D$82)*(C87)</f>
        <v>9.3563642146067991</v>
      </c>
    </row>
    <row r="88" spans="1:5" x14ac:dyDescent="0.3">
      <c r="A88" s="67" t="s">
        <v>199</v>
      </c>
      <c r="B88" s="109" t="s">
        <v>235</v>
      </c>
      <c r="C88" s="172">
        <f>'ENCARREGADO '!C88</f>
        <v>2.0000000000000001E-4</v>
      </c>
      <c r="D88" s="137">
        <f>($D$38+$D$44+$D$54+$D$63+$D$82)*(C88)</f>
        <v>0.69306401589679989</v>
      </c>
    </row>
    <row r="89" spans="1:5" x14ac:dyDescent="0.3">
      <c r="A89" s="67" t="s">
        <v>200</v>
      </c>
      <c r="B89" s="109" t="s">
        <v>236</v>
      </c>
      <c r="C89" s="172">
        <f>'ENCARREGADO '!C89</f>
        <v>3.3E-3</v>
      </c>
      <c r="D89" s="137">
        <f>($D$38+$D$44+$D$54+$D$63+$D$82)*(C89)</f>
        <v>11.435556262297199</v>
      </c>
    </row>
    <row r="90" spans="1:5" x14ac:dyDescent="0.3">
      <c r="A90" s="67" t="s">
        <v>201</v>
      </c>
      <c r="B90" s="140" t="s">
        <v>237</v>
      </c>
      <c r="C90" s="172">
        <f>'ENCARREGADO '!C90</f>
        <v>5.0000000000000001E-4</v>
      </c>
      <c r="D90" s="137">
        <f>($D$38+$D$44+$D$54+$D$63+$D$82)*(C90)</f>
        <v>1.7326600397419998</v>
      </c>
    </row>
    <row r="91" spans="1:5" x14ac:dyDescent="0.3">
      <c r="A91" s="355" t="s">
        <v>238</v>
      </c>
      <c r="B91" s="356"/>
      <c r="C91" s="141">
        <f>SUM(C86:C90)</f>
        <v>8.6999999999999994E-3</v>
      </c>
      <c r="D91" s="142">
        <f>SUM(D86:D90)</f>
        <v>30.148284691510796</v>
      </c>
    </row>
    <row r="92" spans="1:5" x14ac:dyDescent="0.3">
      <c r="A92" s="347" t="s">
        <v>20</v>
      </c>
      <c r="B92" s="348"/>
      <c r="C92" s="107"/>
      <c r="D92" s="97" t="s">
        <v>7</v>
      </c>
    </row>
    <row r="93" spans="1:5" x14ac:dyDescent="0.3">
      <c r="A93" s="67" t="s">
        <v>187</v>
      </c>
      <c r="B93" s="109" t="s">
        <v>21</v>
      </c>
      <c r="C93" s="143"/>
      <c r="D93" s="144"/>
    </row>
    <row r="94" spans="1:5" ht="13.8" thickBot="1" x14ac:dyDescent="0.35">
      <c r="A94" s="357" t="s">
        <v>239</v>
      </c>
      <c r="B94" s="364"/>
      <c r="C94" s="130"/>
      <c r="D94" s="131">
        <f>D93</f>
        <v>0</v>
      </c>
    </row>
    <row r="95" spans="1:5" x14ac:dyDescent="0.3">
      <c r="A95" s="367" t="s">
        <v>240</v>
      </c>
      <c r="B95" s="368"/>
      <c r="C95" s="368"/>
      <c r="D95" s="369"/>
    </row>
    <row r="96" spans="1:5" ht="39.6" x14ac:dyDescent="0.3">
      <c r="A96" s="132" t="s">
        <v>241</v>
      </c>
      <c r="B96" s="370" t="s">
        <v>19</v>
      </c>
      <c r="C96" s="371"/>
      <c r="D96" s="133">
        <f>(D91)</f>
        <v>30.148284691510796</v>
      </c>
    </row>
    <row r="97" spans="1:5" x14ac:dyDescent="0.3">
      <c r="A97" s="67" t="s">
        <v>242</v>
      </c>
      <c r="B97" s="372" t="s">
        <v>21</v>
      </c>
      <c r="C97" s="373"/>
      <c r="D97" s="137">
        <f>D94</f>
        <v>0</v>
      </c>
    </row>
    <row r="98" spans="1:5" ht="13.8" thickBot="1" x14ac:dyDescent="0.35">
      <c r="A98" s="357" t="s">
        <v>25</v>
      </c>
      <c r="B98" s="364"/>
      <c r="C98" s="358"/>
      <c r="D98" s="134">
        <f>SUM(D96:D97)</f>
        <v>30.148284691510796</v>
      </c>
    </row>
    <row r="99" spans="1:5" ht="13.8" thickBot="1" x14ac:dyDescent="0.35">
      <c r="A99" s="135"/>
      <c r="B99" s="135"/>
      <c r="C99" s="135"/>
      <c r="D99" s="135"/>
    </row>
    <row r="100" spans="1:5" x14ac:dyDescent="0.3">
      <c r="A100" s="344" t="s">
        <v>243</v>
      </c>
      <c r="B100" s="345"/>
      <c r="C100" s="345"/>
      <c r="D100" s="346"/>
    </row>
    <row r="101" spans="1:5" x14ac:dyDescent="0.3">
      <c r="A101" s="340" t="s">
        <v>244</v>
      </c>
      <c r="B101" s="341"/>
      <c r="C101" s="341"/>
      <c r="D101" s="97" t="s">
        <v>7</v>
      </c>
    </row>
    <row r="102" spans="1:5" x14ac:dyDescent="0.3">
      <c r="A102" s="67" t="s">
        <v>187</v>
      </c>
      <c r="B102" s="145" t="s">
        <v>27</v>
      </c>
      <c r="C102" s="146"/>
      <c r="D102" s="170">
        <f>'ENCARREGADO '!D102</f>
        <v>3.09</v>
      </c>
    </row>
    <row r="103" spans="1:5" x14ac:dyDescent="0.3">
      <c r="A103" s="67" t="s">
        <v>245</v>
      </c>
      <c r="B103" s="145" t="s">
        <v>26</v>
      </c>
      <c r="C103" s="146"/>
      <c r="D103" s="170">
        <f>'ENCARREGADO '!D103</f>
        <v>28.445833333333336</v>
      </c>
    </row>
    <row r="104" spans="1:5" x14ac:dyDescent="0.3">
      <c r="A104" s="67" t="s">
        <v>199</v>
      </c>
      <c r="B104" s="145" t="s">
        <v>27</v>
      </c>
      <c r="C104" s="146"/>
      <c r="D104" s="171">
        <v>23.37</v>
      </c>
      <c r="E104" s="62" t="s">
        <v>287</v>
      </c>
    </row>
    <row r="105" spans="1:5" x14ac:dyDescent="0.3">
      <c r="A105" s="67" t="s">
        <v>200</v>
      </c>
      <c r="B105" s="145" t="s">
        <v>28</v>
      </c>
      <c r="C105" s="146"/>
      <c r="D105" s="171">
        <v>53.34</v>
      </c>
      <c r="E105" s="62" t="s">
        <v>288</v>
      </c>
    </row>
    <row r="106" spans="1:5" x14ac:dyDescent="0.3">
      <c r="A106" s="67" t="s">
        <v>199</v>
      </c>
      <c r="B106" s="145" t="s">
        <v>29</v>
      </c>
      <c r="C106" s="146"/>
      <c r="D106" s="171">
        <v>151.31</v>
      </c>
      <c r="E106" s="62" t="s">
        <v>289</v>
      </c>
    </row>
    <row r="107" spans="1:5" ht="13.8" thickBot="1" x14ac:dyDescent="0.35">
      <c r="A107" s="357" t="s">
        <v>30</v>
      </c>
      <c r="B107" s="358"/>
      <c r="C107" s="147">
        <f>C102</f>
        <v>0</v>
      </c>
      <c r="D107" s="148">
        <f>SUM(D102:D106)</f>
        <v>259.55583333333334</v>
      </c>
    </row>
    <row r="108" spans="1:5" ht="13.8" thickBot="1" x14ac:dyDescent="0.35">
      <c r="A108" s="149"/>
      <c r="B108" s="150"/>
      <c r="C108" s="150"/>
      <c r="D108" s="151"/>
    </row>
    <row r="109" spans="1:5" x14ac:dyDescent="0.3">
      <c r="A109" s="374" t="s">
        <v>246</v>
      </c>
      <c r="B109" s="375"/>
      <c r="C109" s="375"/>
      <c r="D109" s="376"/>
    </row>
    <row r="110" spans="1:5" x14ac:dyDescent="0.3">
      <c r="A110" s="365" t="s">
        <v>247</v>
      </c>
      <c r="B110" s="366"/>
      <c r="C110" s="107" t="s">
        <v>195</v>
      </c>
      <c r="D110" s="152" t="s">
        <v>7</v>
      </c>
    </row>
    <row r="111" spans="1:5" x14ac:dyDescent="0.3">
      <c r="A111" s="67" t="s">
        <v>187</v>
      </c>
      <c r="B111" s="153" t="s">
        <v>31</v>
      </c>
      <c r="C111" s="110"/>
      <c r="D111" s="137">
        <f>SUM(D112:D113)</f>
        <v>450.60290370106128</v>
      </c>
      <c r="E111" s="154"/>
    </row>
    <row r="112" spans="1:5" x14ac:dyDescent="0.3">
      <c r="A112" s="67"/>
      <c r="B112" s="153" t="s">
        <v>262</v>
      </c>
      <c r="C112" s="167">
        <f>'ENCARREGADO '!C112</f>
        <v>0.12</v>
      </c>
      <c r="D112" s="137">
        <f>(D38+D72+D82+D98+D107)*C112</f>
        <v>450.60290370106128</v>
      </c>
      <c r="E112" s="154"/>
    </row>
    <row r="113" spans="1:5" ht="26.4" x14ac:dyDescent="0.3">
      <c r="A113" s="67"/>
      <c r="B113" s="230" t="s">
        <v>439</v>
      </c>
      <c r="C113" s="110"/>
      <c r="D113" s="169"/>
      <c r="E113" s="62" t="str">
        <f>'ENCARREGADO '!E113</f>
        <v>Memória de cálculo na C141</v>
      </c>
    </row>
    <row r="114" spans="1:5" x14ac:dyDescent="0.3">
      <c r="A114" s="67" t="s">
        <v>189</v>
      </c>
      <c r="B114" s="153" t="s">
        <v>32</v>
      </c>
      <c r="C114" s="167">
        <f>'ENCARREGADO '!C114</f>
        <v>0.1</v>
      </c>
      <c r="D114" s="137">
        <f>(D38+D72+D82+D98+D107+D111)*C114</f>
        <v>420.56271012099063</v>
      </c>
      <c r="E114" s="154"/>
    </row>
    <row r="115" spans="1:5" x14ac:dyDescent="0.3">
      <c r="A115" s="379" t="s">
        <v>199</v>
      </c>
      <c r="B115" s="117" t="s">
        <v>248</v>
      </c>
      <c r="C115" s="155">
        <f>C116+C117+C120</f>
        <v>0.14250000000000002</v>
      </c>
      <c r="D115" s="156"/>
    </row>
    <row r="116" spans="1:5" x14ac:dyDescent="0.3">
      <c r="A116" s="379"/>
      <c r="B116" s="157" t="s">
        <v>249</v>
      </c>
      <c r="C116" s="167">
        <f>'ENCARREGADO '!C116</f>
        <v>1.6500000000000001E-2</v>
      </c>
      <c r="D116" s="137">
        <f>((D38+D72+D82+D98+D107+D111+D114)/(1-C115))*C116</f>
        <v>89.017063425026009</v>
      </c>
    </row>
    <row r="117" spans="1:5" x14ac:dyDescent="0.3">
      <c r="A117" s="379"/>
      <c r="B117" s="157" t="s">
        <v>250</v>
      </c>
      <c r="C117" s="167">
        <f>'ENCARREGADO '!C117</f>
        <v>7.5999999999999998E-2</v>
      </c>
      <c r="D117" s="137">
        <f>((D38+D72+D82+D98+D107+D111+D114)/(1-C115))*C117</f>
        <v>410.0179891092107</v>
      </c>
    </row>
    <row r="118" spans="1:5" x14ac:dyDescent="0.3">
      <c r="A118" s="379"/>
      <c r="B118" s="117" t="s">
        <v>251</v>
      </c>
      <c r="C118" s="167">
        <f>'ENCARREGADO '!C118</f>
        <v>0</v>
      </c>
      <c r="D118" s="137"/>
    </row>
    <row r="119" spans="1:5" x14ac:dyDescent="0.3">
      <c r="A119" s="379"/>
      <c r="B119" s="117" t="s">
        <v>252</v>
      </c>
      <c r="C119" s="167">
        <f>'ENCARREGADO '!C119</f>
        <v>0</v>
      </c>
      <c r="D119" s="137"/>
    </row>
    <row r="120" spans="1:5" x14ac:dyDescent="0.3">
      <c r="A120" s="379"/>
      <c r="B120" s="157" t="s">
        <v>253</v>
      </c>
      <c r="C120" s="167">
        <f>'ENCARREGADO '!C120</f>
        <v>0.05</v>
      </c>
      <c r="D120" s="137">
        <f>((D38+D72+D82+D98+D107+D111+D114)/(1-C115))*C120</f>
        <v>269.74867704553338</v>
      </c>
    </row>
    <row r="121" spans="1:5" ht="13.8" thickBot="1" x14ac:dyDescent="0.35">
      <c r="A121" s="357" t="s">
        <v>37</v>
      </c>
      <c r="B121" s="364"/>
      <c r="C121" s="158">
        <f>C112+C114+C116+C117+C120</f>
        <v>0.36249999999999999</v>
      </c>
      <c r="D121" s="131">
        <f>SUM(D111,D114,D116:D117,D120)</f>
        <v>1639.949343401822</v>
      </c>
    </row>
    <row r="122" spans="1:5" ht="13.8" thickBot="1" x14ac:dyDescent="0.35">
      <c r="A122" s="135"/>
      <c r="B122" s="135"/>
      <c r="C122" s="135"/>
      <c r="D122" s="135"/>
    </row>
    <row r="123" spans="1:5" x14ac:dyDescent="0.3">
      <c r="A123" s="344" t="s">
        <v>254</v>
      </c>
      <c r="B123" s="345"/>
      <c r="C123" s="345"/>
      <c r="D123" s="346"/>
    </row>
    <row r="124" spans="1:5" x14ac:dyDescent="0.3">
      <c r="A124" s="340" t="s">
        <v>255</v>
      </c>
      <c r="B124" s="341"/>
      <c r="C124" s="341"/>
      <c r="D124" s="159" t="s">
        <v>7</v>
      </c>
    </row>
    <row r="125" spans="1:5" x14ac:dyDescent="0.3">
      <c r="A125" s="67" t="s">
        <v>187</v>
      </c>
      <c r="B125" s="363" t="s">
        <v>256</v>
      </c>
      <c r="C125" s="380"/>
      <c r="D125" s="160">
        <f>(D38)</f>
        <v>1838.34</v>
      </c>
    </row>
    <row r="126" spans="1:5" x14ac:dyDescent="0.3">
      <c r="A126" s="67" t="s">
        <v>189</v>
      </c>
      <c r="B126" s="363" t="s">
        <v>12</v>
      </c>
      <c r="C126" s="380"/>
      <c r="D126" s="144">
        <f>(D72)</f>
        <v>1495.2497824359998</v>
      </c>
    </row>
    <row r="127" spans="1:5" x14ac:dyDescent="0.3">
      <c r="A127" s="67" t="s">
        <v>199</v>
      </c>
      <c r="B127" s="363" t="s">
        <v>257</v>
      </c>
      <c r="C127" s="380"/>
      <c r="D127" s="144">
        <f>(D82)</f>
        <v>131.73029704800001</v>
      </c>
    </row>
    <row r="128" spans="1:5" x14ac:dyDescent="0.3">
      <c r="A128" s="67" t="s">
        <v>200</v>
      </c>
      <c r="B128" s="363" t="s">
        <v>22</v>
      </c>
      <c r="C128" s="380"/>
      <c r="D128" s="144">
        <f>(D98)</f>
        <v>30.148284691510796</v>
      </c>
    </row>
    <row r="129" spans="1:5" x14ac:dyDescent="0.3">
      <c r="A129" s="67" t="s">
        <v>201</v>
      </c>
      <c r="B129" s="363" t="s">
        <v>258</v>
      </c>
      <c r="C129" s="380"/>
      <c r="D129" s="144">
        <f>D102</f>
        <v>3.09</v>
      </c>
    </row>
    <row r="130" spans="1:5" x14ac:dyDescent="0.3">
      <c r="A130" s="381" t="s">
        <v>259</v>
      </c>
      <c r="B130" s="382"/>
      <c r="C130" s="383"/>
      <c r="D130" s="161">
        <f>SUM(D125:D129)</f>
        <v>3498.5583641755111</v>
      </c>
      <c r="E130" s="105"/>
    </row>
    <row r="131" spans="1:5" ht="13.8" thickBot="1" x14ac:dyDescent="0.35">
      <c r="A131" s="162" t="s">
        <v>202</v>
      </c>
      <c r="B131" s="384" t="s">
        <v>260</v>
      </c>
      <c r="C131" s="384"/>
      <c r="D131" s="163">
        <f>(D121)</f>
        <v>1639.949343401822</v>
      </c>
    </row>
    <row r="132" spans="1:5" ht="13.8" thickBot="1" x14ac:dyDescent="0.35">
      <c r="A132" s="377" t="s">
        <v>261</v>
      </c>
      <c r="B132" s="378"/>
      <c r="C132" s="378"/>
      <c r="D132" s="164">
        <f>SUM(D130:D131)</f>
        <v>5138.5077075773333</v>
      </c>
    </row>
    <row r="133" spans="1:5" x14ac:dyDescent="0.3">
      <c r="A133" s="62"/>
      <c r="D133" s="78"/>
    </row>
    <row r="134" spans="1:5" x14ac:dyDescent="0.3">
      <c r="D134" s="78"/>
    </row>
    <row r="135" spans="1:5" x14ac:dyDescent="0.3">
      <c r="D135" s="78"/>
    </row>
    <row r="136" spans="1:5" x14ac:dyDescent="0.3">
      <c r="D136" s="78"/>
    </row>
    <row r="137" spans="1:5" x14ac:dyDescent="0.3">
      <c r="C137" s="165"/>
    </row>
  </sheetData>
  <mergeCells count="67">
    <mergeCell ref="A132:C132"/>
    <mergeCell ref="A115:A120"/>
    <mergeCell ref="A121:B121"/>
    <mergeCell ref="A123:D123"/>
    <mergeCell ref="A124:C124"/>
    <mergeCell ref="B125:C125"/>
    <mergeCell ref="B126:C126"/>
    <mergeCell ref="B127:C127"/>
    <mergeCell ref="B128:C128"/>
    <mergeCell ref="B129:C129"/>
    <mergeCell ref="A130:C130"/>
    <mergeCell ref="B131:C131"/>
    <mergeCell ref="A110:B110"/>
    <mergeCell ref="A91:B91"/>
    <mergeCell ref="A92:B92"/>
    <mergeCell ref="A94:B94"/>
    <mergeCell ref="A95:D95"/>
    <mergeCell ref="B96:C96"/>
    <mergeCell ref="B97:C97"/>
    <mergeCell ref="A98:C98"/>
    <mergeCell ref="A100:D100"/>
    <mergeCell ref="A101:C101"/>
    <mergeCell ref="A107:B107"/>
    <mergeCell ref="A109:D109"/>
    <mergeCell ref="A85:B85"/>
    <mergeCell ref="A66:B66"/>
    <mergeCell ref="A67:D67"/>
    <mergeCell ref="B68:C68"/>
    <mergeCell ref="B69:C69"/>
    <mergeCell ref="B70:C70"/>
    <mergeCell ref="B71:C71"/>
    <mergeCell ref="A72:C72"/>
    <mergeCell ref="A74:D74"/>
    <mergeCell ref="A75:B75"/>
    <mergeCell ref="A82:B82"/>
    <mergeCell ref="A84:D84"/>
    <mergeCell ref="A64:B64"/>
    <mergeCell ref="A33:D33"/>
    <mergeCell ref="A34:C34"/>
    <mergeCell ref="B35:C35"/>
    <mergeCell ref="A38:C38"/>
    <mergeCell ref="A40:D40"/>
    <mergeCell ref="A41:B41"/>
    <mergeCell ref="A44:B44"/>
    <mergeCell ref="A45:B45"/>
    <mergeCell ref="A54:B54"/>
    <mergeCell ref="A55:B55"/>
    <mergeCell ref="A63:B63"/>
    <mergeCell ref="B31:C31"/>
    <mergeCell ref="C17:D17"/>
    <mergeCell ref="A21:D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13:D13"/>
    <mergeCell ref="A1:D1"/>
    <mergeCell ref="A2:D2"/>
    <mergeCell ref="A3:D3"/>
    <mergeCell ref="A6:D6"/>
    <mergeCell ref="A7:D7"/>
    <mergeCell ref="A5:D5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2E54-1A29-4F5A-ADF8-DFE94D8FAD1F}">
  <dimension ref="A1:G137"/>
  <sheetViews>
    <sheetView showGridLines="0" topLeftCell="A97" workbookViewId="0">
      <selection activeCell="D113" sqref="D113"/>
    </sheetView>
  </sheetViews>
  <sheetFormatPr defaultRowHeight="13.2" x14ac:dyDescent="0.3"/>
  <cols>
    <col min="1" max="1" width="3.88671875" style="77" customWidth="1"/>
    <col min="2" max="2" width="70.6640625" style="62" customWidth="1"/>
    <col min="3" max="3" width="14.6640625" style="77" customWidth="1"/>
    <col min="4" max="4" width="21.44140625" style="166" bestFit="1" customWidth="1"/>
    <col min="5" max="5" width="55.77734375" style="62" customWidth="1"/>
    <col min="6" max="6" width="17.5546875" style="62" bestFit="1" customWidth="1"/>
    <col min="7" max="7" width="8.44140625" style="62" bestFit="1" customWidth="1"/>
    <col min="8" max="222" width="9.109375" style="62" bestFit="1" customWidth="1"/>
    <col min="223" max="223" width="1.88671875" style="62" customWidth="1"/>
    <col min="224" max="224" width="7.33203125" style="62" customWidth="1"/>
    <col min="225" max="225" width="9.88671875" style="62" customWidth="1"/>
    <col min="226" max="226" width="12.6640625" style="62" customWidth="1"/>
    <col min="227" max="227" width="11.109375" style="62" customWidth="1"/>
    <col min="228" max="228" width="10.88671875" style="62" customWidth="1"/>
    <col min="229" max="229" width="11.5546875" style="62" customWidth="1"/>
    <col min="230" max="230" width="13.44140625" style="62" customWidth="1"/>
    <col min="231" max="231" width="11.109375" style="62" customWidth="1"/>
    <col min="232" max="232" width="11.33203125" style="62" bestFit="1" customWidth="1"/>
    <col min="233" max="233" width="11.5546875" style="62" customWidth="1"/>
    <col min="234" max="234" width="8.88671875" style="62"/>
    <col min="235" max="235" width="9.88671875" style="62" bestFit="1" customWidth="1"/>
    <col min="236" max="236" width="9.109375" style="62" bestFit="1" customWidth="1"/>
    <col min="237" max="237" width="9.5546875" style="62" bestFit="1" customWidth="1"/>
    <col min="238" max="478" width="9.109375" style="62" bestFit="1" customWidth="1"/>
    <col min="479" max="479" width="1.88671875" style="62" customWidth="1"/>
    <col min="480" max="480" width="7.33203125" style="62" customWidth="1"/>
    <col min="481" max="481" width="9.88671875" style="62" customWidth="1"/>
    <col min="482" max="482" width="12.6640625" style="62" customWidth="1"/>
    <col min="483" max="483" width="11.109375" style="62" customWidth="1"/>
    <col min="484" max="484" width="10.88671875" style="62" customWidth="1"/>
    <col min="485" max="485" width="11.5546875" style="62" customWidth="1"/>
    <col min="486" max="486" width="13.44140625" style="62" customWidth="1"/>
    <col min="487" max="487" width="11.109375" style="62" customWidth="1"/>
    <col min="488" max="488" width="11.33203125" style="62" bestFit="1" customWidth="1"/>
    <col min="489" max="489" width="11.5546875" style="62" customWidth="1"/>
    <col min="490" max="490" width="8.88671875" style="62"/>
    <col min="491" max="491" width="9.88671875" style="62" bestFit="1" customWidth="1"/>
    <col min="492" max="492" width="9.109375" style="62" bestFit="1" customWidth="1"/>
    <col min="493" max="493" width="9.5546875" style="62" bestFit="1" customWidth="1"/>
    <col min="494" max="734" width="9.109375" style="62" bestFit="1" customWidth="1"/>
    <col min="735" max="735" width="1.88671875" style="62" customWidth="1"/>
    <col min="736" max="736" width="7.33203125" style="62" customWidth="1"/>
    <col min="737" max="737" width="9.88671875" style="62" customWidth="1"/>
    <col min="738" max="738" width="12.6640625" style="62" customWidth="1"/>
    <col min="739" max="739" width="11.109375" style="62" customWidth="1"/>
    <col min="740" max="740" width="10.88671875" style="62" customWidth="1"/>
    <col min="741" max="741" width="11.5546875" style="62" customWidth="1"/>
    <col min="742" max="742" width="13.44140625" style="62" customWidth="1"/>
    <col min="743" max="743" width="11.109375" style="62" customWidth="1"/>
    <col min="744" max="744" width="11.33203125" style="62" bestFit="1" customWidth="1"/>
    <col min="745" max="745" width="11.5546875" style="62" customWidth="1"/>
    <col min="746" max="746" width="8.88671875" style="62"/>
    <col min="747" max="747" width="9.88671875" style="62" bestFit="1" customWidth="1"/>
    <col min="748" max="748" width="9.109375" style="62" bestFit="1" customWidth="1"/>
    <col min="749" max="749" width="9.5546875" style="62" bestFit="1" customWidth="1"/>
    <col min="750" max="990" width="9.109375" style="62" bestFit="1" customWidth="1"/>
    <col min="991" max="991" width="1.88671875" style="62" customWidth="1"/>
    <col min="992" max="992" width="7.33203125" style="62" customWidth="1"/>
    <col min="993" max="993" width="9.88671875" style="62" customWidth="1"/>
    <col min="994" max="994" width="12.6640625" style="62" customWidth="1"/>
    <col min="995" max="995" width="11.109375" style="62" customWidth="1"/>
    <col min="996" max="996" width="10.88671875" style="62" customWidth="1"/>
    <col min="997" max="997" width="11.5546875" style="62" customWidth="1"/>
    <col min="998" max="998" width="13.44140625" style="62" customWidth="1"/>
    <col min="999" max="999" width="11.109375" style="62" customWidth="1"/>
    <col min="1000" max="1000" width="11.33203125" style="62" bestFit="1" customWidth="1"/>
    <col min="1001" max="1001" width="11.5546875" style="62" customWidth="1"/>
    <col min="1002" max="1002" width="8.88671875" style="62"/>
    <col min="1003" max="1003" width="9.88671875" style="62" bestFit="1" customWidth="1"/>
    <col min="1004" max="1004" width="9.109375" style="62" bestFit="1" customWidth="1"/>
    <col min="1005" max="1005" width="9.5546875" style="62" bestFit="1" customWidth="1"/>
    <col min="1006" max="1246" width="9.109375" style="62" bestFit="1" customWidth="1"/>
    <col min="1247" max="1247" width="1.88671875" style="62" customWidth="1"/>
    <col min="1248" max="1248" width="7.33203125" style="62" customWidth="1"/>
    <col min="1249" max="1249" width="9.88671875" style="62" customWidth="1"/>
    <col min="1250" max="1250" width="12.6640625" style="62" customWidth="1"/>
    <col min="1251" max="1251" width="11.109375" style="62" customWidth="1"/>
    <col min="1252" max="1252" width="10.88671875" style="62" customWidth="1"/>
    <col min="1253" max="1253" width="11.5546875" style="62" customWidth="1"/>
    <col min="1254" max="1254" width="13.44140625" style="62" customWidth="1"/>
    <col min="1255" max="1255" width="11.109375" style="62" customWidth="1"/>
    <col min="1256" max="1256" width="11.33203125" style="62" bestFit="1" customWidth="1"/>
    <col min="1257" max="1257" width="11.5546875" style="62" customWidth="1"/>
    <col min="1258" max="1258" width="8.88671875" style="62"/>
    <col min="1259" max="1259" width="9.88671875" style="62" bestFit="1" customWidth="1"/>
    <col min="1260" max="1260" width="9.109375" style="62" bestFit="1" customWidth="1"/>
    <col min="1261" max="1261" width="9.5546875" style="62" bestFit="1" customWidth="1"/>
    <col min="1262" max="1502" width="9.109375" style="62" bestFit="1" customWidth="1"/>
    <col min="1503" max="1503" width="1.88671875" style="62" customWidth="1"/>
    <col min="1504" max="1504" width="7.33203125" style="62" customWidth="1"/>
    <col min="1505" max="1505" width="9.88671875" style="62" customWidth="1"/>
    <col min="1506" max="1506" width="12.6640625" style="62" customWidth="1"/>
    <col min="1507" max="1507" width="11.109375" style="62" customWidth="1"/>
    <col min="1508" max="1508" width="10.88671875" style="62" customWidth="1"/>
    <col min="1509" max="1509" width="11.5546875" style="62" customWidth="1"/>
    <col min="1510" max="1510" width="13.44140625" style="62" customWidth="1"/>
    <col min="1511" max="1511" width="11.109375" style="62" customWidth="1"/>
    <col min="1512" max="1512" width="11.33203125" style="62" bestFit="1" customWidth="1"/>
    <col min="1513" max="1513" width="11.5546875" style="62" customWidth="1"/>
    <col min="1514" max="1514" width="8.88671875" style="62"/>
    <col min="1515" max="1515" width="9.88671875" style="62" bestFit="1" customWidth="1"/>
    <col min="1516" max="1516" width="9.109375" style="62" bestFit="1" customWidth="1"/>
    <col min="1517" max="1517" width="9.5546875" style="62" bestFit="1" customWidth="1"/>
    <col min="1518" max="1758" width="9.109375" style="62" bestFit="1" customWidth="1"/>
    <col min="1759" max="1759" width="1.88671875" style="62" customWidth="1"/>
    <col min="1760" max="1760" width="7.33203125" style="62" customWidth="1"/>
    <col min="1761" max="1761" width="9.88671875" style="62" customWidth="1"/>
    <col min="1762" max="1762" width="12.6640625" style="62" customWidth="1"/>
    <col min="1763" max="1763" width="11.109375" style="62" customWidth="1"/>
    <col min="1764" max="1764" width="10.88671875" style="62" customWidth="1"/>
    <col min="1765" max="1765" width="11.5546875" style="62" customWidth="1"/>
    <col min="1766" max="1766" width="13.44140625" style="62" customWidth="1"/>
    <col min="1767" max="1767" width="11.109375" style="62" customWidth="1"/>
    <col min="1768" max="1768" width="11.33203125" style="62" bestFit="1" customWidth="1"/>
    <col min="1769" max="1769" width="11.5546875" style="62" customWidth="1"/>
    <col min="1770" max="1770" width="8.88671875" style="62"/>
    <col min="1771" max="1771" width="9.88671875" style="62" bestFit="1" customWidth="1"/>
    <col min="1772" max="1772" width="9.109375" style="62" bestFit="1" customWidth="1"/>
    <col min="1773" max="1773" width="9.5546875" style="62" bestFit="1" customWidth="1"/>
    <col min="1774" max="2014" width="9.109375" style="62" bestFit="1" customWidth="1"/>
    <col min="2015" max="2015" width="1.88671875" style="62" customWidth="1"/>
    <col min="2016" max="2016" width="7.33203125" style="62" customWidth="1"/>
    <col min="2017" max="2017" width="9.88671875" style="62" customWidth="1"/>
    <col min="2018" max="2018" width="12.6640625" style="62" customWidth="1"/>
    <col min="2019" max="2019" width="11.109375" style="62" customWidth="1"/>
    <col min="2020" max="2020" width="10.88671875" style="62" customWidth="1"/>
    <col min="2021" max="2021" width="11.5546875" style="62" customWidth="1"/>
    <col min="2022" max="2022" width="13.44140625" style="62" customWidth="1"/>
    <col min="2023" max="2023" width="11.109375" style="62" customWidth="1"/>
    <col min="2024" max="2024" width="11.33203125" style="62" bestFit="1" customWidth="1"/>
    <col min="2025" max="2025" width="11.5546875" style="62" customWidth="1"/>
    <col min="2026" max="2026" width="8.88671875" style="62"/>
    <col min="2027" max="2027" width="9.88671875" style="62" bestFit="1" customWidth="1"/>
    <col min="2028" max="2028" width="9.109375" style="62" bestFit="1" customWidth="1"/>
    <col min="2029" max="2029" width="9.5546875" style="62" bestFit="1" customWidth="1"/>
    <col min="2030" max="2270" width="9.109375" style="62" bestFit="1" customWidth="1"/>
    <col min="2271" max="2271" width="1.88671875" style="62" customWidth="1"/>
    <col min="2272" max="2272" width="7.33203125" style="62" customWidth="1"/>
    <col min="2273" max="2273" width="9.88671875" style="62" customWidth="1"/>
    <col min="2274" max="2274" width="12.6640625" style="62" customWidth="1"/>
    <col min="2275" max="2275" width="11.109375" style="62" customWidth="1"/>
    <col min="2276" max="2276" width="10.88671875" style="62" customWidth="1"/>
    <col min="2277" max="2277" width="11.5546875" style="62" customWidth="1"/>
    <col min="2278" max="2278" width="13.44140625" style="62" customWidth="1"/>
    <col min="2279" max="2279" width="11.109375" style="62" customWidth="1"/>
    <col min="2280" max="2280" width="11.33203125" style="62" bestFit="1" customWidth="1"/>
    <col min="2281" max="2281" width="11.5546875" style="62" customWidth="1"/>
    <col min="2282" max="2282" width="8.88671875" style="62"/>
    <col min="2283" max="2283" width="9.88671875" style="62" bestFit="1" customWidth="1"/>
    <col min="2284" max="2284" width="9.109375" style="62" bestFit="1" customWidth="1"/>
    <col min="2285" max="2285" width="9.5546875" style="62" bestFit="1" customWidth="1"/>
    <col min="2286" max="2526" width="9.109375" style="62" bestFit="1" customWidth="1"/>
    <col min="2527" max="2527" width="1.88671875" style="62" customWidth="1"/>
    <col min="2528" max="2528" width="7.33203125" style="62" customWidth="1"/>
    <col min="2529" max="2529" width="9.88671875" style="62" customWidth="1"/>
    <col min="2530" max="2530" width="12.6640625" style="62" customWidth="1"/>
    <col min="2531" max="2531" width="11.109375" style="62" customWidth="1"/>
    <col min="2532" max="2532" width="10.88671875" style="62" customWidth="1"/>
    <col min="2533" max="2533" width="11.5546875" style="62" customWidth="1"/>
    <col min="2534" max="2534" width="13.44140625" style="62" customWidth="1"/>
    <col min="2535" max="2535" width="11.109375" style="62" customWidth="1"/>
    <col min="2536" max="2536" width="11.33203125" style="62" bestFit="1" customWidth="1"/>
    <col min="2537" max="2537" width="11.5546875" style="62" customWidth="1"/>
    <col min="2538" max="2538" width="8.88671875" style="62"/>
    <col min="2539" max="2539" width="9.88671875" style="62" bestFit="1" customWidth="1"/>
    <col min="2540" max="2540" width="9.109375" style="62" bestFit="1" customWidth="1"/>
    <col min="2541" max="2541" width="9.5546875" style="62" bestFit="1" customWidth="1"/>
    <col min="2542" max="2782" width="9.109375" style="62" bestFit="1" customWidth="1"/>
    <col min="2783" max="2783" width="1.88671875" style="62" customWidth="1"/>
    <col min="2784" max="2784" width="7.33203125" style="62" customWidth="1"/>
    <col min="2785" max="2785" width="9.88671875" style="62" customWidth="1"/>
    <col min="2786" max="2786" width="12.6640625" style="62" customWidth="1"/>
    <col min="2787" max="2787" width="11.109375" style="62" customWidth="1"/>
    <col min="2788" max="2788" width="10.88671875" style="62" customWidth="1"/>
    <col min="2789" max="2789" width="11.5546875" style="62" customWidth="1"/>
    <col min="2790" max="2790" width="13.44140625" style="62" customWidth="1"/>
    <col min="2791" max="2791" width="11.109375" style="62" customWidth="1"/>
    <col min="2792" max="2792" width="11.33203125" style="62" bestFit="1" customWidth="1"/>
    <col min="2793" max="2793" width="11.5546875" style="62" customWidth="1"/>
    <col min="2794" max="2794" width="8.88671875" style="62"/>
    <col min="2795" max="2795" width="9.88671875" style="62" bestFit="1" customWidth="1"/>
    <col min="2796" max="2796" width="9.109375" style="62" bestFit="1" customWidth="1"/>
    <col min="2797" max="2797" width="9.5546875" style="62" bestFit="1" customWidth="1"/>
    <col min="2798" max="3038" width="9.109375" style="62" bestFit="1" customWidth="1"/>
    <col min="3039" max="3039" width="1.88671875" style="62" customWidth="1"/>
    <col min="3040" max="3040" width="7.33203125" style="62" customWidth="1"/>
    <col min="3041" max="3041" width="9.88671875" style="62" customWidth="1"/>
    <col min="3042" max="3042" width="12.6640625" style="62" customWidth="1"/>
    <col min="3043" max="3043" width="11.109375" style="62" customWidth="1"/>
    <col min="3044" max="3044" width="10.88671875" style="62" customWidth="1"/>
    <col min="3045" max="3045" width="11.5546875" style="62" customWidth="1"/>
    <col min="3046" max="3046" width="13.44140625" style="62" customWidth="1"/>
    <col min="3047" max="3047" width="11.109375" style="62" customWidth="1"/>
    <col min="3048" max="3048" width="11.33203125" style="62" bestFit="1" customWidth="1"/>
    <col min="3049" max="3049" width="11.5546875" style="62" customWidth="1"/>
    <col min="3050" max="3050" width="8.88671875" style="62"/>
    <col min="3051" max="3051" width="9.88671875" style="62" bestFit="1" customWidth="1"/>
    <col min="3052" max="3052" width="9.109375" style="62" bestFit="1" customWidth="1"/>
    <col min="3053" max="3053" width="9.5546875" style="62" bestFit="1" customWidth="1"/>
    <col min="3054" max="3294" width="9.109375" style="62" bestFit="1" customWidth="1"/>
    <col min="3295" max="3295" width="1.88671875" style="62" customWidth="1"/>
    <col min="3296" max="3296" width="7.33203125" style="62" customWidth="1"/>
    <col min="3297" max="3297" width="9.88671875" style="62" customWidth="1"/>
    <col min="3298" max="3298" width="12.6640625" style="62" customWidth="1"/>
    <col min="3299" max="3299" width="11.109375" style="62" customWidth="1"/>
    <col min="3300" max="3300" width="10.88671875" style="62" customWidth="1"/>
    <col min="3301" max="3301" width="11.5546875" style="62" customWidth="1"/>
    <col min="3302" max="3302" width="13.44140625" style="62" customWidth="1"/>
    <col min="3303" max="3303" width="11.109375" style="62" customWidth="1"/>
    <col min="3304" max="3304" width="11.33203125" style="62" bestFit="1" customWidth="1"/>
    <col min="3305" max="3305" width="11.5546875" style="62" customWidth="1"/>
    <col min="3306" max="3306" width="8.88671875" style="62"/>
    <col min="3307" max="3307" width="9.88671875" style="62" bestFit="1" customWidth="1"/>
    <col min="3308" max="3308" width="9.109375" style="62" bestFit="1" customWidth="1"/>
    <col min="3309" max="3309" width="9.5546875" style="62" bestFit="1" customWidth="1"/>
    <col min="3310" max="3550" width="9.109375" style="62" bestFit="1" customWidth="1"/>
    <col min="3551" max="3551" width="1.88671875" style="62" customWidth="1"/>
    <col min="3552" max="3552" width="7.33203125" style="62" customWidth="1"/>
    <col min="3553" max="3553" width="9.88671875" style="62" customWidth="1"/>
    <col min="3554" max="3554" width="12.6640625" style="62" customWidth="1"/>
    <col min="3555" max="3555" width="11.109375" style="62" customWidth="1"/>
    <col min="3556" max="3556" width="10.88671875" style="62" customWidth="1"/>
    <col min="3557" max="3557" width="11.5546875" style="62" customWidth="1"/>
    <col min="3558" max="3558" width="13.44140625" style="62" customWidth="1"/>
    <col min="3559" max="3559" width="11.109375" style="62" customWidth="1"/>
    <col min="3560" max="3560" width="11.33203125" style="62" bestFit="1" customWidth="1"/>
    <col min="3561" max="3561" width="11.5546875" style="62" customWidth="1"/>
    <col min="3562" max="3562" width="8.88671875" style="62"/>
    <col min="3563" max="3563" width="9.88671875" style="62" bestFit="1" customWidth="1"/>
    <col min="3564" max="3564" width="9.109375" style="62" bestFit="1" customWidth="1"/>
    <col min="3565" max="3565" width="9.5546875" style="62" bestFit="1" customWidth="1"/>
    <col min="3566" max="3806" width="9.109375" style="62" bestFit="1" customWidth="1"/>
    <col min="3807" max="3807" width="1.88671875" style="62" customWidth="1"/>
    <col min="3808" max="3808" width="7.33203125" style="62" customWidth="1"/>
    <col min="3809" max="3809" width="9.88671875" style="62" customWidth="1"/>
    <col min="3810" max="3810" width="12.6640625" style="62" customWidth="1"/>
    <col min="3811" max="3811" width="11.109375" style="62" customWidth="1"/>
    <col min="3812" max="3812" width="10.88671875" style="62" customWidth="1"/>
    <col min="3813" max="3813" width="11.5546875" style="62" customWidth="1"/>
    <col min="3814" max="3814" width="13.44140625" style="62" customWidth="1"/>
    <col min="3815" max="3815" width="11.109375" style="62" customWidth="1"/>
    <col min="3816" max="3816" width="11.33203125" style="62" bestFit="1" customWidth="1"/>
    <col min="3817" max="3817" width="11.5546875" style="62" customWidth="1"/>
    <col min="3818" max="3818" width="8.88671875" style="62"/>
    <col min="3819" max="3819" width="9.88671875" style="62" bestFit="1" customWidth="1"/>
    <col min="3820" max="3820" width="9.109375" style="62" bestFit="1" customWidth="1"/>
    <col min="3821" max="3821" width="9.5546875" style="62" bestFit="1" customWidth="1"/>
    <col min="3822" max="4062" width="9.109375" style="62" bestFit="1" customWidth="1"/>
    <col min="4063" max="4063" width="1.88671875" style="62" customWidth="1"/>
    <col min="4064" max="4064" width="7.33203125" style="62" customWidth="1"/>
    <col min="4065" max="4065" width="9.88671875" style="62" customWidth="1"/>
    <col min="4066" max="4066" width="12.6640625" style="62" customWidth="1"/>
    <col min="4067" max="4067" width="11.109375" style="62" customWidth="1"/>
    <col min="4068" max="4068" width="10.88671875" style="62" customWidth="1"/>
    <col min="4069" max="4069" width="11.5546875" style="62" customWidth="1"/>
    <col min="4070" max="4070" width="13.44140625" style="62" customWidth="1"/>
    <col min="4071" max="4071" width="11.109375" style="62" customWidth="1"/>
    <col min="4072" max="4072" width="11.33203125" style="62" bestFit="1" customWidth="1"/>
    <col min="4073" max="4073" width="11.5546875" style="62" customWidth="1"/>
    <col min="4074" max="4074" width="8.88671875" style="62"/>
    <col min="4075" max="4075" width="9.88671875" style="62" bestFit="1" customWidth="1"/>
    <col min="4076" max="4076" width="9.109375" style="62" bestFit="1" customWidth="1"/>
    <col min="4077" max="4077" width="9.5546875" style="62" bestFit="1" customWidth="1"/>
    <col min="4078" max="4318" width="9.109375" style="62" bestFit="1" customWidth="1"/>
    <col min="4319" max="4319" width="1.88671875" style="62" customWidth="1"/>
    <col min="4320" max="4320" width="7.33203125" style="62" customWidth="1"/>
    <col min="4321" max="4321" width="9.88671875" style="62" customWidth="1"/>
    <col min="4322" max="4322" width="12.6640625" style="62" customWidth="1"/>
    <col min="4323" max="4323" width="11.109375" style="62" customWidth="1"/>
    <col min="4324" max="4324" width="10.88671875" style="62" customWidth="1"/>
    <col min="4325" max="4325" width="11.5546875" style="62" customWidth="1"/>
    <col min="4326" max="4326" width="13.44140625" style="62" customWidth="1"/>
    <col min="4327" max="4327" width="11.109375" style="62" customWidth="1"/>
    <col min="4328" max="4328" width="11.33203125" style="62" bestFit="1" customWidth="1"/>
    <col min="4329" max="4329" width="11.5546875" style="62" customWidth="1"/>
    <col min="4330" max="4330" width="8.88671875" style="62"/>
    <col min="4331" max="4331" width="9.88671875" style="62" bestFit="1" customWidth="1"/>
    <col min="4332" max="4332" width="9.109375" style="62" bestFit="1" customWidth="1"/>
    <col min="4333" max="4333" width="9.5546875" style="62" bestFit="1" customWidth="1"/>
    <col min="4334" max="4574" width="9.109375" style="62" bestFit="1" customWidth="1"/>
    <col min="4575" max="4575" width="1.88671875" style="62" customWidth="1"/>
    <col min="4576" max="4576" width="7.33203125" style="62" customWidth="1"/>
    <col min="4577" max="4577" width="9.88671875" style="62" customWidth="1"/>
    <col min="4578" max="4578" width="12.6640625" style="62" customWidth="1"/>
    <col min="4579" max="4579" width="11.109375" style="62" customWidth="1"/>
    <col min="4580" max="4580" width="10.88671875" style="62" customWidth="1"/>
    <col min="4581" max="4581" width="11.5546875" style="62" customWidth="1"/>
    <col min="4582" max="4582" width="13.44140625" style="62" customWidth="1"/>
    <col min="4583" max="4583" width="11.109375" style="62" customWidth="1"/>
    <col min="4584" max="4584" width="11.33203125" style="62" bestFit="1" customWidth="1"/>
    <col min="4585" max="4585" width="11.5546875" style="62" customWidth="1"/>
    <col min="4586" max="4586" width="8.88671875" style="62"/>
    <col min="4587" max="4587" width="9.88671875" style="62" bestFit="1" customWidth="1"/>
    <col min="4588" max="4588" width="9.109375" style="62" bestFit="1" customWidth="1"/>
    <col min="4589" max="4589" width="9.5546875" style="62" bestFit="1" customWidth="1"/>
    <col min="4590" max="4830" width="9.109375" style="62" bestFit="1" customWidth="1"/>
    <col min="4831" max="4831" width="1.88671875" style="62" customWidth="1"/>
    <col min="4832" max="4832" width="7.33203125" style="62" customWidth="1"/>
    <col min="4833" max="4833" width="9.88671875" style="62" customWidth="1"/>
    <col min="4834" max="4834" width="12.6640625" style="62" customWidth="1"/>
    <col min="4835" max="4835" width="11.109375" style="62" customWidth="1"/>
    <col min="4836" max="4836" width="10.88671875" style="62" customWidth="1"/>
    <col min="4837" max="4837" width="11.5546875" style="62" customWidth="1"/>
    <col min="4838" max="4838" width="13.44140625" style="62" customWidth="1"/>
    <col min="4839" max="4839" width="11.109375" style="62" customWidth="1"/>
    <col min="4840" max="4840" width="11.33203125" style="62" bestFit="1" customWidth="1"/>
    <col min="4841" max="4841" width="11.5546875" style="62" customWidth="1"/>
    <col min="4842" max="4842" width="8.88671875" style="62"/>
    <col min="4843" max="4843" width="9.88671875" style="62" bestFit="1" customWidth="1"/>
    <col min="4844" max="4844" width="9.109375" style="62" bestFit="1" customWidth="1"/>
    <col min="4845" max="4845" width="9.5546875" style="62" bestFit="1" customWidth="1"/>
    <col min="4846" max="5086" width="9.109375" style="62" bestFit="1" customWidth="1"/>
    <col min="5087" max="5087" width="1.88671875" style="62" customWidth="1"/>
    <col min="5088" max="5088" width="7.33203125" style="62" customWidth="1"/>
    <col min="5089" max="5089" width="9.88671875" style="62" customWidth="1"/>
    <col min="5090" max="5090" width="12.6640625" style="62" customWidth="1"/>
    <col min="5091" max="5091" width="11.109375" style="62" customWidth="1"/>
    <col min="5092" max="5092" width="10.88671875" style="62" customWidth="1"/>
    <col min="5093" max="5093" width="11.5546875" style="62" customWidth="1"/>
    <col min="5094" max="5094" width="13.44140625" style="62" customWidth="1"/>
    <col min="5095" max="5095" width="11.109375" style="62" customWidth="1"/>
    <col min="5096" max="5096" width="11.33203125" style="62" bestFit="1" customWidth="1"/>
    <col min="5097" max="5097" width="11.5546875" style="62" customWidth="1"/>
    <col min="5098" max="5098" width="8.88671875" style="62"/>
    <col min="5099" max="5099" width="9.88671875" style="62" bestFit="1" customWidth="1"/>
    <col min="5100" max="5100" width="9.109375" style="62" bestFit="1" customWidth="1"/>
    <col min="5101" max="5101" width="9.5546875" style="62" bestFit="1" customWidth="1"/>
    <col min="5102" max="5342" width="9.109375" style="62" bestFit="1" customWidth="1"/>
    <col min="5343" max="5343" width="1.88671875" style="62" customWidth="1"/>
    <col min="5344" max="5344" width="7.33203125" style="62" customWidth="1"/>
    <col min="5345" max="5345" width="9.88671875" style="62" customWidth="1"/>
    <col min="5346" max="5346" width="12.6640625" style="62" customWidth="1"/>
    <col min="5347" max="5347" width="11.109375" style="62" customWidth="1"/>
    <col min="5348" max="5348" width="10.88671875" style="62" customWidth="1"/>
    <col min="5349" max="5349" width="11.5546875" style="62" customWidth="1"/>
    <col min="5350" max="5350" width="13.44140625" style="62" customWidth="1"/>
    <col min="5351" max="5351" width="11.109375" style="62" customWidth="1"/>
    <col min="5352" max="5352" width="11.33203125" style="62" bestFit="1" customWidth="1"/>
    <col min="5353" max="5353" width="11.5546875" style="62" customWidth="1"/>
    <col min="5354" max="5354" width="8.88671875" style="62"/>
    <col min="5355" max="5355" width="9.88671875" style="62" bestFit="1" customWidth="1"/>
    <col min="5356" max="5356" width="9.109375" style="62" bestFit="1" customWidth="1"/>
    <col min="5357" max="5357" width="9.5546875" style="62" bestFit="1" customWidth="1"/>
    <col min="5358" max="5598" width="9.109375" style="62" bestFit="1" customWidth="1"/>
    <col min="5599" max="5599" width="1.88671875" style="62" customWidth="1"/>
    <col min="5600" max="5600" width="7.33203125" style="62" customWidth="1"/>
    <col min="5601" max="5601" width="9.88671875" style="62" customWidth="1"/>
    <col min="5602" max="5602" width="12.6640625" style="62" customWidth="1"/>
    <col min="5603" max="5603" width="11.109375" style="62" customWidth="1"/>
    <col min="5604" max="5604" width="10.88671875" style="62" customWidth="1"/>
    <col min="5605" max="5605" width="11.5546875" style="62" customWidth="1"/>
    <col min="5606" max="5606" width="13.44140625" style="62" customWidth="1"/>
    <col min="5607" max="5607" width="11.109375" style="62" customWidth="1"/>
    <col min="5608" max="5608" width="11.33203125" style="62" bestFit="1" customWidth="1"/>
    <col min="5609" max="5609" width="11.5546875" style="62" customWidth="1"/>
    <col min="5610" max="5610" width="8.88671875" style="62"/>
    <col min="5611" max="5611" width="9.88671875" style="62" bestFit="1" customWidth="1"/>
    <col min="5612" max="5612" width="9.109375" style="62" bestFit="1" customWidth="1"/>
    <col min="5613" max="5613" width="9.5546875" style="62" bestFit="1" customWidth="1"/>
    <col min="5614" max="5854" width="9.109375" style="62" bestFit="1" customWidth="1"/>
    <col min="5855" max="5855" width="1.88671875" style="62" customWidth="1"/>
    <col min="5856" max="5856" width="7.33203125" style="62" customWidth="1"/>
    <col min="5857" max="5857" width="9.88671875" style="62" customWidth="1"/>
    <col min="5858" max="5858" width="12.6640625" style="62" customWidth="1"/>
    <col min="5859" max="5859" width="11.109375" style="62" customWidth="1"/>
    <col min="5860" max="5860" width="10.88671875" style="62" customWidth="1"/>
    <col min="5861" max="5861" width="11.5546875" style="62" customWidth="1"/>
    <col min="5862" max="5862" width="13.44140625" style="62" customWidth="1"/>
    <col min="5863" max="5863" width="11.109375" style="62" customWidth="1"/>
    <col min="5864" max="5864" width="11.33203125" style="62" bestFit="1" customWidth="1"/>
    <col min="5865" max="5865" width="11.5546875" style="62" customWidth="1"/>
    <col min="5866" max="5866" width="8.88671875" style="62"/>
    <col min="5867" max="5867" width="9.88671875" style="62" bestFit="1" customWidth="1"/>
    <col min="5868" max="5868" width="9.109375" style="62" bestFit="1" customWidth="1"/>
    <col min="5869" max="5869" width="9.5546875" style="62" bestFit="1" customWidth="1"/>
    <col min="5870" max="6110" width="9.109375" style="62" bestFit="1" customWidth="1"/>
    <col min="6111" max="6111" width="1.88671875" style="62" customWidth="1"/>
    <col min="6112" max="6112" width="7.33203125" style="62" customWidth="1"/>
    <col min="6113" max="6113" width="9.88671875" style="62" customWidth="1"/>
    <col min="6114" max="6114" width="12.6640625" style="62" customWidth="1"/>
    <col min="6115" max="6115" width="11.109375" style="62" customWidth="1"/>
    <col min="6116" max="6116" width="10.88671875" style="62" customWidth="1"/>
    <col min="6117" max="6117" width="11.5546875" style="62" customWidth="1"/>
    <col min="6118" max="6118" width="13.44140625" style="62" customWidth="1"/>
    <col min="6119" max="6119" width="11.109375" style="62" customWidth="1"/>
    <col min="6120" max="6120" width="11.33203125" style="62" bestFit="1" customWidth="1"/>
    <col min="6121" max="6121" width="11.5546875" style="62" customWidth="1"/>
    <col min="6122" max="6122" width="8.88671875" style="62"/>
    <col min="6123" max="6123" width="9.88671875" style="62" bestFit="1" customWidth="1"/>
    <col min="6124" max="6124" width="9.109375" style="62" bestFit="1" customWidth="1"/>
    <col min="6125" max="6125" width="9.5546875" style="62" bestFit="1" customWidth="1"/>
    <col min="6126" max="6366" width="9.109375" style="62" bestFit="1" customWidth="1"/>
    <col min="6367" max="6367" width="1.88671875" style="62" customWidth="1"/>
    <col min="6368" max="6368" width="7.33203125" style="62" customWidth="1"/>
    <col min="6369" max="6369" width="9.88671875" style="62" customWidth="1"/>
    <col min="6370" max="6370" width="12.6640625" style="62" customWidth="1"/>
    <col min="6371" max="6371" width="11.109375" style="62" customWidth="1"/>
    <col min="6372" max="6372" width="10.88671875" style="62" customWidth="1"/>
    <col min="6373" max="6373" width="11.5546875" style="62" customWidth="1"/>
    <col min="6374" max="6374" width="13.44140625" style="62" customWidth="1"/>
    <col min="6375" max="6375" width="11.109375" style="62" customWidth="1"/>
    <col min="6376" max="6376" width="11.33203125" style="62" bestFit="1" customWidth="1"/>
    <col min="6377" max="6377" width="11.5546875" style="62" customWidth="1"/>
    <col min="6378" max="6378" width="8.88671875" style="62"/>
    <col min="6379" max="6379" width="9.88671875" style="62" bestFit="1" customWidth="1"/>
    <col min="6380" max="6380" width="9.109375" style="62" bestFit="1" customWidth="1"/>
    <col min="6381" max="6381" width="9.5546875" style="62" bestFit="1" customWidth="1"/>
    <col min="6382" max="6622" width="9.109375" style="62" bestFit="1" customWidth="1"/>
    <col min="6623" max="6623" width="1.88671875" style="62" customWidth="1"/>
    <col min="6624" max="6624" width="7.33203125" style="62" customWidth="1"/>
    <col min="6625" max="6625" width="9.88671875" style="62" customWidth="1"/>
    <col min="6626" max="6626" width="12.6640625" style="62" customWidth="1"/>
    <col min="6627" max="6627" width="11.109375" style="62" customWidth="1"/>
    <col min="6628" max="6628" width="10.88671875" style="62" customWidth="1"/>
    <col min="6629" max="6629" width="11.5546875" style="62" customWidth="1"/>
    <col min="6630" max="6630" width="13.44140625" style="62" customWidth="1"/>
    <col min="6631" max="6631" width="11.109375" style="62" customWidth="1"/>
    <col min="6632" max="6632" width="11.33203125" style="62" bestFit="1" customWidth="1"/>
    <col min="6633" max="6633" width="11.5546875" style="62" customWidth="1"/>
    <col min="6634" max="6634" width="8.88671875" style="62"/>
    <col min="6635" max="6635" width="9.88671875" style="62" bestFit="1" customWidth="1"/>
    <col min="6636" max="6636" width="9.109375" style="62" bestFit="1" customWidth="1"/>
    <col min="6637" max="6637" width="9.5546875" style="62" bestFit="1" customWidth="1"/>
    <col min="6638" max="6878" width="9.109375" style="62" bestFit="1" customWidth="1"/>
    <col min="6879" max="6879" width="1.88671875" style="62" customWidth="1"/>
    <col min="6880" max="6880" width="7.33203125" style="62" customWidth="1"/>
    <col min="6881" max="6881" width="9.88671875" style="62" customWidth="1"/>
    <col min="6882" max="6882" width="12.6640625" style="62" customWidth="1"/>
    <col min="6883" max="6883" width="11.109375" style="62" customWidth="1"/>
    <col min="6884" max="6884" width="10.88671875" style="62" customWidth="1"/>
    <col min="6885" max="6885" width="11.5546875" style="62" customWidth="1"/>
    <col min="6886" max="6886" width="13.44140625" style="62" customWidth="1"/>
    <col min="6887" max="6887" width="11.109375" style="62" customWidth="1"/>
    <col min="6888" max="6888" width="11.33203125" style="62" bestFit="1" customWidth="1"/>
    <col min="6889" max="6889" width="11.5546875" style="62" customWidth="1"/>
    <col min="6890" max="6890" width="8.88671875" style="62"/>
    <col min="6891" max="6891" width="9.88671875" style="62" bestFit="1" customWidth="1"/>
    <col min="6892" max="6892" width="9.109375" style="62" bestFit="1" customWidth="1"/>
    <col min="6893" max="6893" width="9.5546875" style="62" bestFit="1" customWidth="1"/>
    <col min="6894" max="7134" width="9.109375" style="62" bestFit="1" customWidth="1"/>
    <col min="7135" max="7135" width="1.88671875" style="62" customWidth="1"/>
    <col min="7136" max="7136" width="7.33203125" style="62" customWidth="1"/>
    <col min="7137" max="7137" width="9.88671875" style="62" customWidth="1"/>
    <col min="7138" max="7138" width="12.6640625" style="62" customWidth="1"/>
    <col min="7139" max="7139" width="11.109375" style="62" customWidth="1"/>
    <col min="7140" max="7140" width="10.88671875" style="62" customWidth="1"/>
    <col min="7141" max="7141" width="11.5546875" style="62" customWidth="1"/>
    <col min="7142" max="7142" width="13.44140625" style="62" customWidth="1"/>
    <col min="7143" max="7143" width="11.109375" style="62" customWidth="1"/>
    <col min="7144" max="7144" width="11.33203125" style="62" bestFit="1" customWidth="1"/>
    <col min="7145" max="7145" width="11.5546875" style="62" customWidth="1"/>
    <col min="7146" max="7146" width="8.88671875" style="62"/>
    <col min="7147" max="7147" width="9.88671875" style="62" bestFit="1" customWidth="1"/>
    <col min="7148" max="7148" width="9.109375" style="62" bestFit="1" customWidth="1"/>
    <col min="7149" max="7149" width="9.5546875" style="62" bestFit="1" customWidth="1"/>
    <col min="7150" max="7390" width="9.109375" style="62" bestFit="1" customWidth="1"/>
    <col min="7391" max="7391" width="1.88671875" style="62" customWidth="1"/>
    <col min="7392" max="7392" width="7.33203125" style="62" customWidth="1"/>
    <col min="7393" max="7393" width="9.88671875" style="62" customWidth="1"/>
    <col min="7394" max="7394" width="12.6640625" style="62" customWidth="1"/>
    <col min="7395" max="7395" width="11.109375" style="62" customWidth="1"/>
    <col min="7396" max="7396" width="10.88671875" style="62" customWidth="1"/>
    <col min="7397" max="7397" width="11.5546875" style="62" customWidth="1"/>
    <col min="7398" max="7398" width="13.44140625" style="62" customWidth="1"/>
    <col min="7399" max="7399" width="11.109375" style="62" customWidth="1"/>
    <col min="7400" max="7400" width="11.33203125" style="62" bestFit="1" customWidth="1"/>
    <col min="7401" max="7401" width="11.5546875" style="62" customWidth="1"/>
    <col min="7402" max="7402" width="8.88671875" style="62"/>
    <col min="7403" max="7403" width="9.88671875" style="62" bestFit="1" customWidth="1"/>
    <col min="7404" max="7404" width="9.109375" style="62" bestFit="1" customWidth="1"/>
    <col min="7405" max="7405" width="9.5546875" style="62" bestFit="1" customWidth="1"/>
    <col min="7406" max="7646" width="9.109375" style="62" bestFit="1" customWidth="1"/>
    <col min="7647" max="7647" width="1.88671875" style="62" customWidth="1"/>
    <col min="7648" max="7648" width="7.33203125" style="62" customWidth="1"/>
    <col min="7649" max="7649" width="9.88671875" style="62" customWidth="1"/>
    <col min="7650" max="7650" width="12.6640625" style="62" customWidth="1"/>
    <col min="7651" max="7651" width="11.109375" style="62" customWidth="1"/>
    <col min="7652" max="7652" width="10.88671875" style="62" customWidth="1"/>
    <col min="7653" max="7653" width="11.5546875" style="62" customWidth="1"/>
    <col min="7654" max="7654" width="13.44140625" style="62" customWidth="1"/>
    <col min="7655" max="7655" width="11.109375" style="62" customWidth="1"/>
    <col min="7656" max="7656" width="11.33203125" style="62" bestFit="1" customWidth="1"/>
    <col min="7657" max="7657" width="11.5546875" style="62" customWidth="1"/>
    <col min="7658" max="7658" width="8.88671875" style="62"/>
    <col min="7659" max="7659" width="9.88671875" style="62" bestFit="1" customWidth="1"/>
    <col min="7660" max="7660" width="9.109375" style="62" bestFit="1" customWidth="1"/>
    <col min="7661" max="7661" width="9.5546875" style="62" bestFit="1" customWidth="1"/>
    <col min="7662" max="7902" width="9.109375" style="62" bestFit="1" customWidth="1"/>
    <col min="7903" max="7903" width="1.88671875" style="62" customWidth="1"/>
    <col min="7904" max="7904" width="7.33203125" style="62" customWidth="1"/>
    <col min="7905" max="7905" width="9.88671875" style="62" customWidth="1"/>
    <col min="7906" max="7906" width="12.6640625" style="62" customWidth="1"/>
    <col min="7907" max="7907" width="11.109375" style="62" customWidth="1"/>
    <col min="7908" max="7908" width="10.88671875" style="62" customWidth="1"/>
    <col min="7909" max="7909" width="11.5546875" style="62" customWidth="1"/>
    <col min="7910" max="7910" width="13.44140625" style="62" customWidth="1"/>
    <col min="7911" max="7911" width="11.109375" style="62" customWidth="1"/>
    <col min="7912" max="7912" width="11.33203125" style="62" bestFit="1" customWidth="1"/>
    <col min="7913" max="7913" width="11.5546875" style="62" customWidth="1"/>
    <col min="7914" max="7914" width="8.88671875" style="62"/>
    <col min="7915" max="7915" width="9.88671875" style="62" bestFit="1" customWidth="1"/>
    <col min="7916" max="7916" width="9.109375" style="62" bestFit="1" customWidth="1"/>
    <col min="7917" max="7917" width="9.5546875" style="62" bestFit="1" customWidth="1"/>
    <col min="7918" max="8158" width="9.109375" style="62" bestFit="1" customWidth="1"/>
    <col min="8159" max="8159" width="1.88671875" style="62" customWidth="1"/>
    <col min="8160" max="8160" width="7.33203125" style="62" customWidth="1"/>
    <col min="8161" max="8161" width="9.88671875" style="62" customWidth="1"/>
    <col min="8162" max="8162" width="12.6640625" style="62" customWidth="1"/>
    <col min="8163" max="8163" width="11.109375" style="62" customWidth="1"/>
    <col min="8164" max="8164" width="10.88671875" style="62" customWidth="1"/>
    <col min="8165" max="8165" width="11.5546875" style="62" customWidth="1"/>
    <col min="8166" max="8166" width="13.44140625" style="62" customWidth="1"/>
    <col min="8167" max="8167" width="11.109375" style="62" customWidth="1"/>
    <col min="8168" max="8168" width="11.33203125" style="62" bestFit="1" customWidth="1"/>
    <col min="8169" max="8169" width="11.5546875" style="62" customWidth="1"/>
    <col min="8170" max="8170" width="8.88671875" style="62"/>
    <col min="8171" max="8171" width="9.88671875" style="62" bestFit="1" customWidth="1"/>
    <col min="8172" max="8172" width="9.109375" style="62" bestFit="1" customWidth="1"/>
    <col min="8173" max="8173" width="9.5546875" style="62" bestFit="1" customWidth="1"/>
    <col min="8174" max="8414" width="9.109375" style="62" bestFit="1" customWidth="1"/>
    <col min="8415" max="8415" width="1.88671875" style="62" customWidth="1"/>
    <col min="8416" max="8416" width="7.33203125" style="62" customWidth="1"/>
    <col min="8417" max="8417" width="9.88671875" style="62" customWidth="1"/>
    <col min="8418" max="8418" width="12.6640625" style="62" customWidth="1"/>
    <col min="8419" max="8419" width="11.109375" style="62" customWidth="1"/>
    <col min="8420" max="8420" width="10.88671875" style="62" customWidth="1"/>
    <col min="8421" max="8421" width="11.5546875" style="62" customWidth="1"/>
    <col min="8422" max="8422" width="13.44140625" style="62" customWidth="1"/>
    <col min="8423" max="8423" width="11.109375" style="62" customWidth="1"/>
    <col min="8424" max="8424" width="11.33203125" style="62" bestFit="1" customWidth="1"/>
    <col min="8425" max="8425" width="11.5546875" style="62" customWidth="1"/>
    <col min="8426" max="8426" width="8.88671875" style="62"/>
    <col min="8427" max="8427" width="9.88671875" style="62" bestFit="1" customWidth="1"/>
    <col min="8428" max="8428" width="9.109375" style="62" bestFit="1" customWidth="1"/>
    <col min="8429" max="8429" width="9.5546875" style="62" bestFit="1" customWidth="1"/>
    <col min="8430" max="8670" width="9.109375" style="62" bestFit="1" customWidth="1"/>
    <col min="8671" max="8671" width="1.88671875" style="62" customWidth="1"/>
    <col min="8672" max="8672" width="7.33203125" style="62" customWidth="1"/>
    <col min="8673" max="8673" width="9.88671875" style="62" customWidth="1"/>
    <col min="8674" max="8674" width="12.6640625" style="62" customWidth="1"/>
    <col min="8675" max="8675" width="11.109375" style="62" customWidth="1"/>
    <col min="8676" max="8676" width="10.88671875" style="62" customWidth="1"/>
    <col min="8677" max="8677" width="11.5546875" style="62" customWidth="1"/>
    <col min="8678" max="8678" width="13.44140625" style="62" customWidth="1"/>
    <col min="8679" max="8679" width="11.109375" style="62" customWidth="1"/>
    <col min="8680" max="8680" width="11.33203125" style="62" bestFit="1" customWidth="1"/>
    <col min="8681" max="8681" width="11.5546875" style="62" customWidth="1"/>
    <col min="8682" max="8682" width="8.88671875" style="62"/>
    <col min="8683" max="8683" width="9.88671875" style="62" bestFit="1" customWidth="1"/>
    <col min="8684" max="8684" width="9.109375" style="62" bestFit="1" customWidth="1"/>
    <col min="8685" max="8685" width="9.5546875" style="62" bestFit="1" customWidth="1"/>
    <col min="8686" max="8926" width="9.109375" style="62" bestFit="1" customWidth="1"/>
    <col min="8927" max="8927" width="1.88671875" style="62" customWidth="1"/>
    <col min="8928" max="8928" width="7.33203125" style="62" customWidth="1"/>
    <col min="8929" max="8929" width="9.88671875" style="62" customWidth="1"/>
    <col min="8930" max="8930" width="12.6640625" style="62" customWidth="1"/>
    <col min="8931" max="8931" width="11.109375" style="62" customWidth="1"/>
    <col min="8932" max="8932" width="10.88671875" style="62" customWidth="1"/>
    <col min="8933" max="8933" width="11.5546875" style="62" customWidth="1"/>
    <col min="8934" max="8934" width="13.44140625" style="62" customWidth="1"/>
    <col min="8935" max="8935" width="11.109375" style="62" customWidth="1"/>
    <col min="8936" max="8936" width="11.33203125" style="62" bestFit="1" customWidth="1"/>
    <col min="8937" max="8937" width="11.5546875" style="62" customWidth="1"/>
    <col min="8938" max="8938" width="8.88671875" style="62"/>
    <col min="8939" max="8939" width="9.88671875" style="62" bestFit="1" customWidth="1"/>
    <col min="8940" max="8940" width="9.109375" style="62" bestFit="1" customWidth="1"/>
    <col min="8941" max="8941" width="9.5546875" style="62" bestFit="1" customWidth="1"/>
    <col min="8942" max="9182" width="9.109375" style="62" bestFit="1" customWidth="1"/>
    <col min="9183" max="9183" width="1.88671875" style="62" customWidth="1"/>
    <col min="9184" max="9184" width="7.33203125" style="62" customWidth="1"/>
    <col min="9185" max="9185" width="9.88671875" style="62" customWidth="1"/>
    <col min="9186" max="9186" width="12.6640625" style="62" customWidth="1"/>
    <col min="9187" max="9187" width="11.109375" style="62" customWidth="1"/>
    <col min="9188" max="9188" width="10.88671875" style="62" customWidth="1"/>
    <col min="9189" max="9189" width="11.5546875" style="62" customWidth="1"/>
    <col min="9190" max="9190" width="13.44140625" style="62" customWidth="1"/>
    <col min="9191" max="9191" width="11.109375" style="62" customWidth="1"/>
    <col min="9192" max="9192" width="11.33203125" style="62" bestFit="1" customWidth="1"/>
    <col min="9193" max="9193" width="11.5546875" style="62" customWidth="1"/>
    <col min="9194" max="9194" width="8.88671875" style="62"/>
    <col min="9195" max="9195" width="9.88671875" style="62" bestFit="1" customWidth="1"/>
    <col min="9196" max="9196" width="9.109375" style="62" bestFit="1" customWidth="1"/>
    <col min="9197" max="9197" width="9.5546875" style="62" bestFit="1" customWidth="1"/>
    <col min="9198" max="9438" width="9.109375" style="62" bestFit="1" customWidth="1"/>
    <col min="9439" max="9439" width="1.88671875" style="62" customWidth="1"/>
    <col min="9440" max="9440" width="7.33203125" style="62" customWidth="1"/>
    <col min="9441" max="9441" width="9.88671875" style="62" customWidth="1"/>
    <col min="9442" max="9442" width="12.6640625" style="62" customWidth="1"/>
    <col min="9443" max="9443" width="11.109375" style="62" customWidth="1"/>
    <col min="9444" max="9444" width="10.88671875" style="62" customWidth="1"/>
    <col min="9445" max="9445" width="11.5546875" style="62" customWidth="1"/>
    <col min="9446" max="9446" width="13.44140625" style="62" customWidth="1"/>
    <col min="9447" max="9447" width="11.109375" style="62" customWidth="1"/>
    <col min="9448" max="9448" width="11.33203125" style="62" bestFit="1" customWidth="1"/>
    <col min="9449" max="9449" width="11.5546875" style="62" customWidth="1"/>
    <col min="9450" max="9450" width="8.88671875" style="62"/>
    <col min="9451" max="9451" width="9.88671875" style="62" bestFit="1" customWidth="1"/>
    <col min="9452" max="9452" width="9.109375" style="62" bestFit="1" customWidth="1"/>
    <col min="9453" max="9453" width="9.5546875" style="62" bestFit="1" customWidth="1"/>
    <col min="9454" max="9694" width="9.109375" style="62" bestFit="1" customWidth="1"/>
    <col min="9695" max="9695" width="1.88671875" style="62" customWidth="1"/>
    <col min="9696" max="9696" width="7.33203125" style="62" customWidth="1"/>
    <col min="9697" max="9697" width="9.88671875" style="62" customWidth="1"/>
    <col min="9698" max="9698" width="12.6640625" style="62" customWidth="1"/>
    <col min="9699" max="9699" width="11.109375" style="62" customWidth="1"/>
    <col min="9700" max="9700" width="10.88671875" style="62" customWidth="1"/>
    <col min="9701" max="9701" width="11.5546875" style="62" customWidth="1"/>
    <col min="9702" max="9702" width="13.44140625" style="62" customWidth="1"/>
    <col min="9703" max="9703" width="11.109375" style="62" customWidth="1"/>
    <col min="9704" max="9704" width="11.33203125" style="62" bestFit="1" customWidth="1"/>
    <col min="9705" max="9705" width="11.5546875" style="62" customWidth="1"/>
    <col min="9706" max="9706" width="8.88671875" style="62"/>
    <col min="9707" max="9707" width="9.88671875" style="62" bestFit="1" customWidth="1"/>
    <col min="9708" max="9708" width="9.109375" style="62" bestFit="1" customWidth="1"/>
    <col min="9709" max="9709" width="9.5546875" style="62" bestFit="1" customWidth="1"/>
    <col min="9710" max="9950" width="9.109375" style="62" bestFit="1" customWidth="1"/>
    <col min="9951" max="9951" width="1.88671875" style="62" customWidth="1"/>
    <col min="9952" max="9952" width="7.33203125" style="62" customWidth="1"/>
    <col min="9953" max="9953" width="9.88671875" style="62" customWidth="1"/>
    <col min="9954" max="9954" width="12.6640625" style="62" customWidth="1"/>
    <col min="9955" max="9955" width="11.109375" style="62" customWidth="1"/>
    <col min="9956" max="9956" width="10.88671875" style="62" customWidth="1"/>
    <col min="9957" max="9957" width="11.5546875" style="62" customWidth="1"/>
    <col min="9958" max="9958" width="13.44140625" style="62" customWidth="1"/>
    <col min="9959" max="9959" width="11.109375" style="62" customWidth="1"/>
    <col min="9960" max="9960" width="11.33203125" style="62" bestFit="1" customWidth="1"/>
    <col min="9961" max="9961" width="11.5546875" style="62" customWidth="1"/>
    <col min="9962" max="9962" width="8.88671875" style="62"/>
    <col min="9963" max="9963" width="9.88671875" style="62" bestFit="1" customWidth="1"/>
    <col min="9964" max="9964" width="9.109375" style="62" bestFit="1" customWidth="1"/>
    <col min="9965" max="9965" width="9.5546875" style="62" bestFit="1" customWidth="1"/>
    <col min="9966" max="10206" width="9.109375" style="62" bestFit="1" customWidth="1"/>
    <col min="10207" max="10207" width="1.88671875" style="62" customWidth="1"/>
    <col min="10208" max="10208" width="7.33203125" style="62" customWidth="1"/>
    <col min="10209" max="10209" width="9.88671875" style="62" customWidth="1"/>
    <col min="10210" max="10210" width="12.6640625" style="62" customWidth="1"/>
    <col min="10211" max="10211" width="11.109375" style="62" customWidth="1"/>
    <col min="10212" max="10212" width="10.88671875" style="62" customWidth="1"/>
    <col min="10213" max="10213" width="11.5546875" style="62" customWidth="1"/>
    <col min="10214" max="10214" width="13.44140625" style="62" customWidth="1"/>
    <col min="10215" max="10215" width="11.109375" style="62" customWidth="1"/>
    <col min="10216" max="10216" width="11.33203125" style="62" bestFit="1" customWidth="1"/>
    <col min="10217" max="10217" width="11.5546875" style="62" customWidth="1"/>
    <col min="10218" max="10218" width="8.88671875" style="62"/>
    <col min="10219" max="10219" width="9.88671875" style="62" bestFit="1" customWidth="1"/>
    <col min="10220" max="10220" width="9.109375" style="62" bestFit="1" customWidth="1"/>
    <col min="10221" max="10221" width="9.5546875" style="62" bestFit="1" customWidth="1"/>
    <col min="10222" max="10462" width="9.109375" style="62" bestFit="1" customWidth="1"/>
    <col min="10463" max="10463" width="1.88671875" style="62" customWidth="1"/>
    <col min="10464" max="10464" width="7.33203125" style="62" customWidth="1"/>
    <col min="10465" max="10465" width="9.88671875" style="62" customWidth="1"/>
    <col min="10466" max="10466" width="12.6640625" style="62" customWidth="1"/>
    <col min="10467" max="10467" width="11.109375" style="62" customWidth="1"/>
    <col min="10468" max="10468" width="10.88671875" style="62" customWidth="1"/>
    <col min="10469" max="10469" width="11.5546875" style="62" customWidth="1"/>
    <col min="10470" max="10470" width="13.44140625" style="62" customWidth="1"/>
    <col min="10471" max="10471" width="11.109375" style="62" customWidth="1"/>
    <col min="10472" max="10472" width="11.33203125" style="62" bestFit="1" customWidth="1"/>
    <col min="10473" max="10473" width="11.5546875" style="62" customWidth="1"/>
    <col min="10474" max="10474" width="8.88671875" style="62"/>
    <col min="10475" max="10475" width="9.88671875" style="62" bestFit="1" customWidth="1"/>
    <col min="10476" max="10476" width="9.109375" style="62" bestFit="1" customWidth="1"/>
    <col min="10477" max="10477" width="9.5546875" style="62" bestFit="1" customWidth="1"/>
    <col min="10478" max="10718" width="9.109375" style="62" bestFit="1" customWidth="1"/>
    <col min="10719" max="10719" width="1.88671875" style="62" customWidth="1"/>
    <col min="10720" max="10720" width="7.33203125" style="62" customWidth="1"/>
    <col min="10721" max="10721" width="9.88671875" style="62" customWidth="1"/>
    <col min="10722" max="10722" width="12.6640625" style="62" customWidth="1"/>
    <col min="10723" max="10723" width="11.109375" style="62" customWidth="1"/>
    <col min="10724" max="10724" width="10.88671875" style="62" customWidth="1"/>
    <col min="10725" max="10725" width="11.5546875" style="62" customWidth="1"/>
    <col min="10726" max="10726" width="13.44140625" style="62" customWidth="1"/>
    <col min="10727" max="10727" width="11.109375" style="62" customWidth="1"/>
    <col min="10728" max="10728" width="11.33203125" style="62" bestFit="1" customWidth="1"/>
    <col min="10729" max="10729" width="11.5546875" style="62" customWidth="1"/>
    <col min="10730" max="10730" width="8.88671875" style="62"/>
    <col min="10731" max="10731" width="9.88671875" style="62" bestFit="1" customWidth="1"/>
    <col min="10732" max="10732" width="9.109375" style="62" bestFit="1" customWidth="1"/>
    <col min="10733" max="10733" width="9.5546875" style="62" bestFit="1" customWidth="1"/>
    <col min="10734" max="10974" width="9.109375" style="62" bestFit="1" customWidth="1"/>
    <col min="10975" max="10975" width="1.88671875" style="62" customWidth="1"/>
    <col min="10976" max="10976" width="7.33203125" style="62" customWidth="1"/>
    <col min="10977" max="10977" width="9.88671875" style="62" customWidth="1"/>
    <col min="10978" max="10978" width="12.6640625" style="62" customWidth="1"/>
    <col min="10979" max="10979" width="11.109375" style="62" customWidth="1"/>
    <col min="10980" max="10980" width="10.88671875" style="62" customWidth="1"/>
    <col min="10981" max="10981" width="11.5546875" style="62" customWidth="1"/>
    <col min="10982" max="10982" width="13.44140625" style="62" customWidth="1"/>
    <col min="10983" max="10983" width="11.109375" style="62" customWidth="1"/>
    <col min="10984" max="10984" width="11.33203125" style="62" bestFit="1" customWidth="1"/>
    <col min="10985" max="10985" width="11.5546875" style="62" customWidth="1"/>
    <col min="10986" max="10986" width="8.88671875" style="62"/>
    <col min="10987" max="10987" width="9.88671875" style="62" bestFit="1" customWidth="1"/>
    <col min="10988" max="10988" width="9.109375" style="62" bestFit="1" customWidth="1"/>
    <col min="10989" max="10989" width="9.5546875" style="62" bestFit="1" customWidth="1"/>
    <col min="10990" max="11230" width="9.109375" style="62" bestFit="1" customWidth="1"/>
    <col min="11231" max="11231" width="1.88671875" style="62" customWidth="1"/>
    <col min="11232" max="11232" width="7.33203125" style="62" customWidth="1"/>
    <col min="11233" max="11233" width="9.88671875" style="62" customWidth="1"/>
    <col min="11234" max="11234" width="12.6640625" style="62" customWidth="1"/>
    <col min="11235" max="11235" width="11.109375" style="62" customWidth="1"/>
    <col min="11236" max="11236" width="10.88671875" style="62" customWidth="1"/>
    <col min="11237" max="11237" width="11.5546875" style="62" customWidth="1"/>
    <col min="11238" max="11238" width="13.44140625" style="62" customWidth="1"/>
    <col min="11239" max="11239" width="11.109375" style="62" customWidth="1"/>
    <col min="11240" max="11240" width="11.33203125" style="62" bestFit="1" customWidth="1"/>
    <col min="11241" max="11241" width="11.5546875" style="62" customWidth="1"/>
    <col min="11242" max="11242" width="8.88671875" style="62"/>
    <col min="11243" max="11243" width="9.88671875" style="62" bestFit="1" customWidth="1"/>
    <col min="11244" max="11244" width="9.109375" style="62" bestFit="1" customWidth="1"/>
    <col min="11245" max="11245" width="9.5546875" style="62" bestFit="1" customWidth="1"/>
    <col min="11246" max="11486" width="9.109375" style="62" bestFit="1" customWidth="1"/>
    <col min="11487" max="11487" width="1.88671875" style="62" customWidth="1"/>
    <col min="11488" max="11488" width="7.33203125" style="62" customWidth="1"/>
    <col min="11489" max="11489" width="9.88671875" style="62" customWidth="1"/>
    <col min="11490" max="11490" width="12.6640625" style="62" customWidth="1"/>
    <col min="11491" max="11491" width="11.109375" style="62" customWidth="1"/>
    <col min="11492" max="11492" width="10.88671875" style="62" customWidth="1"/>
    <col min="11493" max="11493" width="11.5546875" style="62" customWidth="1"/>
    <col min="11494" max="11494" width="13.44140625" style="62" customWidth="1"/>
    <col min="11495" max="11495" width="11.109375" style="62" customWidth="1"/>
    <col min="11496" max="11496" width="11.33203125" style="62" bestFit="1" customWidth="1"/>
    <col min="11497" max="11497" width="11.5546875" style="62" customWidth="1"/>
    <col min="11498" max="11498" width="8.88671875" style="62"/>
    <col min="11499" max="11499" width="9.88671875" style="62" bestFit="1" customWidth="1"/>
    <col min="11500" max="11500" width="9.109375" style="62" bestFit="1" customWidth="1"/>
    <col min="11501" max="11501" width="9.5546875" style="62" bestFit="1" customWidth="1"/>
    <col min="11502" max="11742" width="9.109375" style="62" bestFit="1" customWidth="1"/>
    <col min="11743" max="11743" width="1.88671875" style="62" customWidth="1"/>
    <col min="11744" max="11744" width="7.33203125" style="62" customWidth="1"/>
    <col min="11745" max="11745" width="9.88671875" style="62" customWidth="1"/>
    <col min="11746" max="11746" width="12.6640625" style="62" customWidth="1"/>
    <col min="11747" max="11747" width="11.109375" style="62" customWidth="1"/>
    <col min="11748" max="11748" width="10.88671875" style="62" customWidth="1"/>
    <col min="11749" max="11749" width="11.5546875" style="62" customWidth="1"/>
    <col min="11750" max="11750" width="13.44140625" style="62" customWidth="1"/>
    <col min="11751" max="11751" width="11.109375" style="62" customWidth="1"/>
    <col min="11752" max="11752" width="11.33203125" style="62" bestFit="1" customWidth="1"/>
    <col min="11753" max="11753" width="11.5546875" style="62" customWidth="1"/>
    <col min="11754" max="11754" width="8.88671875" style="62"/>
    <col min="11755" max="11755" width="9.88671875" style="62" bestFit="1" customWidth="1"/>
    <col min="11756" max="11756" width="9.109375" style="62" bestFit="1" customWidth="1"/>
    <col min="11757" max="11757" width="9.5546875" style="62" bestFit="1" customWidth="1"/>
    <col min="11758" max="11998" width="9.109375" style="62" bestFit="1" customWidth="1"/>
    <col min="11999" max="11999" width="1.88671875" style="62" customWidth="1"/>
    <col min="12000" max="12000" width="7.33203125" style="62" customWidth="1"/>
    <col min="12001" max="12001" width="9.88671875" style="62" customWidth="1"/>
    <col min="12002" max="12002" width="12.6640625" style="62" customWidth="1"/>
    <col min="12003" max="12003" width="11.109375" style="62" customWidth="1"/>
    <col min="12004" max="12004" width="10.88671875" style="62" customWidth="1"/>
    <col min="12005" max="12005" width="11.5546875" style="62" customWidth="1"/>
    <col min="12006" max="12006" width="13.44140625" style="62" customWidth="1"/>
    <col min="12007" max="12007" width="11.109375" style="62" customWidth="1"/>
    <col min="12008" max="12008" width="11.33203125" style="62" bestFit="1" customWidth="1"/>
    <col min="12009" max="12009" width="11.5546875" style="62" customWidth="1"/>
    <col min="12010" max="12010" width="8.88671875" style="62"/>
    <col min="12011" max="12011" width="9.88671875" style="62" bestFit="1" customWidth="1"/>
    <col min="12012" max="12012" width="9.109375" style="62" bestFit="1" customWidth="1"/>
    <col min="12013" max="12013" width="9.5546875" style="62" bestFit="1" customWidth="1"/>
    <col min="12014" max="12254" width="9.109375" style="62" bestFit="1" customWidth="1"/>
    <col min="12255" max="12255" width="1.88671875" style="62" customWidth="1"/>
    <col min="12256" max="12256" width="7.33203125" style="62" customWidth="1"/>
    <col min="12257" max="12257" width="9.88671875" style="62" customWidth="1"/>
    <col min="12258" max="12258" width="12.6640625" style="62" customWidth="1"/>
    <col min="12259" max="12259" width="11.109375" style="62" customWidth="1"/>
    <col min="12260" max="12260" width="10.88671875" style="62" customWidth="1"/>
    <col min="12261" max="12261" width="11.5546875" style="62" customWidth="1"/>
    <col min="12262" max="12262" width="13.44140625" style="62" customWidth="1"/>
    <col min="12263" max="12263" width="11.109375" style="62" customWidth="1"/>
    <col min="12264" max="12264" width="11.33203125" style="62" bestFit="1" customWidth="1"/>
    <col min="12265" max="12265" width="11.5546875" style="62" customWidth="1"/>
    <col min="12266" max="12266" width="8.88671875" style="62"/>
    <col min="12267" max="12267" width="9.88671875" style="62" bestFit="1" customWidth="1"/>
    <col min="12268" max="12268" width="9.109375" style="62" bestFit="1" customWidth="1"/>
    <col min="12269" max="12269" width="9.5546875" style="62" bestFit="1" customWidth="1"/>
    <col min="12270" max="12510" width="9.109375" style="62" bestFit="1" customWidth="1"/>
    <col min="12511" max="12511" width="1.88671875" style="62" customWidth="1"/>
    <col min="12512" max="12512" width="7.33203125" style="62" customWidth="1"/>
    <col min="12513" max="12513" width="9.88671875" style="62" customWidth="1"/>
    <col min="12514" max="12514" width="12.6640625" style="62" customWidth="1"/>
    <col min="12515" max="12515" width="11.109375" style="62" customWidth="1"/>
    <col min="12516" max="12516" width="10.88671875" style="62" customWidth="1"/>
    <col min="12517" max="12517" width="11.5546875" style="62" customWidth="1"/>
    <col min="12518" max="12518" width="13.44140625" style="62" customWidth="1"/>
    <col min="12519" max="12519" width="11.109375" style="62" customWidth="1"/>
    <col min="12520" max="12520" width="11.33203125" style="62" bestFit="1" customWidth="1"/>
    <col min="12521" max="12521" width="11.5546875" style="62" customWidth="1"/>
    <col min="12522" max="12522" width="8.88671875" style="62"/>
    <col min="12523" max="12523" width="9.88671875" style="62" bestFit="1" customWidth="1"/>
    <col min="12524" max="12524" width="9.109375" style="62" bestFit="1" customWidth="1"/>
    <col min="12525" max="12525" width="9.5546875" style="62" bestFit="1" customWidth="1"/>
    <col min="12526" max="12766" width="9.109375" style="62" bestFit="1" customWidth="1"/>
    <col min="12767" max="12767" width="1.88671875" style="62" customWidth="1"/>
    <col min="12768" max="12768" width="7.33203125" style="62" customWidth="1"/>
    <col min="12769" max="12769" width="9.88671875" style="62" customWidth="1"/>
    <col min="12770" max="12770" width="12.6640625" style="62" customWidth="1"/>
    <col min="12771" max="12771" width="11.109375" style="62" customWidth="1"/>
    <col min="12772" max="12772" width="10.88671875" style="62" customWidth="1"/>
    <col min="12773" max="12773" width="11.5546875" style="62" customWidth="1"/>
    <col min="12774" max="12774" width="13.44140625" style="62" customWidth="1"/>
    <col min="12775" max="12775" width="11.109375" style="62" customWidth="1"/>
    <col min="12776" max="12776" width="11.33203125" style="62" bestFit="1" customWidth="1"/>
    <col min="12777" max="12777" width="11.5546875" style="62" customWidth="1"/>
    <col min="12778" max="12778" width="8.88671875" style="62"/>
    <col min="12779" max="12779" width="9.88671875" style="62" bestFit="1" customWidth="1"/>
    <col min="12780" max="12780" width="9.109375" style="62" bestFit="1" customWidth="1"/>
    <col min="12781" max="12781" width="9.5546875" style="62" bestFit="1" customWidth="1"/>
    <col min="12782" max="13022" width="9.109375" style="62" bestFit="1" customWidth="1"/>
    <col min="13023" max="13023" width="1.88671875" style="62" customWidth="1"/>
    <col min="13024" max="13024" width="7.33203125" style="62" customWidth="1"/>
    <col min="13025" max="13025" width="9.88671875" style="62" customWidth="1"/>
    <col min="13026" max="13026" width="12.6640625" style="62" customWidth="1"/>
    <col min="13027" max="13027" width="11.109375" style="62" customWidth="1"/>
    <col min="13028" max="13028" width="10.88671875" style="62" customWidth="1"/>
    <col min="13029" max="13029" width="11.5546875" style="62" customWidth="1"/>
    <col min="13030" max="13030" width="13.44140625" style="62" customWidth="1"/>
    <col min="13031" max="13031" width="11.109375" style="62" customWidth="1"/>
    <col min="13032" max="13032" width="11.33203125" style="62" bestFit="1" customWidth="1"/>
    <col min="13033" max="13033" width="11.5546875" style="62" customWidth="1"/>
    <col min="13034" max="13034" width="8.88671875" style="62"/>
    <col min="13035" max="13035" width="9.88671875" style="62" bestFit="1" customWidth="1"/>
    <col min="13036" max="13036" width="9.109375" style="62" bestFit="1" customWidth="1"/>
    <col min="13037" max="13037" width="9.5546875" style="62" bestFit="1" customWidth="1"/>
    <col min="13038" max="13278" width="9.109375" style="62" bestFit="1" customWidth="1"/>
    <col min="13279" max="13279" width="1.88671875" style="62" customWidth="1"/>
    <col min="13280" max="13280" width="7.33203125" style="62" customWidth="1"/>
    <col min="13281" max="13281" width="9.88671875" style="62" customWidth="1"/>
    <col min="13282" max="13282" width="12.6640625" style="62" customWidth="1"/>
    <col min="13283" max="13283" width="11.109375" style="62" customWidth="1"/>
    <col min="13284" max="13284" width="10.88671875" style="62" customWidth="1"/>
    <col min="13285" max="13285" width="11.5546875" style="62" customWidth="1"/>
    <col min="13286" max="13286" width="13.44140625" style="62" customWidth="1"/>
    <col min="13287" max="13287" width="11.109375" style="62" customWidth="1"/>
    <col min="13288" max="13288" width="11.33203125" style="62" bestFit="1" customWidth="1"/>
    <col min="13289" max="13289" width="11.5546875" style="62" customWidth="1"/>
    <col min="13290" max="13290" width="8.88671875" style="62"/>
    <col min="13291" max="13291" width="9.88671875" style="62" bestFit="1" customWidth="1"/>
    <col min="13292" max="13292" width="9.109375" style="62" bestFit="1" customWidth="1"/>
    <col min="13293" max="13293" width="9.5546875" style="62" bestFit="1" customWidth="1"/>
    <col min="13294" max="13534" width="9.109375" style="62" bestFit="1" customWidth="1"/>
    <col min="13535" max="13535" width="1.88671875" style="62" customWidth="1"/>
    <col min="13536" max="13536" width="7.33203125" style="62" customWidth="1"/>
    <col min="13537" max="13537" width="9.88671875" style="62" customWidth="1"/>
    <col min="13538" max="13538" width="12.6640625" style="62" customWidth="1"/>
    <col min="13539" max="13539" width="11.109375" style="62" customWidth="1"/>
    <col min="13540" max="13540" width="10.88671875" style="62" customWidth="1"/>
    <col min="13541" max="13541" width="11.5546875" style="62" customWidth="1"/>
    <col min="13542" max="13542" width="13.44140625" style="62" customWidth="1"/>
    <col min="13543" max="13543" width="11.109375" style="62" customWidth="1"/>
    <col min="13544" max="13544" width="11.33203125" style="62" bestFit="1" customWidth="1"/>
    <col min="13545" max="13545" width="11.5546875" style="62" customWidth="1"/>
    <col min="13546" max="13546" width="8.88671875" style="62"/>
    <col min="13547" max="13547" width="9.88671875" style="62" bestFit="1" customWidth="1"/>
    <col min="13548" max="13548" width="9.109375" style="62" bestFit="1" customWidth="1"/>
    <col min="13549" max="13549" width="9.5546875" style="62" bestFit="1" customWidth="1"/>
    <col min="13550" max="13790" width="9.109375" style="62" bestFit="1" customWidth="1"/>
    <col min="13791" max="13791" width="1.88671875" style="62" customWidth="1"/>
    <col min="13792" max="13792" width="7.33203125" style="62" customWidth="1"/>
    <col min="13793" max="13793" width="9.88671875" style="62" customWidth="1"/>
    <col min="13794" max="13794" width="12.6640625" style="62" customWidth="1"/>
    <col min="13795" max="13795" width="11.109375" style="62" customWidth="1"/>
    <col min="13796" max="13796" width="10.88671875" style="62" customWidth="1"/>
    <col min="13797" max="13797" width="11.5546875" style="62" customWidth="1"/>
    <col min="13798" max="13798" width="13.44140625" style="62" customWidth="1"/>
    <col min="13799" max="13799" width="11.109375" style="62" customWidth="1"/>
    <col min="13800" max="13800" width="11.33203125" style="62" bestFit="1" customWidth="1"/>
    <col min="13801" max="13801" width="11.5546875" style="62" customWidth="1"/>
    <col min="13802" max="13802" width="8.88671875" style="62"/>
    <col min="13803" max="13803" width="9.88671875" style="62" bestFit="1" customWidth="1"/>
    <col min="13804" max="13804" width="9.109375" style="62" bestFit="1" customWidth="1"/>
    <col min="13805" max="13805" width="9.5546875" style="62" bestFit="1" customWidth="1"/>
    <col min="13806" max="14046" width="9.109375" style="62" bestFit="1" customWidth="1"/>
    <col min="14047" max="14047" width="1.88671875" style="62" customWidth="1"/>
    <col min="14048" max="14048" width="7.33203125" style="62" customWidth="1"/>
    <col min="14049" max="14049" width="9.88671875" style="62" customWidth="1"/>
    <col min="14050" max="14050" width="12.6640625" style="62" customWidth="1"/>
    <col min="14051" max="14051" width="11.109375" style="62" customWidth="1"/>
    <col min="14052" max="14052" width="10.88671875" style="62" customWidth="1"/>
    <col min="14053" max="14053" width="11.5546875" style="62" customWidth="1"/>
    <col min="14054" max="14054" width="13.44140625" style="62" customWidth="1"/>
    <col min="14055" max="14055" width="11.109375" style="62" customWidth="1"/>
    <col min="14056" max="14056" width="11.33203125" style="62" bestFit="1" customWidth="1"/>
    <col min="14057" max="14057" width="11.5546875" style="62" customWidth="1"/>
    <col min="14058" max="14058" width="8.88671875" style="62"/>
    <col min="14059" max="14059" width="9.88671875" style="62" bestFit="1" customWidth="1"/>
    <col min="14060" max="14060" width="9.109375" style="62" bestFit="1" customWidth="1"/>
    <col min="14061" max="14061" width="9.5546875" style="62" bestFit="1" customWidth="1"/>
    <col min="14062" max="14302" width="9.109375" style="62" bestFit="1" customWidth="1"/>
    <col min="14303" max="14303" width="1.88671875" style="62" customWidth="1"/>
    <col min="14304" max="14304" width="7.33203125" style="62" customWidth="1"/>
    <col min="14305" max="14305" width="9.88671875" style="62" customWidth="1"/>
    <col min="14306" max="14306" width="12.6640625" style="62" customWidth="1"/>
    <col min="14307" max="14307" width="11.109375" style="62" customWidth="1"/>
    <col min="14308" max="14308" width="10.88671875" style="62" customWidth="1"/>
    <col min="14309" max="14309" width="11.5546875" style="62" customWidth="1"/>
    <col min="14310" max="14310" width="13.44140625" style="62" customWidth="1"/>
    <col min="14311" max="14311" width="11.109375" style="62" customWidth="1"/>
    <col min="14312" max="14312" width="11.33203125" style="62" bestFit="1" customWidth="1"/>
    <col min="14313" max="14313" width="11.5546875" style="62" customWidth="1"/>
    <col min="14314" max="14314" width="8.88671875" style="62"/>
    <col min="14315" max="14315" width="9.88671875" style="62" bestFit="1" customWidth="1"/>
    <col min="14316" max="14316" width="9.109375" style="62" bestFit="1" customWidth="1"/>
    <col min="14317" max="14317" width="9.5546875" style="62" bestFit="1" customWidth="1"/>
    <col min="14318" max="14558" width="9.109375" style="62" bestFit="1" customWidth="1"/>
    <col min="14559" max="14559" width="1.88671875" style="62" customWidth="1"/>
    <col min="14560" max="14560" width="7.33203125" style="62" customWidth="1"/>
    <col min="14561" max="14561" width="9.88671875" style="62" customWidth="1"/>
    <col min="14562" max="14562" width="12.6640625" style="62" customWidth="1"/>
    <col min="14563" max="14563" width="11.109375" style="62" customWidth="1"/>
    <col min="14564" max="14564" width="10.88671875" style="62" customWidth="1"/>
    <col min="14565" max="14565" width="11.5546875" style="62" customWidth="1"/>
    <col min="14566" max="14566" width="13.44140625" style="62" customWidth="1"/>
    <col min="14567" max="14567" width="11.109375" style="62" customWidth="1"/>
    <col min="14568" max="14568" width="11.33203125" style="62" bestFit="1" customWidth="1"/>
    <col min="14569" max="14569" width="11.5546875" style="62" customWidth="1"/>
    <col min="14570" max="14570" width="8.88671875" style="62"/>
    <col min="14571" max="14571" width="9.88671875" style="62" bestFit="1" customWidth="1"/>
    <col min="14572" max="14572" width="9.109375" style="62" bestFit="1" customWidth="1"/>
    <col min="14573" max="14573" width="9.5546875" style="62" bestFit="1" customWidth="1"/>
    <col min="14574" max="14814" width="9.109375" style="62" bestFit="1" customWidth="1"/>
    <col min="14815" max="14815" width="1.88671875" style="62" customWidth="1"/>
    <col min="14816" max="14816" width="7.33203125" style="62" customWidth="1"/>
    <col min="14817" max="14817" width="9.88671875" style="62" customWidth="1"/>
    <col min="14818" max="14818" width="12.6640625" style="62" customWidth="1"/>
    <col min="14819" max="14819" width="11.109375" style="62" customWidth="1"/>
    <col min="14820" max="14820" width="10.88671875" style="62" customWidth="1"/>
    <col min="14821" max="14821" width="11.5546875" style="62" customWidth="1"/>
    <col min="14822" max="14822" width="13.44140625" style="62" customWidth="1"/>
    <col min="14823" max="14823" width="11.109375" style="62" customWidth="1"/>
    <col min="14824" max="14824" width="11.33203125" style="62" bestFit="1" customWidth="1"/>
    <col min="14825" max="14825" width="11.5546875" style="62" customWidth="1"/>
    <col min="14826" max="14826" width="8.88671875" style="62"/>
    <col min="14827" max="14827" width="9.88671875" style="62" bestFit="1" customWidth="1"/>
    <col min="14828" max="14828" width="9.109375" style="62" bestFit="1" customWidth="1"/>
    <col min="14829" max="14829" width="9.5546875" style="62" bestFit="1" customWidth="1"/>
    <col min="14830" max="15070" width="9.109375" style="62" bestFit="1" customWidth="1"/>
    <col min="15071" max="15071" width="1.88671875" style="62" customWidth="1"/>
    <col min="15072" max="15072" width="7.33203125" style="62" customWidth="1"/>
    <col min="15073" max="15073" width="9.88671875" style="62" customWidth="1"/>
    <col min="15074" max="15074" width="12.6640625" style="62" customWidth="1"/>
    <col min="15075" max="15075" width="11.109375" style="62" customWidth="1"/>
    <col min="15076" max="15076" width="10.88671875" style="62" customWidth="1"/>
    <col min="15077" max="15077" width="11.5546875" style="62" customWidth="1"/>
    <col min="15078" max="15078" width="13.44140625" style="62" customWidth="1"/>
    <col min="15079" max="15079" width="11.109375" style="62" customWidth="1"/>
    <col min="15080" max="15080" width="11.33203125" style="62" bestFit="1" customWidth="1"/>
    <col min="15081" max="15081" width="11.5546875" style="62" customWidth="1"/>
    <col min="15082" max="15082" width="8.88671875" style="62"/>
    <col min="15083" max="15083" width="9.88671875" style="62" bestFit="1" customWidth="1"/>
    <col min="15084" max="15084" width="9.109375" style="62" bestFit="1" customWidth="1"/>
    <col min="15085" max="15085" width="9.5546875" style="62" bestFit="1" customWidth="1"/>
    <col min="15086" max="15326" width="9.109375" style="62" bestFit="1" customWidth="1"/>
    <col min="15327" max="15327" width="1.88671875" style="62" customWidth="1"/>
    <col min="15328" max="15328" width="7.33203125" style="62" customWidth="1"/>
    <col min="15329" max="15329" width="9.88671875" style="62" customWidth="1"/>
    <col min="15330" max="15330" width="12.6640625" style="62" customWidth="1"/>
    <col min="15331" max="15331" width="11.109375" style="62" customWidth="1"/>
    <col min="15332" max="15332" width="10.88671875" style="62" customWidth="1"/>
    <col min="15333" max="15333" width="11.5546875" style="62" customWidth="1"/>
    <col min="15334" max="15334" width="13.44140625" style="62" customWidth="1"/>
    <col min="15335" max="15335" width="11.109375" style="62" customWidth="1"/>
    <col min="15336" max="15336" width="11.33203125" style="62" bestFit="1" customWidth="1"/>
    <col min="15337" max="15337" width="11.5546875" style="62" customWidth="1"/>
    <col min="15338" max="15338" width="8.88671875" style="62"/>
    <col min="15339" max="15339" width="9.88671875" style="62" bestFit="1" customWidth="1"/>
    <col min="15340" max="15340" width="9.109375" style="62" bestFit="1" customWidth="1"/>
    <col min="15341" max="15341" width="9.5546875" style="62" bestFit="1" customWidth="1"/>
    <col min="15342" max="15582" width="9.109375" style="62" bestFit="1" customWidth="1"/>
    <col min="15583" max="15583" width="1.88671875" style="62" customWidth="1"/>
    <col min="15584" max="15584" width="7.33203125" style="62" customWidth="1"/>
    <col min="15585" max="15585" width="9.88671875" style="62" customWidth="1"/>
    <col min="15586" max="15586" width="12.6640625" style="62" customWidth="1"/>
    <col min="15587" max="15587" width="11.109375" style="62" customWidth="1"/>
    <col min="15588" max="15588" width="10.88671875" style="62" customWidth="1"/>
    <col min="15589" max="15589" width="11.5546875" style="62" customWidth="1"/>
    <col min="15590" max="15590" width="13.44140625" style="62" customWidth="1"/>
    <col min="15591" max="15591" width="11.109375" style="62" customWidth="1"/>
    <col min="15592" max="15592" width="11.33203125" style="62" bestFit="1" customWidth="1"/>
    <col min="15593" max="15593" width="11.5546875" style="62" customWidth="1"/>
    <col min="15594" max="15594" width="8.88671875" style="62"/>
    <col min="15595" max="15595" width="9.88671875" style="62" bestFit="1" customWidth="1"/>
    <col min="15596" max="15596" width="9.109375" style="62" bestFit="1" customWidth="1"/>
    <col min="15597" max="15597" width="9.5546875" style="62" bestFit="1" customWidth="1"/>
    <col min="15598" max="15838" width="9.109375" style="62" bestFit="1" customWidth="1"/>
    <col min="15839" max="15839" width="1.88671875" style="62" customWidth="1"/>
    <col min="15840" max="15840" width="7.33203125" style="62" customWidth="1"/>
    <col min="15841" max="15841" width="9.88671875" style="62" customWidth="1"/>
    <col min="15842" max="15842" width="12.6640625" style="62" customWidth="1"/>
    <col min="15843" max="15843" width="11.109375" style="62" customWidth="1"/>
    <col min="15844" max="15844" width="10.88671875" style="62" customWidth="1"/>
    <col min="15845" max="15845" width="11.5546875" style="62" customWidth="1"/>
    <col min="15846" max="15846" width="13.44140625" style="62" customWidth="1"/>
    <col min="15847" max="15847" width="11.109375" style="62" customWidth="1"/>
    <col min="15848" max="15848" width="11.33203125" style="62" bestFit="1" customWidth="1"/>
    <col min="15849" max="15849" width="11.5546875" style="62" customWidth="1"/>
    <col min="15850" max="15850" width="8.88671875" style="62"/>
    <col min="15851" max="15851" width="9.88671875" style="62" bestFit="1" customWidth="1"/>
    <col min="15852" max="15852" width="9.109375" style="62" bestFit="1" customWidth="1"/>
    <col min="15853" max="15853" width="9.5546875" style="62" bestFit="1" customWidth="1"/>
    <col min="15854" max="16094" width="9.109375" style="62" bestFit="1" customWidth="1"/>
    <col min="16095" max="16095" width="1.88671875" style="62" customWidth="1"/>
    <col min="16096" max="16096" width="7.33203125" style="62" customWidth="1"/>
    <col min="16097" max="16097" width="9.88671875" style="62" customWidth="1"/>
    <col min="16098" max="16098" width="12.6640625" style="62" customWidth="1"/>
    <col min="16099" max="16099" width="11.109375" style="62" customWidth="1"/>
    <col min="16100" max="16100" width="10.88671875" style="62" customWidth="1"/>
    <col min="16101" max="16101" width="11.5546875" style="62" customWidth="1"/>
    <col min="16102" max="16102" width="13.44140625" style="62" customWidth="1"/>
    <col min="16103" max="16103" width="11.109375" style="62" customWidth="1"/>
    <col min="16104" max="16104" width="11.33203125" style="62" bestFit="1" customWidth="1"/>
    <col min="16105" max="16105" width="11.5546875" style="62" customWidth="1"/>
    <col min="16106" max="16106" width="8.88671875" style="62"/>
    <col min="16107" max="16107" width="9.88671875" style="62" bestFit="1" customWidth="1"/>
    <col min="16108" max="16108" width="9.109375" style="62" bestFit="1" customWidth="1"/>
    <col min="16109" max="16109" width="9.5546875" style="62" bestFit="1" customWidth="1"/>
    <col min="16110" max="16384" width="8.88671875" style="62"/>
  </cols>
  <sheetData>
    <row r="1" spans="1:7" ht="17.399999999999999" customHeight="1" x14ac:dyDescent="0.3">
      <c r="A1" s="321" t="s">
        <v>433</v>
      </c>
      <c r="B1" s="322"/>
      <c r="C1" s="322"/>
      <c r="D1" s="323"/>
    </row>
    <row r="2" spans="1:7" ht="13.8" customHeight="1" x14ac:dyDescent="0.3">
      <c r="A2" s="324" t="s">
        <v>434</v>
      </c>
      <c r="B2" s="325"/>
      <c r="C2" s="325"/>
      <c r="D2" s="326"/>
    </row>
    <row r="3" spans="1:7" ht="13.8" customHeight="1" thickBot="1" x14ac:dyDescent="0.35">
      <c r="A3" s="327" t="s">
        <v>41</v>
      </c>
      <c r="B3" s="328"/>
      <c r="C3" s="328"/>
      <c r="D3" s="329"/>
    </row>
    <row r="5" spans="1:7" x14ac:dyDescent="0.3">
      <c r="A5" s="339" t="s">
        <v>585</v>
      </c>
      <c r="B5" s="339"/>
      <c r="C5" s="339"/>
      <c r="D5" s="339"/>
      <c r="G5" s="77"/>
    </row>
    <row r="6" spans="1:7" ht="13.8" thickBot="1" x14ac:dyDescent="0.35">
      <c r="A6" s="330"/>
      <c r="B6" s="330"/>
      <c r="C6" s="330"/>
      <c r="D6" s="330"/>
    </row>
    <row r="7" spans="1:7" ht="13.8" thickBot="1" x14ac:dyDescent="0.35">
      <c r="A7" s="331" t="s">
        <v>138</v>
      </c>
      <c r="B7" s="332"/>
      <c r="C7" s="332"/>
      <c r="D7" s="333"/>
    </row>
    <row r="8" spans="1:7" x14ac:dyDescent="0.3">
      <c r="A8" s="63" t="s">
        <v>139</v>
      </c>
      <c r="B8" s="64" t="s">
        <v>140</v>
      </c>
      <c r="C8" s="65"/>
      <c r="D8" s="66"/>
    </row>
    <row r="9" spans="1:7" x14ac:dyDescent="0.3">
      <c r="A9" s="67" t="s">
        <v>141</v>
      </c>
      <c r="B9" s="68" t="s">
        <v>142</v>
      </c>
      <c r="C9" s="69"/>
      <c r="D9" s="70"/>
    </row>
    <row r="10" spans="1:7" x14ac:dyDescent="0.3">
      <c r="A10" s="67" t="s">
        <v>143</v>
      </c>
      <c r="B10" s="68" t="s">
        <v>144</v>
      </c>
      <c r="C10" s="69"/>
      <c r="D10" s="70"/>
    </row>
    <row r="11" spans="1:7" ht="13.8" thickBot="1" x14ac:dyDescent="0.35">
      <c r="A11" s="71" t="s">
        <v>145</v>
      </c>
      <c r="B11" s="72" t="s">
        <v>146</v>
      </c>
      <c r="C11" s="73"/>
      <c r="D11" s="74"/>
    </row>
    <row r="12" spans="1:7" ht="13.8" thickBot="1" x14ac:dyDescent="0.35">
      <c r="A12" s="75"/>
      <c r="B12" s="76"/>
      <c r="D12" s="78"/>
    </row>
    <row r="13" spans="1:7" ht="13.8" thickBot="1" x14ac:dyDescent="0.35">
      <c r="A13" s="331" t="s">
        <v>147</v>
      </c>
      <c r="B13" s="332"/>
      <c r="C13" s="332"/>
      <c r="D13" s="333"/>
    </row>
    <row r="14" spans="1:7" x14ac:dyDescent="0.3">
      <c r="A14" s="63" t="s">
        <v>148</v>
      </c>
      <c r="B14" s="64" t="s">
        <v>149</v>
      </c>
      <c r="C14" s="79"/>
      <c r="D14" s="180">
        <f>'ENCARREGADO '!D14</f>
        <v>44396</v>
      </c>
    </row>
    <row r="15" spans="1:7" x14ac:dyDescent="0.3">
      <c r="A15" s="67" t="s">
        <v>150</v>
      </c>
      <c r="B15" s="68" t="s">
        <v>151</v>
      </c>
      <c r="C15" s="80"/>
      <c r="D15" s="81" t="str">
        <f>'ENCARREGADO '!D15</f>
        <v>Mossoró/RN</v>
      </c>
    </row>
    <row r="16" spans="1:7" x14ac:dyDescent="0.3">
      <c r="A16" s="67" t="s">
        <v>152</v>
      </c>
      <c r="B16" s="68" t="s">
        <v>153</v>
      </c>
      <c r="C16" s="80"/>
      <c r="D16" s="81" t="s">
        <v>154</v>
      </c>
    </row>
    <row r="17" spans="1:5" x14ac:dyDescent="0.3">
      <c r="A17" s="67" t="s">
        <v>155</v>
      </c>
      <c r="B17" s="68" t="s">
        <v>156</v>
      </c>
      <c r="C17" s="334" t="s">
        <v>157</v>
      </c>
      <c r="D17" s="335"/>
    </row>
    <row r="18" spans="1:5" x14ac:dyDescent="0.3">
      <c r="A18" s="67" t="s">
        <v>158</v>
      </c>
      <c r="B18" s="68" t="s">
        <v>159</v>
      </c>
      <c r="C18" s="82"/>
      <c r="D18" s="83" t="s">
        <v>160</v>
      </c>
    </row>
    <row r="19" spans="1:5" ht="13.8" thickBot="1" x14ac:dyDescent="0.35">
      <c r="A19" s="71" t="s">
        <v>161</v>
      </c>
      <c r="B19" s="84" t="s">
        <v>162</v>
      </c>
      <c r="C19" s="85"/>
      <c r="D19" s="86">
        <v>1045</v>
      </c>
    </row>
    <row r="20" spans="1:5" ht="13.8" thickBot="1" x14ac:dyDescent="0.35">
      <c r="D20" s="78"/>
    </row>
    <row r="21" spans="1:5" ht="13.8" thickBot="1" x14ac:dyDescent="0.35">
      <c r="A21" s="336" t="s">
        <v>163</v>
      </c>
      <c r="B21" s="337"/>
      <c r="C21" s="337"/>
      <c r="D21" s="338"/>
      <c r="E21" s="87"/>
    </row>
    <row r="22" spans="1:5" ht="26.4" customHeight="1" x14ac:dyDescent="0.3">
      <c r="A22" s="67" t="s">
        <v>164</v>
      </c>
      <c r="B22" s="320" t="s">
        <v>165</v>
      </c>
      <c r="C22" s="320"/>
      <c r="D22" s="61" t="s">
        <v>275</v>
      </c>
    </row>
    <row r="23" spans="1:5" ht="13.8" x14ac:dyDescent="0.3">
      <c r="A23" s="67" t="s">
        <v>167</v>
      </c>
      <c r="B23" s="320" t="s">
        <v>168</v>
      </c>
      <c r="C23" s="320"/>
      <c r="D23" s="88" t="s">
        <v>136</v>
      </c>
      <c r="E23" s="89"/>
    </row>
    <row r="24" spans="1:5" x14ac:dyDescent="0.25">
      <c r="A24" s="67" t="s">
        <v>169</v>
      </c>
      <c r="B24" s="320" t="s">
        <v>170</v>
      </c>
      <c r="C24" s="320"/>
      <c r="D24" s="171">
        <v>1420.34</v>
      </c>
      <c r="E24" s="90"/>
    </row>
    <row r="25" spans="1:5" x14ac:dyDescent="0.3">
      <c r="A25" s="67" t="s">
        <v>171</v>
      </c>
      <c r="B25" s="320" t="s">
        <v>172</v>
      </c>
      <c r="C25" s="320"/>
      <c r="D25" s="177" t="str">
        <f>'ENCARREGADO '!D25</f>
        <v>14021.139845/2021-93</v>
      </c>
    </row>
    <row r="26" spans="1:5" x14ac:dyDescent="0.3">
      <c r="A26" s="67" t="s">
        <v>173</v>
      </c>
      <c r="B26" s="320" t="s">
        <v>174</v>
      </c>
      <c r="C26" s="320"/>
      <c r="D26" s="178">
        <f>'ENCARREGADO '!D26</f>
        <v>44293</v>
      </c>
    </row>
    <row r="27" spans="1:5" x14ac:dyDescent="0.3">
      <c r="A27" s="67" t="s">
        <v>175</v>
      </c>
      <c r="B27" s="320" t="s">
        <v>176</v>
      </c>
      <c r="C27" s="320"/>
      <c r="D27" s="179">
        <f>'ENCARREGADO '!D27</f>
        <v>44146</v>
      </c>
    </row>
    <row r="28" spans="1:5" x14ac:dyDescent="0.3">
      <c r="A28" s="67" t="s">
        <v>177</v>
      </c>
      <c r="B28" s="320" t="s">
        <v>178</v>
      </c>
      <c r="C28" s="342"/>
      <c r="D28" s="91" t="s">
        <v>179</v>
      </c>
    </row>
    <row r="29" spans="1:5" x14ac:dyDescent="0.3">
      <c r="A29" s="67" t="s">
        <v>180</v>
      </c>
      <c r="B29" s="320" t="s">
        <v>181</v>
      </c>
      <c r="C29" s="342"/>
      <c r="D29" s="92">
        <v>1</v>
      </c>
    </row>
    <row r="30" spans="1:5" x14ac:dyDescent="0.3">
      <c r="A30" s="67" t="s">
        <v>182</v>
      </c>
      <c r="B30" s="320" t="s">
        <v>183</v>
      </c>
      <c r="C30" s="320"/>
      <c r="D30" s="92">
        <v>1</v>
      </c>
    </row>
    <row r="31" spans="1:5" ht="13.8" thickBot="1" x14ac:dyDescent="0.35">
      <c r="A31" s="71" t="s">
        <v>184</v>
      </c>
      <c r="B31" s="343" t="s">
        <v>296</v>
      </c>
      <c r="C31" s="343"/>
      <c r="D31" s="93">
        <f>D29*D30</f>
        <v>1</v>
      </c>
    </row>
    <row r="32" spans="1:5" ht="13.8" thickBot="1" x14ac:dyDescent="0.35">
      <c r="A32" s="94"/>
      <c r="B32" s="95"/>
      <c r="C32" s="95"/>
      <c r="D32" s="96"/>
    </row>
    <row r="33" spans="1:5" x14ac:dyDescent="0.3">
      <c r="A33" s="344" t="s">
        <v>8</v>
      </c>
      <c r="B33" s="345"/>
      <c r="C33" s="345"/>
      <c r="D33" s="346"/>
    </row>
    <row r="34" spans="1:5" x14ac:dyDescent="0.3">
      <c r="A34" s="347" t="s">
        <v>185</v>
      </c>
      <c r="B34" s="348"/>
      <c r="C34" s="349"/>
      <c r="D34" s="97" t="s">
        <v>186</v>
      </c>
    </row>
    <row r="35" spans="1:5" x14ac:dyDescent="0.3">
      <c r="A35" s="98" t="s">
        <v>187</v>
      </c>
      <c r="B35" s="350" t="s">
        <v>188</v>
      </c>
      <c r="C35" s="350"/>
      <c r="D35" s="176">
        <f>D24</f>
        <v>1420.34</v>
      </c>
      <c r="E35" s="99"/>
    </row>
    <row r="36" spans="1:5" x14ac:dyDescent="0.3">
      <c r="A36" s="98" t="s">
        <v>189</v>
      </c>
      <c r="B36" s="100" t="s">
        <v>190</v>
      </c>
      <c r="C36" s="101">
        <f>IF(D35="","",((D19)*(40%)))</f>
        <v>418</v>
      </c>
      <c r="D36" s="102">
        <f>IF(D35=0,"",IF(C36&gt;C37,C36,0))</f>
        <v>418</v>
      </c>
      <c r="E36" s="99"/>
    </row>
    <row r="37" spans="1:5" x14ac:dyDescent="0.3">
      <c r="A37" s="98" t="s">
        <v>191</v>
      </c>
      <c r="B37" s="103" t="s">
        <v>192</v>
      </c>
      <c r="C37" s="101">
        <f>D35*0.2</f>
        <v>284.06799999999998</v>
      </c>
      <c r="D37" s="102">
        <f>IF(C37&gt;C36,C37,0)</f>
        <v>0</v>
      </c>
      <c r="E37" s="99"/>
    </row>
    <row r="38" spans="1:5" ht="13.8" thickBot="1" x14ac:dyDescent="0.35">
      <c r="A38" s="351" t="s">
        <v>9</v>
      </c>
      <c r="B38" s="352"/>
      <c r="C38" s="352"/>
      <c r="D38" s="104">
        <f>SUM(D35:D37)</f>
        <v>1838.34</v>
      </c>
      <c r="E38" s="105"/>
    </row>
    <row r="39" spans="1:5" ht="13.8" thickBot="1" x14ac:dyDescent="0.35">
      <c r="A39" s="106"/>
      <c r="B39" s="106"/>
      <c r="C39" s="106"/>
      <c r="D39" s="106"/>
    </row>
    <row r="40" spans="1:5" x14ac:dyDescent="0.3">
      <c r="A40" s="344" t="s">
        <v>193</v>
      </c>
      <c r="B40" s="345"/>
      <c r="C40" s="345"/>
      <c r="D40" s="346"/>
    </row>
    <row r="41" spans="1:5" x14ac:dyDescent="0.3">
      <c r="A41" s="340" t="s">
        <v>194</v>
      </c>
      <c r="B41" s="341"/>
      <c r="C41" s="107" t="s">
        <v>195</v>
      </c>
      <c r="D41" s="108" t="s">
        <v>7</v>
      </c>
    </row>
    <row r="42" spans="1:5" x14ac:dyDescent="0.3">
      <c r="A42" s="67" t="s">
        <v>187</v>
      </c>
      <c r="B42" s="109" t="s">
        <v>263</v>
      </c>
      <c r="C42" s="110">
        <v>8.3299999999999999E-2</v>
      </c>
      <c r="D42" s="111">
        <f>(D38)*($C$42)</f>
        <v>153.13372199999998</v>
      </c>
    </row>
    <row r="43" spans="1:5" x14ac:dyDescent="0.3">
      <c r="A43" s="67" t="s">
        <v>189</v>
      </c>
      <c r="B43" s="109" t="s">
        <v>196</v>
      </c>
      <c r="C43" s="110">
        <f>12.1%-C86</f>
        <v>0.11899999999999999</v>
      </c>
      <c r="D43" s="111">
        <f>(D38)*($C$43)</f>
        <v>218.76245999999998</v>
      </c>
      <c r="E43" s="105"/>
    </row>
    <row r="44" spans="1:5" x14ac:dyDescent="0.3">
      <c r="A44" s="353" t="s">
        <v>197</v>
      </c>
      <c r="B44" s="354"/>
      <c r="C44" s="112">
        <f>SUM(C42:C43)</f>
        <v>0.20229999999999998</v>
      </c>
      <c r="D44" s="113">
        <f>SUM(D42:D43)</f>
        <v>371.89618199999995</v>
      </c>
    </row>
    <row r="45" spans="1:5" x14ac:dyDescent="0.3">
      <c r="A45" s="340" t="s">
        <v>198</v>
      </c>
      <c r="B45" s="341"/>
      <c r="C45" s="107" t="s">
        <v>195</v>
      </c>
      <c r="D45" s="114" t="s">
        <v>7</v>
      </c>
    </row>
    <row r="46" spans="1:5" x14ac:dyDescent="0.3">
      <c r="A46" s="67" t="s">
        <v>187</v>
      </c>
      <c r="B46" s="115" t="s">
        <v>264</v>
      </c>
      <c r="C46" s="267">
        <v>0.2</v>
      </c>
      <c r="D46" s="111">
        <f t="shared" ref="D46:D53" si="0">($D$38+$D$44)*(C46)</f>
        <v>442.04723639999997</v>
      </c>
    </row>
    <row r="47" spans="1:5" x14ac:dyDescent="0.3">
      <c r="A47" s="67" t="s">
        <v>189</v>
      </c>
      <c r="B47" s="115" t="s">
        <v>265</v>
      </c>
      <c r="C47" s="266">
        <v>2.5000000000000001E-2</v>
      </c>
      <c r="D47" s="111">
        <f t="shared" si="0"/>
        <v>55.255904549999997</v>
      </c>
    </row>
    <row r="48" spans="1:5" x14ac:dyDescent="0.3">
      <c r="A48" s="67" t="s">
        <v>199</v>
      </c>
      <c r="B48" s="115" t="s">
        <v>266</v>
      </c>
      <c r="C48" s="167">
        <v>0.06</v>
      </c>
      <c r="D48" s="111">
        <f t="shared" si="0"/>
        <v>132.61417091999996</v>
      </c>
      <c r="E48" s="116"/>
    </row>
    <row r="49" spans="1:5" x14ac:dyDescent="0.3">
      <c r="A49" s="67" t="s">
        <v>200</v>
      </c>
      <c r="B49" s="115" t="s">
        <v>267</v>
      </c>
      <c r="C49" s="266">
        <v>1.4999999999999999E-2</v>
      </c>
      <c r="D49" s="111">
        <f t="shared" si="0"/>
        <v>33.153542729999991</v>
      </c>
    </row>
    <row r="50" spans="1:5" x14ac:dyDescent="0.3">
      <c r="A50" s="67" t="s">
        <v>201</v>
      </c>
      <c r="B50" s="115" t="s">
        <v>268</v>
      </c>
      <c r="C50" s="266">
        <v>0.01</v>
      </c>
      <c r="D50" s="111">
        <f t="shared" si="0"/>
        <v>22.102361819999995</v>
      </c>
    </row>
    <row r="51" spans="1:5" x14ac:dyDescent="0.3">
      <c r="A51" s="67" t="s">
        <v>202</v>
      </c>
      <c r="B51" s="117" t="s">
        <v>269</v>
      </c>
      <c r="C51" s="266">
        <v>6.0000000000000001E-3</v>
      </c>
      <c r="D51" s="111">
        <f t="shared" si="0"/>
        <v>13.261417091999999</v>
      </c>
    </row>
    <row r="52" spans="1:5" x14ac:dyDescent="0.3">
      <c r="A52" s="67" t="s">
        <v>203</v>
      </c>
      <c r="B52" s="115" t="s">
        <v>270</v>
      </c>
      <c r="C52" s="266">
        <v>2E-3</v>
      </c>
      <c r="D52" s="111">
        <f t="shared" si="0"/>
        <v>4.4204723639999992</v>
      </c>
    </row>
    <row r="53" spans="1:5" x14ac:dyDescent="0.3">
      <c r="A53" s="67" t="s">
        <v>204</v>
      </c>
      <c r="B53" s="115" t="s">
        <v>271</v>
      </c>
      <c r="C53" s="266">
        <v>0.08</v>
      </c>
      <c r="D53" s="111">
        <f t="shared" si="0"/>
        <v>176.81889455999996</v>
      </c>
      <c r="E53" s="105"/>
    </row>
    <row r="54" spans="1:5" x14ac:dyDescent="0.3">
      <c r="A54" s="353" t="s">
        <v>205</v>
      </c>
      <c r="B54" s="354"/>
      <c r="C54" s="118">
        <f>SUM(C46:C53)</f>
        <v>0.39800000000000008</v>
      </c>
      <c r="D54" s="119">
        <f>SUM(D46:D53)</f>
        <v>879.67400043599991</v>
      </c>
    </row>
    <row r="55" spans="1:5" x14ac:dyDescent="0.3">
      <c r="A55" s="340" t="s">
        <v>11</v>
      </c>
      <c r="B55" s="341"/>
      <c r="C55" s="120" t="s">
        <v>206</v>
      </c>
      <c r="D55" s="97" t="s">
        <v>7</v>
      </c>
    </row>
    <row r="56" spans="1:5" x14ac:dyDescent="0.25">
      <c r="A56" s="67" t="s">
        <v>187</v>
      </c>
      <c r="B56" s="121" t="s">
        <v>207</v>
      </c>
      <c r="C56" s="173">
        <f>'ENCARREGADO '!C56</f>
        <v>6.6</v>
      </c>
      <c r="D56" s="122">
        <f>IF((C56*22)-(D35*6%)&lt;0,0,(C56*22)-(D35*6%))</f>
        <v>59.979599999999991</v>
      </c>
      <c r="E56" s="1" t="str">
        <f>'ENCARREGADO '!E56</f>
        <v>Valor da passagem Local</v>
      </c>
    </row>
    <row r="57" spans="1:5" x14ac:dyDescent="0.25">
      <c r="A57" s="67" t="s">
        <v>189</v>
      </c>
      <c r="B57" s="121" t="s">
        <v>208</v>
      </c>
      <c r="C57" s="173">
        <f>'ENCARREGADO '!C57</f>
        <v>8.35</v>
      </c>
      <c r="D57" s="123">
        <f>(C57)*22</f>
        <v>183.7</v>
      </c>
      <c r="E57" s="1" t="str">
        <f>'ENCARREGADO '!E57</f>
        <v>CLÁUSULA DÉCIMA SEXTA - CESTA BÁSICA. CCT: RN000104/2021</v>
      </c>
    </row>
    <row r="58" spans="1:5" x14ac:dyDescent="0.25">
      <c r="A58" s="67" t="s">
        <v>307</v>
      </c>
      <c r="B58" s="121" t="s">
        <v>308</v>
      </c>
      <c r="C58" s="173">
        <f>'ENCARREGADO '!C58</f>
        <v>0</v>
      </c>
      <c r="D58" s="123">
        <f>(C58)*22</f>
        <v>0</v>
      </c>
      <c r="E58" s="1">
        <f>'ENCARREGADO '!E58</f>
        <v>0</v>
      </c>
    </row>
    <row r="59" spans="1:5" x14ac:dyDescent="0.25">
      <c r="A59" s="67" t="s">
        <v>199</v>
      </c>
      <c r="B59" s="121" t="s">
        <v>209</v>
      </c>
      <c r="C59" s="173">
        <f>'ENCARREGADO '!C59</f>
        <v>0</v>
      </c>
      <c r="D59" s="123">
        <f>($C$59)</f>
        <v>0</v>
      </c>
      <c r="E59" s="1"/>
    </row>
    <row r="60" spans="1:5" x14ac:dyDescent="0.3">
      <c r="A60" s="67" t="s">
        <v>200</v>
      </c>
      <c r="B60" s="121" t="s">
        <v>210</v>
      </c>
      <c r="C60" s="175">
        <v>0</v>
      </c>
      <c r="D60" s="123">
        <f>($C$60)</f>
        <v>0</v>
      </c>
      <c r="E60" s="124"/>
    </row>
    <row r="61" spans="1:5" x14ac:dyDescent="0.3">
      <c r="A61" s="67" t="s">
        <v>201</v>
      </c>
      <c r="B61" s="121" t="s">
        <v>211</v>
      </c>
      <c r="C61" s="175">
        <v>0</v>
      </c>
      <c r="D61" s="123">
        <f>$C$61</f>
        <v>0</v>
      </c>
      <c r="E61" s="125"/>
    </row>
    <row r="62" spans="1:5" x14ac:dyDescent="0.3">
      <c r="A62" s="67" t="s">
        <v>212</v>
      </c>
      <c r="B62" s="121" t="s">
        <v>213</v>
      </c>
      <c r="C62" s="175">
        <v>0</v>
      </c>
      <c r="D62" s="123">
        <f>$C$62</f>
        <v>0</v>
      </c>
      <c r="E62" s="124"/>
    </row>
    <row r="63" spans="1:5" x14ac:dyDescent="0.3">
      <c r="A63" s="355" t="s">
        <v>214</v>
      </c>
      <c r="B63" s="356"/>
      <c r="C63" s="126"/>
      <c r="D63" s="127">
        <f>SUM(D56:D62)</f>
        <v>243.67959999999999</v>
      </c>
    </row>
    <row r="64" spans="1:5" hidden="1" x14ac:dyDescent="0.3">
      <c r="A64" s="347" t="s">
        <v>215</v>
      </c>
      <c r="B64" s="349"/>
      <c r="C64" s="107" t="s">
        <v>216</v>
      </c>
      <c r="D64" s="97" t="s">
        <v>7</v>
      </c>
    </row>
    <row r="65" spans="1:4" hidden="1" x14ac:dyDescent="0.3">
      <c r="A65" s="67" t="s">
        <v>187</v>
      </c>
      <c r="B65" s="109" t="s">
        <v>217</v>
      </c>
      <c r="C65" s="128">
        <v>0</v>
      </c>
      <c r="D65" s="129">
        <f>(D38/220)*150%*0.5*C65</f>
        <v>0</v>
      </c>
    </row>
    <row r="66" spans="1:4" ht="13.8" hidden="1" thickBot="1" x14ac:dyDescent="0.35">
      <c r="A66" s="357" t="s">
        <v>218</v>
      </c>
      <c r="B66" s="358"/>
      <c r="C66" s="130"/>
      <c r="D66" s="131">
        <f>D65</f>
        <v>0</v>
      </c>
    </row>
    <row r="67" spans="1:4" x14ac:dyDescent="0.3">
      <c r="A67" s="359" t="s">
        <v>219</v>
      </c>
      <c r="B67" s="360"/>
      <c r="C67" s="341"/>
      <c r="D67" s="361"/>
    </row>
    <row r="68" spans="1:4" ht="39.6" x14ac:dyDescent="0.3">
      <c r="A68" s="132" t="s">
        <v>220</v>
      </c>
      <c r="B68" s="362" t="s">
        <v>221</v>
      </c>
      <c r="C68" s="362"/>
      <c r="D68" s="133">
        <f>(D44)</f>
        <v>371.89618199999995</v>
      </c>
    </row>
    <row r="69" spans="1:4" ht="39.6" x14ac:dyDescent="0.3">
      <c r="A69" s="132" t="s">
        <v>222</v>
      </c>
      <c r="B69" s="362" t="s">
        <v>223</v>
      </c>
      <c r="C69" s="362"/>
      <c r="D69" s="133">
        <f>(D54)</f>
        <v>879.67400043599991</v>
      </c>
    </row>
    <row r="70" spans="1:4" ht="39.6" x14ac:dyDescent="0.3">
      <c r="A70" s="132" t="s">
        <v>224</v>
      </c>
      <c r="B70" s="362" t="s">
        <v>14</v>
      </c>
      <c r="C70" s="362"/>
      <c r="D70" s="133">
        <f>(D63)</f>
        <v>243.67959999999999</v>
      </c>
    </row>
    <row r="71" spans="1:4" ht="26.4" x14ac:dyDescent="0.3">
      <c r="A71" s="132" t="s">
        <v>54</v>
      </c>
      <c r="B71" s="362" t="s">
        <v>225</v>
      </c>
      <c r="C71" s="363"/>
      <c r="D71" s="133">
        <f>D66</f>
        <v>0</v>
      </c>
    </row>
    <row r="72" spans="1:4" ht="13.8" thickBot="1" x14ac:dyDescent="0.35">
      <c r="A72" s="357" t="s">
        <v>15</v>
      </c>
      <c r="B72" s="364"/>
      <c r="C72" s="364"/>
      <c r="D72" s="134">
        <f>SUM(D68:D71)</f>
        <v>1495.2497824359998</v>
      </c>
    </row>
    <row r="73" spans="1:4" ht="13.8" thickBot="1" x14ac:dyDescent="0.35">
      <c r="A73" s="135"/>
      <c r="B73" s="135"/>
      <c r="C73" s="135"/>
      <c r="D73" s="135"/>
    </row>
    <row r="74" spans="1:4" x14ac:dyDescent="0.3">
      <c r="A74" s="344" t="s">
        <v>226</v>
      </c>
      <c r="B74" s="345"/>
      <c r="C74" s="345"/>
      <c r="D74" s="346"/>
    </row>
    <row r="75" spans="1:4" x14ac:dyDescent="0.3">
      <c r="A75" s="340" t="s">
        <v>227</v>
      </c>
      <c r="B75" s="341"/>
      <c r="C75" s="107" t="s">
        <v>195</v>
      </c>
      <c r="D75" s="97" t="s">
        <v>7</v>
      </c>
    </row>
    <row r="76" spans="1:4" x14ac:dyDescent="0.3">
      <c r="A76" s="67" t="s">
        <v>187</v>
      </c>
      <c r="B76" s="109" t="s">
        <v>228</v>
      </c>
      <c r="C76" s="136">
        <v>4.1999999999999997E-3</v>
      </c>
      <c r="D76" s="137">
        <f t="shared" ref="D76:D81" si="1">($D$38)*(C76)</f>
        <v>7.7210279999999996</v>
      </c>
    </row>
    <row r="77" spans="1:4" x14ac:dyDescent="0.3">
      <c r="A77" s="67" t="s">
        <v>189</v>
      </c>
      <c r="B77" s="109" t="s">
        <v>16</v>
      </c>
      <c r="C77" s="136">
        <f>($C$53)*(C76)</f>
        <v>3.3599999999999998E-4</v>
      </c>
      <c r="D77" s="137">
        <f t="shared" si="1"/>
        <v>0.61768223999999994</v>
      </c>
    </row>
    <row r="78" spans="1:4" x14ac:dyDescent="0.3">
      <c r="A78" s="67" t="s">
        <v>199</v>
      </c>
      <c r="B78" s="109" t="s">
        <v>229</v>
      </c>
      <c r="C78" s="136">
        <v>3.9199999999999999E-2</v>
      </c>
      <c r="D78" s="137">
        <f t="shared" si="1"/>
        <v>72.062927999999999</v>
      </c>
    </row>
    <row r="79" spans="1:4" x14ac:dyDescent="0.3">
      <c r="A79" s="67" t="s">
        <v>200</v>
      </c>
      <c r="B79" s="109" t="s">
        <v>272</v>
      </c>
      <c r="C79" s="136">
        <v>1.9400000000000001E-2</v>
      </c>
      <c r="D79" s="137">
        <f t="shared" si="1"/>
        <v>35.663795999999998</v>
      </c>
    </row>
    <row r="80" spans="1:4" x14ac:dyDescent="0.3">
      <c r="A80" s="67" t="s">
        <v>201</v>
      </c>
      <c r="B80" s="109" t="s">
        <v>230</v>
      </c>
      <c r="C80" s="136">
        <f>($C$54)*(C79)</f>
        <v>7.7212000000000018E-3</v>
      </c>
      <c r="D80" s="137">
        <f t="shared" si="1"/>
        <v>14.194190808000002</v>
      </c>
    </row>
    <row r="81" spans="1:5" x14ac:dyDescent="0.3">
      <c r="A81" s="67" t="s">
        <v>202</v>
      </c>
      <c r="B81" s="109" t="s">
        <v>231</v>
      </c>
      <c r="C81" s="136">
        <v>8.0000000000000004E-4</v>
      </c>
      <c r="D81" s="137">
        <f t="shared" si="1"/>
        <v>1.470672</v>
      </c>
    </row>
    <row r="82" spans="1:5" ht="13.8" thickBot="1" x14ac:dyDescent="0.35">
      <c r="A82" s="357" t="s">
        <v>17</v>
      </c>
      <c r="B82" s="364"/>
      <c r="C82" s="138">
        <f>SUM(C76:C81)</f>
        <v>7.165719999999999E-2</v>
      </c>
      <c r="D82" s="134">
        <f>SUM(D76:D81)</f>
        <v>131.73029704800001</v>
      </c>
    </row>
    <row r="83" spans="1:5" ht="13.8" thickBot="1" x14ac:dyDescent="0.35">
      <c r="A83" s="135"/>
      <c r="B83" s="116"/>
      <c r="C83" s="116"/>
      <c r="D83" s="116"/>
    </row>
    <row r="84" spans="1:5" x14ac:dyDescent="0.3">
      <c r="A84" s="344" t="s">
        <v>232</v>
      </c>
      <c r="B84" s="345"/>
      <c r="C84" s="345"/>
      <c r="D84" s="346"/>
    </row>
    <row r="85" spans="1:5" x14ac:dyDescent="0.3">
      <c r="A85" s="347" t="s">
        <v>18</v>
      </c>
      <c r="B85" s="348"/>
      <c r="C85" s="107" t="s">
        <v>195</v>
      </c>
      <c r="D85" s="97" t="s">
        <v>7</v>
      </c>
    </row>
    <row r="86" spans="1:5" x14ac:dyDescent="0.3">
      <c r="A86" s="67" t="s">
        <v>187</v>
      </c>
      <c r="B86" s="109" t="s">
        <v>233</v>
      </c>
      <c r="C86" s="172">
        <f>'ENCARREGADO '!C86</f>
        <v>2E-3</v>
      </c>
      <c r="D86" s="137">
        <f>($D$38+$D$44+$D$54+$D$63+$D$82)*(C86)</f>
        <v>6.9306401589679991</v>
      </c>
      <c r="E86" s="139"/>
    </row>
    <row r="87" spans="1:5" x14ac:dyDescent="0.3">
      <c r="A87" s="67" t="s">
        <v>189</v>
      </c>
      <c r="B87" s="109" t="s">
        <v>234</v>
      </c>
      <c r="C87" s="172">
        <f>'ENCARREGADO '!C87</f>
        <v>2.7000000000000001E-3</v>
      </c>
      <c r="D87" s="137">
        <f>($D$38+$D$44+$D$54+$D$63+$D$82)*(C87)</f>
        <v>9.3563642146067991</v>
      </c>
    </row>
    <row r="88" spans="1:5" x14ac:dyDescent="0.3">
      <c r="A88" s="67" t="s">
        <v>199</v>
      </c>
      <c r="B88" s="109" t="s">
        <v>235</v>
      </c>
      <c r="C88" s="172">
        <f>'ENCARREGADO '!C88</f>
        <v>2.0000000000000001E-4</v>
      </c>
      <c r="D88" s="137">
        <f>($D$38+$D$44+$D$54+$D$63+$D$82)*(C88)</f>
        <v>0.69306401589679989</v>
      </c>
    </row>
    <row r="89" spans="1:5" x14ac:dyDescent="0.3">
      <c r="A89" s="67" t="s">
        <v>200</v>
      </c>
      <c r="B89" s="109" t="s">
        <v>236</v>
      </c>
      <c r="C89" s="172">
        <f>'ENCARREGADO '!C89</f>
        <v>3.3E-3</v>
      </c>
      <c r="D89" s="137">
        <f>($D$38+$D$44+$D$54+$D$63+$D$82)*(C89)</f>
        <v>11.435556262297199</v>
      </c>
    </row>
    <row r="90" spans="1:5" x14ac:dyDescent="0.3">
      <c r="A90" s="67" t="s">
        <v>201</v>
      </c>
      <c r="B90" s="140" t="s">
        <v>237</v>
      </c>
      <c r="C90" s="172">
        <f>'ENCARREGADO '!C90</f>
        <v>5.0000000000000001E-4</v>
      </c>
      <c r="D90" s="137">
        <f>($D$38+$D$44+$D$54+$D$63+$D$82)*(C90)</f>
        <v>1.7326600397419998</v>
      </c>
    </row>
    <row r="91" spans="1:5" x14ac:dyDescent="0.3">
      <c r="A91" s="355" t="s">
        <v>238</v>
      </c>
      <c r="B91" s="356"/>
      <c r="C91" s="141">
        <f>SUM(C86:C90)</f>
        <v>8.6999999999999994E-3</v>
      </c>
      <c r="D91" s="142">
        <f>SUM(D86:D90)</f>
        <v>30.148284691510796</v>
      </c>
    </row>
    <row r="92" spans="1:5" x14ac:dyDescent="0.3">
      <c r="A92" s="347" t="s">
        <v>20</v>
      </c>
      <c r="B92" s="348"/>
      <c r="C92" s="107"/>
      <c r="D92" s="97" t="s">
        <v>7</v>
      </c>
    </row>
    <row r="93" spans="1:5" x14ac:dyDescent="0.3">
      <c r="A93" s="67" t="s">
        <v>187</v>
      </c>
      <c r="B93" s="109" t="s">
        <v>21</v>
      </c>
      <c r="C93" s="143"/>
      <c r="D93" s="144"/>
    </row>
    <row r="94" spans="1:5" ht="13.8" thickBot="1" x14ac:dyDescent="0.35">
      <c r="A94" s="357" t="s">
        <v>239</v>
      </c>
      <c r="B94" s="364"/>
      <c r="C94" s="130"/>
      <c r="D94" s="131">
        <f>D93</f>
        <v>0</v>
      </c>
    </row>
    <row r="95" spans="1:5" x14ac:dyDescent="0.3">
      <c r="A95" s="367" t="s">
        <v>240</v>
      </c>
      <c r="B95" s="368"/>
      <c r="C95" s="368"/>
      <c r="D95" s="369"/>
    </row>
    <row r="96" spans="1:5" ht="39.6" x14ac:dyDescent="0.3">
      <c r="A96" s="132" t="s">
        <v>241</v>
      </c>
      <c r="B96" s="370" t="s">
        <v>19</v>
      </c>
      <c r="C96" s="371"/>
      <c r="D96" s="133">
        <f>(D91)</f>
        <v>30.148284691510796</v>
      </c>
    </row>
    <row r="97" spans="1:5" x14ac:dyDescent="0.3">
      <c r="A97" s="67" t="s">
        <v>242</v>
      </c>
      <c r="B97" s="372" t="s">
        <v>21</v>
      </c>
      <c r="C97" s="373"/>
      <c r="D97" s="137">
        <f>D94</f>
        <v>0</v>
      </c>
    </row>
    <row r="98" spans="1:5" ht="13.8" thickBot="1" x14ac:dyDescent="0.35">
      <c r="A98" s="357" t="s">
        <v>25</v>
      </c>
      <c r="B98" s="364"/>
      <c r="C98" s="358"/>
      <c r="D98" s="134">
        <f>SUM(D96:D97)</f>
        <v>30.148284691510796</v>
      </c>
    </row>
    <row r="99" spans="1:5" ht="13.8" thickBot="1" x14ac:dyDescent="0.35">
      <c r="A99" s="135"/>
      <c r="B99" s="135"/>
      <c r="C99" s="135"/>
      <c r="D99" s="135"/>
    </row>
    <row r="100" spans="1:5" x14ac:dyDescent="0.3">
      <c r="A100" s="344" t="s">
        <v>243</v>
      </c>
      <c r="B100" s="345"/>
      <c r="C100" s="345"/>
      <c r="D100" s="346"/>
    </row>
    <row r="101" spans="1:5" x14ac:dyDescent="0.3">
      <c r="A101" s="340" t="s">
        <v>244</v>
      </c>
      <c r="B101" s="341"/>
      <c r="C101" s="341"/>
      <c r="D101" s="97" t="s">
        <v>7</v>
      </c>
    </row>
    <row r="102" spans="1:5" x14ac:dyDescent="0.3">
      <c r="A102" s="67" t="s">
        <v>187</v>
      </c>
      <c r="B102" s="145" t="s">
        <v>27</v>
      </c>
      <c r="C102" s="146"/>
      <c r="D102" s="170">
        <f>'ENCARREGADO '!D102</f>
        <v>3.09</v>
      </c>
    </row>
    <row r="103" spans="1:5" x14ac:dyDescent="0.3">
      <c r="A103" s="67" t="s">
        <v>245</v>
      </c>
      <c r="B103" s="145" t="s">
        <v>26</v>
      </c>
      <c r="C103" s="146"/>
      <c r="D103" s="170">
        <f>'ENCARREGADO '!D103</f>
        <v>28.445833333333336</v>
      </c>
    </row>
    <row r="104" spans="1:5" x14ac:dyDescent="0.3">
      <c r="A104" s="67" t="s">
        <v>199</v>
      </c>
      <c r="B104" s="145" t="s">
        <v>27</v>
      </c>
      <c r="C104" s="146"/>
      <c r="D104" s="171">
        <v>27.66</v>
      </c>
      <c r="E104" s="62" t="s">
        <v>290</v>
      </c>
    </row>
    <row r="105" spans="1:5" x14ac:dyDescent="0.3">
      <c r="A105" s="67" t="s">
        <v>200</v>
      </c>
      <c r="B105" s="145" t="s">
        <v>28</v>
      </c>
      <c r="C105" s="146"/>
      <c r="D105" s="171">
        <v>110.22</v>
      </c>
      <c r="E105" s="62" t="s">
        <v>291</v>
      </c>
    </row>
    <row r="106" spans="1:5" x14ac:dyDescent="0.3">
      <c r="A106" s="67" t="s">
        <v>199</v>
      </c>
      <c r="B106" s="145" t="s">
        <v>29</v>
      </c>
      <c r="C106" s="146"/>
      <c r="D106" s="171">
        <v>178.44</v>
      </c>
      <c r="E106" s="62" t="s">
        <v>292</v>
      </c>
    </row>
    <row r="107" spans="1:5" ht="13.8" thickBot="1" x14ac:dyDescent="0.35">
      <c r="A107" s="357" t="s">
        <v>30</v>
      </c>
      <c r="B107" s="358"/>
      <c r="C107" s="147">
        <f>C102</f>
        <v>0</v>
      </c>
      <c r="D107" s="148">
        <f>SUM(D102:D106)</f>
        <v>347.85583333333335</v>
      </c>
    </row>
    <row r="108" spans="1:5" ht="13.8" thickBot="1" x14ac:dyDescent="0.35">
      <c r="A108" s="149"/>
      <c r="B108" s="150"/>
      <c r="C108" s="150"/>
      <c r="D108" s="151"/>
    </row>
    <row r="109" spans="1:5" x14ac:dyDescent="0.3">
      <c r="A109" s="374" t="s">
        <v>246</v>
      </c>
      <c r="B109" s="375"/>
      <c r="C109" s="375"/>
      <c r="D109" s="376"/>
    </row>
    <row r="110" spans="1:5" x14ac:dyDescent="0.3">
      <c r="A110" s="365" t="s">
        <v>247</v>
      </c>
      <c r="B110" s="366"/>
      <c r="C110" s="107" t="s">
        <v>195</v>
      </c>
      <c r="D110" s="152" t="s">
        <v>7</v>
      </c>
    </row>
    <row r="111" spans="1:5" x14ac:dyDescent="0.3">
      <c r="A111" s="67" t="s">
        <v>187</v>
      </c>
      <c r="B111" s="153" t="s">
        <v>31</v>
      </c>
      <c r="C111" s="110"/>
      <c r="D111" s="137">
        <f>SUM(D112:D113)</f>
        <v>461.19890370106134</v>
      </c>
      <c r="E111" s="154"/>
    </row>
    <row r="112" spans="1:5" x14ac:dyDescent="0.3">
      <c r="A112" s="67"/>
      <c r="B112" s="153" t="s">
        <v>262</v>
      </c>
      <c r="C112" s="167">
        <f>'ENCARREGADO '!C112</f>
        <v>0.12</v>
      </c>
      <c r="D112" s="137">
        <f>(D38+D72+D82+D98+D107)*C112</f>
        <v>461.19890370106134</v>
      </c>
      <c r="E112" s="154"/>
    </row>
    <row r="113" spans="1:5" ht="26.4" x14ac:dyDescent="0.3">
      <c r="A113" s="67"/>
      <c r="B113" s="230" t="s">
        <v>439</v>
      </c>
      <c r="C113" s="110"/>
      <c r="D113" s="169"/>
      <c r="E113" s="62" t="str">
        <f>'ENCARREGADO '!E113</f>
        <v>Memória de cálculo na C141</v>
      </c>
    </row>
    <row r="114" spans="1:5" x14ac:dyDescent="0.3">
      <c r="A114" s="67" t="s">
        <v>189</v>
      </c>
      <c r="B114" s="153" t="s">
        <v>32</v>
      </c>
      <c r="C114" s="167">
        <f>'ENCARREGADO '!C114</f>
        <v>0.1</v>
      </c>
      <c r="D114" s="137">
        <f>(D38+D72+D82+D98+D107+D111)*C114</f>
        <v>430.4523101209906</v>
      </c>
      <c r="E114" s="154"/>
    </row>
    <row r="115" spans="1:5" x14ac:dyDescent="0.3">
      <c r="A115" s="379" t="s">
        <v>199</v>
      </c>
      <c r="B115" s="117" t="s">
        <v>248</v>
      </c>
      <c r="C115" s="155">
        <f>C116+C117+C120</f>
        <v>0.14250000000000002</v>
      </c>
      <c r="D115" s="156"/>
    </row>
    <row r="116" spans="1:5" x14ac:dyDescent="0.3">
      <c r="A116" s="379"/>
      <c r="B116" s="157" t="s">
        <v>249</v>
      </c>
      <c r="C116" s="167">
        <f>'ENCARREGADO '!C116</f>
        <v>1.6500000000000001E-2</v>
      </c>
      <c r="D116" s="137">
        <f>((D38+D72+D82+D98+D107+D111+D114)/(1-C115))*C116</f>
        <v>91.110314037270896</v>
      </c>
    </row>
    <row r="117" spans="1:5" x14ac:dyDescent="0.3">
      <c r="A117" s="379"/>
      <c r="B117" s="157" t="s">
        <v>250</v>
      </c>
      <c r="C117" s="167">
        <f>'ENCARREGADO '!C117</f>
        <v>7.5999999999999998E-2</v>
      </c>
      <c r="D117" s="137">
        <f>((D38+D72+D82+D98+D107+D111+D114)/(1-C115))*C117</f>
        <v>419.65962829288412</v>
      </c>
    </row>
    <row r="118" spans="1:5" x14ac:dyDescent="0.3">
      <c r="A118" s="379"/>
      <c r="B118" s="117" t="s">
        <v>251</v>
      </c>
      <c r="C118" s="167">
        <f>'ENCARREGADO '!C118</f>
        <v>0</v>
      </c>
      <c r="D118" s="137"/>
    </row>
    <row r="119" spans="1:5" x14ac:dyDescent="0.3">
      <c r="A119" s="379"/>
      <c r="B119" s="117" t="s">
        <v>252</v>
      </c>
      <c r="C119" s="167">
        <f>'ENCARREGADO '!C119</f>
        <v>0</v>
      </c>
      <c r="D119" s="137"/>
    </row>
    <row r="120" spans="1:5" x14ac:dyDescent="0.3">
      <c r="A120" s="379"/>
      <c r="B120" s="157" t="s">
        <v>253</v>
      </c>
      <c r="C120" s="167">
        <f>'ENCARREGADO '!C120</f>
        <v>0.05</v>
      </c>
      <c r="D120" s="137">
        <f>((D38+D72+D82+D98+D107+D111+D114)/(1-C115))*C120</f>
        <v>276.09186071900274</v>
      </c>
    </row>
    <row r="121" spans="1:5" ht="13.8" thickBot="1" x14ac:dyDescent="0.35">
      <c r="A121" s="357" t="s">
        <v>37</v>
      </c>
      <c r="B121" s="364"/>
      <c r="C121" s="158">
        <f>C112+C114+C116+C117+C120</f>
        <v>0.36249999999999999</v>
      </c>
      <c r="D121" s="131">
        <f>SUM(D111,D114,D116:D117,D120)</f>
        <v>1678.5130168712099</v>
      </c>
    </row>
    <row r="122" spans="1:5" ht="13.8" thickBot="1" x14ac:dyDescent="0.35">
      <c r="A122" s="135"/>
      <c r="B122" s="135"/>
      <c r="C122" s="135"/>
      <c r="D122" s="135"/>
    </row>
    <row r="123" spans="1:5" x14ac:dyDescent="0.3">
      <c r="A123" s="344" t="s">
        <v>254</v>
      </c>
      <c r="B123" s="345"/>
      <c r="C123" s="345"/>
      <c r="D123" s="346"/>
    </row>
    <row r="124" spans="1:5" x14ac:dyDescent="0.3">
      <c r="A124" s="340" t="s">
        <v>255</v>
      </c>
      <c r="B124" s="341"/>
      <c r="C124" s="341"/>
      <c r="D124" s="159" t="s">
        <v>7</v>
      </c>
    </row>
    <row r="125" spans="1:5" x14ac:dyDescent="0.3">
      <c r="A125" s="67" t="s">
        <v>187</v>
      </c>
      <c r="B125" s="363" t="s">
        <v>256</v>
      </c>
      <c r="C125" s="380"/>
      <c r="D125" s="160">
        <f>(D38)</f>
        <v>1838.34</v>
      </c>
    </row>
    <row r="126" spans="1:5" x14ac:dyDescent="0.3">
      <c r="A126" s="67" t="s">
        <v>189</v>
      </c>
      <c r="B126" s="363" t="s">
        <v>12</v>
      </c>
      <c r="C126" s="380"/>
      <c r="D126" s="144">
        <f>(D72)</f>
        <v>1495.2497824359998</v>
      </c>
    </row>
    <row r="127" spans="1:5" x14ac:dyDescent="0.3">
      <c r="A127" s="67" t="s">
        <v>199</v>
      </c>
      <c r="B127" s="363" t="s">
        <v>257</v>
      </c>
      <c r="C127" s="380"/>
      <c r="D127" s="144">
        <f>(D82)</f>
        <v>131.73029704800001</v>
      </c>
    </row>
    <row r="128" spans="1:5" x14ac:dyDescent="0.3">
      <c r="A128" s="67" t="s">
        <v>200</v>
      </c>
      <c r="B128" s="363" t="s">
        <v>22</v>
      </c>
      <c r="C128" s="380"/>
      <c r="D128" s="144">
        <f>(D98)</f>
        <v>30.148284691510796</v>
      </c>
    </row>
    <row r="129" spans="1:5" x14ac:dyDescent="0.3">
      <c r="A129" s="67" t="s">
        <v>201</v>
      </c>
      <c r="B129" s="363" t="s">
        <v>258</v>
      </c>
      <c r="C129" s="380"/>
      <c r="D129" s="144">
        <f>D102</f>
        <v>3.09</v>
      </c>
    </row>
    <row r="130" spans="1:5" x14ac:dyDescent="0.3">
      <c r="A130" s="381" t="s">
        <v>259</v>
      </c>
      <c r="B130" s="382"/>
      <c r="C130" s="383"/>
      <c r="D130" s="161">
        <f>SUM(D125:D129)</f>
        <v>3498.5583641755111</v>
      </c>
      <c r="E130" s="105"/>
    </row>
    <row r="131" spans="1:5" ht="13.8" thickBot="1" x14ac:dyDescent="0.35">
      <c r="A131" s="162" t="s">
        <v>202</v>
      </c>
      <c r="B131" s="384" t="s">
        <v>260</v>
      </c>
      <c r="C131" s="384"/>
      <c r="D131" s="163">
        <f>(D121)</f>
        <v>1678.5130168712099</v>
      </c>
    </row>
    <row r="132" spans="1:5" ht="13.8" thickBot="1" x14ac:dyDescent="0.35">
      <c r="A132" s="377" t="s">
        <v>261</v>
      </c>
      <c r="B132" s="378"/>
      <c r="C132" s="378"/>
      <c r="D132" s="164">
        <f>SUM(D130:D131)</f>
        <v>5177.0713810467205</v>
      </c>
    </row>
    <row r="133" spans="1:5" x14ac:dyDescent="0.3">
      <c r="A133" s="62"/>
      <c r="D133" s="78"/>
    </row>
    <row r="134" spans="1:5" x14ac:dyDescent="0.3">
      <c r="D134" s="78"/>
    </row>
    <row r="135" spans="1:5" x14ac:dyDescent="0.3">
      <c r="D135" s="78"/>
    </row>
    <row r="136" spans="1:5" x14ac:dyDescent="0.3">
      <c r="D136" s="78"/>
    </row>
    <row r="137" spans="1:5" x14ac:dyDescent="0.3">
      <c r="C137" s="165"/>
    </row>
  </sheetData>
  <mergeCells count="67">
    <mergeCell ref="A132:C132"/>
    <mergeCell ref="A115:A120"/>
    <mergeCell ref="A121:B121"/>
    <mergeCell ref="A123:D123"/>
    <mergeCell ref="A124:C124"/>
    <mergeCell ref="B125:C125"/>
    <mergeCell ref="B126:C126"/>
    <mergeCell ref="B127:C127"/>
    <mergeCell ref="B128:C128"/>
    <mergeCell ref="B129:C129"/>
    <mergeCell ref="A130:C130"/>
    <mergeCell ref="B131:C131"/>
    <mergeCell ref="A110:B110"/>
    <mergeCell ref="A91:B91"/>
    <mergeCell ref="A92:B92"/>
    <mergeCell ref="A94:B94"/>
    <mergeCell ref="A95:D95"/>
    <mergeCell ref="B96:C96"/>
    <mergeCell ref="B97:C97"/>
    <mergeCell ref="A98:C98"/>
    <mergeCell ref="A100:D100"/>
    <mergeCell ref="A101:C101"/>
    <mergeCell ref="A107:B107"/>
    <mergeCell ref="A109:D109"/>
    <mergeCell ref="A85:B85"/>
    <mergeCell ref="A66:B66"/>
    <mergeCell ref="A67:D67"/>
    <mergeCell ref="B68:C68"/>
    <mergeCell ref="B69:C69"/>
    <mergeCell ref="B70:C70"/>
    <mergeCell ref="B71:C71"/>
    <mergeCell ref="A72:C72"/>
    <mergeCell ref="A74:D74"/>
    <mergeCell ref="A75:B75"/>
    <mergeCell ref="A82:B82"/>
    <mergeCell ref="A84:D84"/>
    <mergeCell ref="A64:B64"/>
    <mergeCell ref="A33:D33"/>
    <mergeCell ref="A34:C34"/>
    <mergeCell ref="B35:C35"/>
    <mergeCell ref="A38:C38"/>
    <mergeCell ref="A40:D40"/>
    <mergeCell ref="A41:B41"/>
    <mergeCell ref="A44:B44"/>
    <mergeCell ref="A45:B45"/>
    <mergeCell ref="A54:B54"/>
    <mergeCell ref="A55:B55"/>
    <mergeCell ref="A63:B63"/>
    <mergeCell ref="B31:C31"/>
    <mergeCell ref="C17:D17"/>
    <mergeCell ref="A21:D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13:D13"/>
    <mergeCell ref="A1:D1"/>
    <mergeCell ref="A2:D2"/>
    <mergeCell ref="A3:D3"/>
    <mergeCell ref="A6:D6"/>
    <mergeCell ref="A7:D7"/>
    <mergeCell ref="A5:D5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423E-63DA-4AC4-9AB3-239E085312A4}">
  <dimension ref="A1:G137"/>
  <sheetViews>
    <sheetView showGridLines="0" topLeftCell="A100" workbookViewId="0">
      <selection activeCell="D113" sqref="D113"/>
    </sheetView>
  </sheetViews>
  <sheetFormatPr defaultRowHeight="13.2" x14ac:dyDescent="0.3"/>
  <cols>
    <col min="1" max="1" width="3.88671875" style="77" customWidth="1"/>
    <col min="2" max="2" width="70.6640625" style="62" customWidth="1"/>
    <col min="3" max="3" width="14.6640625" style="77" customWidth="1"/>
    <col min="4" max="4" width="21.44140625" style="166" bestFit="1" customWidth="1"/>
    <col min="5" max="5" width="55.77734375" style="62" customWidth="1"/>
    <col min="6" max="6" width="17.5546875" style="62" bestFit="1" customWidth="1"/>
    <col min="7" max="7" width="8.44140625" style="62" bestFit="1" customWidth="1"/>
    <col min="8" max="222" width="9.109375" style="62" bestFit="1" customWidth="1"/>
    <col min="223" max="223" width="1.88671875" style="62" customWidth="1"/>
    <col min="224" max="224" width="7.33203125" style="62" customWidth="1"/>
    <col min="225" max="225" width="9.88671875" style="62" customWidth="1"/>
    <col min="226" max="226" width="12.6640625" style="62" customWidth="1"/>
    <col min="227" max="227" width="11.109375" style="62" customWidth="1"/>
    <col min="228" max="228" width="10.88671875" style="62" customWidth="1"/>
    <col min="229" max="229" width="11.5546875" style="62" customWidth="1"/>
    <col min="230" max="230" width="13.44140625" style="62" customWidth="1"/>
    <col min="231" max="231" width="11.109375" style="62" customWidth="1"/>
    <col min="232" max="232" width="11.33203125" style="62" bestFit="1" customWidth="1"/>
    <col min="233" max="233" width="11.5546875" style="62" customWidth="1"/>
    <col min="234" max="234" width="8.88671875" style="62"/>
    <col min="235" max="235" width="9.88671875" style="62" bestFit="1" customWidth="1"/>
    <col min="236" max="236" width="9.109375" style="62" bestFit="1" customWidth="1"/>
    <col min="237" max="237" width="9.5546875" style="62" bestFit="1" customWidth="1"/>
    <col min="238" max="478" width="9.109375" style="62" bestFit="1" customWidth="1"/>
    <col min="479" max="479" width="1.88671875" style="62" customWidth="1"/>
    <col min="480" max="480" width="7.33203125" style="62" customWidth="1"/>
    <col min="481" max="481" width="9.88671875" style="62" customWidth="1"/>
    <col min="482" max="482" width="12.6640625" style="62" customWidth="1"/>
    <col min="483" max="483" width="11.109375" style="62" customWidth="1"/>
    <col min="484" max="484" width="10.88671875" style="62" customWidth="1"/>
    <col min="485" max="485" width="11.5546875" style="62" customWidth="1"/>
    <col min="486" max="486" width="13.44140625" style="62" customWidth="1"/>
    <col min="487" max="487" width="11.109375" style="62" customWidth="1"/>
    <col min="488" max="488" width="11.33203125" style="62" bestFit="1" customWidth="1"/>
    <col min="489" max="489" width="11.5546875" style="62" customWidth="1"/>
    <col min="490" max="490" width="8.88671875" style="62"/>
    <col min="491" max="491" width="9.88671875" style="62" bestFit="1" customWidth="1"/>
    <col min="492" max="492" width="9.109375" style="62" bestFit="1" customWidth="1"/>
    <col min="493" max="493" width="9.5546875" style="62" bestFit="1" customWidth="1"/>
    <col min="494" max="734" width="9.109375" style="62" bestFit="1" customWidth="1"/>
    <col min="735" max="735" width="1.88671875" style="62" customWidth="1"/>
    <col min="736" max="736" width="7.33203125" style="62" customWidth="1"/>
    <col min="737" max="737" width="9.88671875" style="62" customWidth="1"/>
    <col min="738" max="738" width="12.6640625" style="62" customWidth="1"/>
    <col min="739" max="739" width="11.109375" style="62" customWidth="1"/>
    <col min="740" max="740" width="10.88671875" style="62" customWidth="1"/>
    <col min="741" max="741" width="11.5546875" style="62" customWidth="1"/>
    <col min="742" max="742" width="13.44140625" style="62" customWidth="1"/>
    <col min="743" max="743" width="11.109375" style="62" customWidth="1"/>
    <col min="744" max="744" width="11.33203125" style="62" bestFit="1" customWidth="1"/>
    <col min="745" max="745" width="11.5546875" style="62" customWidth="1"/>
    <col min="746" max="746" width="8.88671875" style="62"/>
    <col min="747" max="747" width="9.88671875" style="62" bestFit="1" customWidth="1"/>
    <col min="748" max="748" width="9.109375" style="62" bestFit="1" customWidth="1"/>
    <col min="749" max="749" width="9.5546875" style="62" bestFit="1" customWidth="1"/>
    <col min="750" max="990" width="9.109375" style="62" bestFit="1" customWidth="1"/>
    <col min="991" max="991" width="1.88671875" style="62" customWidth="1"/>
    <col min="992" max="992" width="7.33203125" style="62" customWidth="1"/>
    <col min="993" max="993" width="9.88671875" style="62" customWidth="1"/>
    <col min="994" max="994" width="12.6640625" style="62" customWidth="1"/>
    <col min="995" max="995" width="11.109375" style="62" customWidth="1"/>
    <col min="996" max="996" width="10.88671875" style="62" customWidth="1"/>
    <col min="997" max="997" width="11.5546875" style="62" customWidth="1"/>
    <col min="998" max="998" width="13.44140625" style="62" customWidth="1"/>
    <col min="999" max="999" width="11.109375" style="62" customWidth="1"/>
    <col min="1000" max="1000" width="11.33203125" style="62" bestFit="1" customWidth="1"/>
    <col min="1001" max="1001" width="11.5546875" style="62" customWidth="1"/>
    <col min="1002" max="1002" width="8.88671875" style="62"/>
    <col min="1003" max="1003" width="9.88671875" style="62" bestFit="1" customWidth="1"/>
    <col min="1004" max="1004" width="9.109375" style="62" bestFit="1" customWidth="1"/>
    <col min="1005" max="1005" width="9.5546875" style="62" bestFit="1" customWidth="1"/>
    <col min="1006" max="1246" width="9.109375" style="62" bestFit="1" customWidth="1"/>
    <col min="1247" max="1247" width="1.88671875" style="62" customWidth="1"/>
    <col min="1248" max="1248" width="7.33203125" style="62" customWidth="1"/>
    <col min="1249" max="1249" width="9.88671875" style="62" customWidth="1"/>
    <col min="1250" max="1250" width="12.6640625" style="62" customWidth="1"/>
    <col min="1251" max="1251" width="11.109375" style="62" customWidth="1"/>
    <col min="1252" max="1252" width="10.88671875" style="62" customWidth="1"/>
    <col min="1253" max="1253" width="11.5546875" style="62" customWidth="1"/>
    <col min="1254" max="1254" width="13.44140625" style="62" customWidth="1"/>
    <col min="1255" max="1255" width="11.109375" style="62" customWidth="1"/>
    <col min="1256" max="1256" width="11.33203125" style="62" bestFit="1" customWidth="1"/>
    <col min="1257" max="1257" width="11.5546875" style="62" customWidth="1"/>
    <col min="1258" max="1258" width="8.88671875" style="62"/>
    <col min="1259" max="1259" width="9.88671875" style="62" bestFit="1" customWidth="1"/>
    <col min="1260" max="1260" width="9.109375" style="62" bestFit="1" customWidth="1"/>
    <col min="1261" max="1261" width="9.5546875" style="62" bestFit="1" customWidth="1"/>
    <col min="1262" max="1502" width="9.109375" style="62" bestFit="1" customWidth="1"/>
    <col min="1503" max="1503" width="1.88671875" style="62" customWidth="1"/>
    <col min="1504" max="1504" width="7.33203125" style="62" customWidth="1"/>
    <col min="1505" max="1505" width="9.88671875" style="62" customWidth="1"/>
    <col min="1506" max="1506" width="12.6640625" style="62" customWidth="1"/>
    <col min="1507" max="1507" width="11.109375" style="62" customWidth="1"/>
    <col min="1508" max="1508" width="10.88671875" style="62" customWidth="1"/>
    <col min="1509" max="1509" width="11.5546875" style="62" customWidth="1"/>
    <col min="1510" max="1510" width="13.44140625" style="62" customWidth="1"/>
    <col min="1511" max="1511" width="11.109375" style="62" customWidth="1"/>
    <col min="1512" max="1512" width="11.33203125" style="62" bestFit="1" customWidth="1"/>
    <col min="1513" max="1513" width="11.5546875" style="62" customWidth="1"/>
    <col min="1514" max="1514" width="8.88671875" style="62"/>
    <col min="1515" max="1515" width="9.88671875" style="62" bestFit="1" customWidth="1"/>
    <col min="1516" max="1516" width="9.109375" style="62" bestFit="1" customWidth="1"/>
    <col min="1517" max="1517" width="9.5546875" style="62" bestFit="1" customWidth="1"/>
    <col min="1518" max="1758" width="9.109375" style="62" bestFit="1" customWidth="1"/>
    <col min="1759" max="1759" width="1.88671875" style="62" customWidth="1"/>
    <col min="1760" max="1760" width="7.33203125" style="62" customWidth="1"/>
    <col min="1761" max="1761" width="9.88671875" style="62" customWidth="1"/>
    <col min="1762" max="1762" width="12.6640625" style="62" customWidth="1"/>
    <col min="1763" max="1763" width="11.109375" style="62" customWidth="1"/>
    <col min="1764" max="1764" width="10.88671875" style="62" customWidth="1"/>
    <col min="1765" max="1765" width="11.5546875" style="62" customWidth="1"/>
    <col min="1766" max="1766" width="13.44140625" style="62" customWidth="1"/>
    <col min="1767" max="1767" width="11.109375" style="62" customWidth="1"/>
    <col min="1768" max="1768" width="11.33203125" style="62" bestFit="1" customWidth="1"/>
    <col min="1769" max="1769" width="11.5546875" style="62" customWidth="1"/>
    <col min="1770" max="1770" width="8.88671875" style="62"/>
    <col min="1771" max="1771" width="9.88671875" style="62" bestFit="1" customWidth="1"/>
    <col min="1772" max="1772" width="9.109375" style="62" bestFit="1" customWidth="1"/>
    <col min="1773" max="1773" width="9.5546875" style="62" bestFit="1" customWidth="1"/>
    <col min="1774" max="2014" width="9.109375" style="62" bestFit="1" customWidth="1"/>
    <col min="2015" max="2015" width="1.88671875" style="62" customWidth="1"/>
    <col min="2016" max="2016" width="7.33203125" style="62" customWidth="1"/>
    <col min="2017" max="2017" width="9.88671875" style="62" customWidth="1"/>
    <col min="2018" max="2018" width="12.6640625" style="62" customWidth="1"/>
    <col min="2019" max="2019" width="11.109375" style="62" customWidth="1"/>
    <col min="2020" max="2020" width="10.88671875" style="62" customWidth="1"/>
    <col min="2021" max="2021" width="11.5546875" style="62" customWidth="1"/>
    <col min="2022" max="2022" width="13.44140625" style="62" customWidth="1"/>
    <col min="2023" max="2023" width="11.109375" style="62" customWidth="1"/>
    <col min="2024" max="2024" width="11.33203125" style="62" bestFit="1" customWidth="1"/>
    <col min="2025" max="2025" width="11.5546875" style="62" customWidth="1"/>
    <col min="2026" max="2026" width="8.88671875" style="62"/>
    <col min="2027" max="2027" width="9.88671875" style="62" bestFit="1" customWidth="1"/>
    <col min="2028" max="2028" width="9.109375" style="62" bestFit="1" customWidth="1"/>
    <col min="2029" max="2029" width="9.5546875" style="62" bestFit="1" customWidth="1"/>
    <col min="2030" max="2270" width="9.109375" style="62" bestFit="1" customWidth="1"/>
    <col min="2271" max="2271" width="1.88671875" style="62" customWidth="1"/>
    <col min="2272" max="2272" width="7.33203125" style="62" customWidth="1"/>
    <col min="2273" max="2273" width="9.88671875" style="62" customWidth="1"/>
    <col min="2274" max="2274" width="12.6640625" style="62" customWidth="1"/>
    <col min="2275" max="2275" width="11.109375" style="62" customWidth="1"/>
    <col min="2276" max="2276" width="10.88671875" style="62" customWidth="1"/>
    <col min="2277" max="2277" width="11.5546875" style="62" customWidth="1"/>
    <col min="2278" max="2278" width="13.44140625" style="62" customWidth="1"/>
    <col min="2279" max="2279" width="11.109375" style="62" customWidth="1"/>
    <col min="2280" max="2280" width="11.33203125" style="62" bestFit="1" customWidth="1"/>
    <col min="2281" max="2281" width="11.5546875" style="62" customWidth="1"/>
    <col min="2282" max="2282" width="8.88671875" style="62"/>
    <col min="2283" max="2283" width="9.88671875" style="62" bestFit="1" customWidth="1"/>
    <col min="2284" max="2284" width="9.109375" style="62" bestFit="1" customWidth="1"/>
    <col min="2285" max="2285" width="9.5546875" style="62" bestFit="1" customWidth="1"/>
    <col min="2286" max="2526" width="9.109375" style="62" bestFit="1" customWidth="1"/>
    <col min="2527" max="2527" width="1.88671875" style="62" customWidth="1"/>
    <col min="2528" max="2528" width="7.33203125" style="62" customWidth="1"/>
    <col min="2529" max="2529" width="9.88671875" style="62" customWidth="1"/>
    <col min="2530" max="2530" width="12.6640625" style="62" customWidth="1"/>
    <col min="2531" max="2531" width="11.109375" style="62" customWidth="1"/>
    <col min="2532" max="2532" width="10.88671875" style="62" customWidth="1"/>
    <col min="2533" max="2533" width="11.5546875" style="62" customWidth="1"/>
    <col min="2534" max="2534" width="13.44140625" style="62" customWidth="1"/>
    <col min="2535" max="2535" width="11.109375" style="62" customWidth="1"/>
    <col min="2536" max="2536" width="11.33203125" style="62" bestFit="1" customWidth="1"/>
    <col min="2537" max="2537" width="11.5546875" style="62" customWidth="1"/>
    <col min="2538" max="2538" width="8.88671875" style="62"/>
    <col min="2539" max="2539" width="9.88671875" style="62" bestFit="1" customWidth="1"/>
    <col min="2540" max="2540" width="9.109375" style="62" bestFit="1" customWidth="1"/>
    <col min="2541" max="2541" width="9.5546875" style="62" bestFit="1" customWidth="1"/>
    <col min="2542" max="2782" width="9.109375" style="62" bestFit="1" customWidth="1"/>
    <col min="2783" max="2783" width="1.88671875" style="62" customWidth="1"/>
    <col min="2784" max="2784" width="7.33203125" style="62" customWidth="1"/>
    <col min="2785" max="2785" width="9.88671875" style="62" customWidth="1"/>
    <col min="2786" max="2786" width="12.6640625" style="62" customWidth="1"/>
    <col min="2787" max="2787" width="11.109375" style="62" customWidth="1"/>
    <col min="2788" max="2788" width="10.88671875" style="62" customWidth="1"/>
    <col min="2789" max="2789" width="11.5546875" style="62" customWidth="1"/>
    <col min="2790" max="2790" width="13.44140625" style="62" customWidth="1"/>
    <col min="2791" max="2791" width="11.109375" style="62" customWidth="1"/>
    <col min="2792" max="2792" width="11.33203125" style="62" bestFit="1" customWidth="1"/>
    <col min="2793" max="2793" width="11.5546875" style="62" customWidth="1"/>
    <col min="2794" max="2794" width="8.88671875" style="62"/>
    <col min="2795" max="2795" width="9.88671875" style="62" bestFit="1" customWidth="1"/>
    <col min="2796" max="2796" width="9.109375" style="62" bestFit="1" customWidth="1"/>
    <col min="2797" max="2797" width="9.5546875" style="62" bestFit="1" customWidth="1"/>
    <col min="2798" max="3038" width="9.109375" style="62" bestFit="1" customWidth="1"/>
    <col min="3039" max="3039" width="1.88671875" style="62" customWidth="1"/>
    <col min="3040" max="3040" width="7.33203125" style="62" customWidth="1"/>
    <col min="3041" max="3041" width="9.88671875" style="62" customWidth="1"/>
    <col min="3042" max="3042" width="12.6640625" style="62" customWidth="1"/>
    <col min="3043" max="3043" width="11.109375" style="62" customWidth="1"/>
    <col min="3044" max="3044" width="10.88671875" style="62" customWidth="1"/>
    <col min="3045" max="3045" width="11.5546875" style="62" customWidth="1"/>
    <col min="3046" max="3046" width="13.44140625" style="62" customWidth="1"/>
    <col min="3047" max="3047" width="11.109375" style="62" customWidth="1"/>
    <col min="3048" max="3048" width="11.33203125" style="62" bestFit="1" customWidth="1"/>
    <col min="3049" max="3049" width="11.5546875" style="62" customWidth="1"/>
    <col min="3050" max="3050" width="8.88671875" style="62"/>
    <col min="3051" max="3051" width="9.88671875" style="62" bestFit="1" customWidth="1"/>
    <col min="3052" max="3052" width="9.109375" style="62" bestFit="1" customWidth="1"/>
    <col min="3053" max="3053" width="9.5546875" style="62" bestFit="1" customWidth="1"/>
    <col min="3054" max="3294" width="9.109375" style="62" bestFit="1" customWidth="1"/>
    <col min="3295" max="3295" width="1.88671875" style="62" customWidth="1"/>
    <col min="3296" max="3296" width="7.33203125" style="62" customWidth="1"/>
    <col min="3297" max="3297" width="9.88671875" style="62" customWidth="1"/>
    <col min="3298" max="3298" width="12.6640625" style="62" customWidth="1"/>
    <col min="3299" max="3299" width="11.109375" style="62" customWidth="1"/>
    <col min="3300" max="3300" width="10.88671875" style="62" customWidth="1"/>
    <col min="3301" max="3301" width="11.5546875" style="62" customWidth="1"/>
    <col min="3302" max="3302" width="13.44140625" style="62" customWidth="1"/>
    <col min="3303" max="3303" width="11.109375" style="62" customWidth="1"/>
    <col min="3304" max="3304" width="11.33203125" style="62" bestFit="1" customWidth="1"/>
    <col min="3305" max="3305" width="11.5546875" style="62" customWidth="1"/>
    <col min="3306" max="3306" width="8.88671875" style="62"/>
    <col min="3307" max="3307" width="9.88671875" style="62" bestFit="1" customWidth="1"/>
    <col min="3308" max="3308" width="9.109375" style="62" bestFit="1" customWidth="1"/>
    <col min="3309" max="3309" width="9.5546875" style="62" bestFit="1" customWidth="1"/>
    <col min="3310" max="3550" width="9.109375" style="62" bestFit="1" customWidth="1"/>
    <col min="3551" max="3551" width="1.88671875" style="62" customWidth="1"/>
    <col min="3552" max="3552" width="7.33203125" style="62" customWidth="1"/>
    <col min="3553" max="3553" width="9.88671875" style="62" customWidth="1"/>
    <col min="3554" max="3554" width="12.6640625" style="62" customWidth="1"/>
    <col min="3555" max="3555" width="11.109375" style="62" customWidth="1"/>
    <col min="3556" max="3556" width="10.88671875" style="62" customWidth="1"/>
    <col min="3557" max="3557" width="11.5546875" style="62" customWidth="1"/>
    <col min="3558" max="3558" width="13.44140625" style="62" customWidth="1"/>
    <col min="3559" max="3559" width="11.109375" style="62" customWidth="1"/>
    <col min="3560" max="3560" width="11.33203125" style="62" bestFit="1" customWidth="1"/>
    <col min="3561" max="3561" width="11.5546875" style="62" customWidth="1"/>
    <col min="3562" max="3562" width="8.88671875" style="62"/>
    <col min="3563" max="3563" width="9.88671875" style="62" bestFit="1" customWidth="1"/>
    <col min="3564" max="3564" width="9.109375" style="62" bestFit="1" customWidth="1"/>
    <col min="3565" max="3565" width="9.5546875" style="62" bestFit="1" customWidth="1"/>
    <col min="3566" max="3806" width="9.109375" style="62" bestFit="1" customWidth="1"/>
    <col min="3807" max="3807" width="1.88671875" style="62" customWidth="1"/>
    <col min="3808" max="3808" width="7.33203125" style="62" customWidth="1"/>
    <col min="3809" max="3809" width="9.88671875" style="62" customWidth="1"/>
    <col min="3810" max="3810" width="12.6640625" style="62" customWidth="1"/>
    <col min="3811" max="3811" width="11.109375" style="62" customWidth="1"/>
    <col min="3812" max="3812" width="10.88671875" style="62" customWidth="1"/>
    <col min="3813" max="3813" width="11.5546875" style="62" customWidth="1"/>
    <col min="3814" max="3814" width="13.44140625" style="62" customWidth="1"/>
    <col min="3815" max="3815" width="11.109375" style="62" customWidth="1"/>
    <col min="3816" max="3816" width="11.33203125" style="62" bestFit="1" customWidth="1"/>
    <col min="3817" max="3817" width="11.5546875" style="62" customWidth="1"/>
    <col min="3818" max="3818" width="8.88671875" style="62"/>
    <col min="3819" max="3819" width="9.88671875" style="62" bestFit="1" customWidth="1"/>
    <col min="3820" max="3820" width="9.109375" style="62" bestFit="1" customWidth="1"/>
    <col min="3821" max="3821" width="9.5546875" style="62" bestFit="1" customWidth="1"/>
    <col min="3822" max="4062" width="9.109375" style="62" bestFit="1" customWidth="1"/>
    <col min="4063" max="4063" width="1.88671875" style="62" customWidth="1"/>
    <col min="4064" max="4064" width="7.33203125" style="62" customWidth="1"/>
    <col min="4065" max="4065" width="9.88671875" style="62" customWidth="1"/>
    <col min="4066" max="4066" width="12.6640625" style="62" customWidth="1"/>
    <col min="4067" max="4067" width="11.109375" style="62" customWidth="1"/>
    <col min="4068" max="4068" width="10.88671875" style="62" customWidth="1"/>
    <col min="4069" max="4069" width="11.5546875" style="62" customWidth="1"/>
    <col min="4070" max="4070" width="13.44140625" style="62" customWidth="1"/>
    <col min="4071" max="4071" width="11.109375" style="62" customWidth="1"/>
    <col min="4072" max="4072" width="11.33203125" style="62" bestFit="1" customWidth="1"/>
    <col min="4073" max="4073" width="11.5546875" style="62" customWidth="1"/>
    <col min="4074" max="4074" width="8.88671875" style="62"/>
    <col min="4075" max="4075" width="9.88671875" style="62" bestFit="1" customWidth="1"/>
    <col min="4076" max="4076" width="9.109375" style="62" bestFit="1" customWidth="1"/>
    <col min="4077" max="4077" width="9.5546875" style="62" bestFit="1" customWidth="1"/>
    <col min="4078" max="4318" width="9.109375" style="62" bestFit="1" customWidth="1"/>
    <col min="4319" max="4319" width="1.88671875" style="62" customWidth="1"/>
    <col min="4320" max="4320" width="7.33203125" style="62" customWidth="1"/>
    <col min="4321" max="4321" width="9.88671875" style="62" customWidth="1"/>
    <col min="4322" max="4322" width="12.6640625" style="62" customWidth="1"/>
    <col min="4323" max="4323" width="11.109375" style="62" customWidth="1"/>
    <col min="4324" max="4324" width="10.88671875" style="62" customWidth="1"/>
    <col min="4325" max="4325" width="11.5546875" style="62" customWidth="1"/>
    <col min="4326" max="4326" width="13.44140625" style="62" customWidth="1"/>
    <col min="4327" max="4327" width="11.109375" style="62" customWidth="1"/>
    <col min="4328" max="4328" width="11.33203125" style="62" bestFit="1" customWidth="1"/>
    <col min="4329" max="4329" width="11.5546875" style="62" customWidth="1"/>
    <col min="4330" max="4330" width="8.88671875" style="62"/>
    <col min="4331" max="4331" width="9.88671875" style="62" bestFit="1" customWidth="1"/>
    <col min="4332" max="4332" width="9.109375" style="62" bestFit="1" customWidth="1"/>
    <col min="4333" max="4333" width="9.5546875" style="62" bestFit="1" customWidth="1"/>
    <col min="4334" max="4574" width="9.109375" style="62" bestFit="1" customWidth="1"/>
    <col min="4575" max="4575" width="1.88671875" style="62" customWidth="1"/>
    <col min="4576" max="4576" width="7.33203125" style="62" customWidth="1"/>
    <col min="4577" max="4577" width="9.88671875" style="62" customWidth="1"/>
    <col min="4578" max="4578" width="12.6640625" style="62" customWidth="1"/>
    <col min="4579" max="4579" width="11.109375" style="62" customWidth="1"/>
    <col min="4580" max="4580" width="10.88671875" style="62" customWidth="1"/>
    <col min="4581" max="4581" width="11.5546875" style="62" customWidth="1"/>
    <col min="4582" max="4582" width="13.44140625" style="62" customWidth="1"/>
    <col min="4583" max="4583" width="11.109375" style="62" customWidth="1"/>
    <col min="4584" max="4584" width="11.33203125" style="62" bestFit="1" customWidth="1"/>
    <col min="4585" max="4585" width="11.5546875" style="62" customWidth="1"/>
    <col min="4586" max="4586" width="8.88671875" style="62"/>
    <col min="4587" max="4587" width="9.88671875" style="62" bestFit="1" customWidth="1"/>
    <col min="4588" max="4588" width="9.109375" style="62" bestFit="1" customWidth="1"/>
    <col min="4589" max="4589" width="9.5546875" style="62" bestFit="1" customWidth="1"/>
    <col min="4590" max="4830" width="9.109375" style="62" bestFit="1" customWidth="1"/>
    <col min="4831" max="4831" width="1.88671875" style="62" customWidth="1"/>
    <col min="4832" max="4832" width="7.33203125" style="62" customWidth="1"/>
    <col min="4833" max="4833" width="9.88671875" style="62" customWidth="1"/>
    <col min="4834" max="4834" width="12.6640625" style="62" customWidth="1"/>
    <col min="4835" max="4835" width="11.109375" style="62" customWidth="1"/>
    <col min="4836" max="4836" width="10.88671875" style="62" customWidth="1"/>
    <col min="4837" max="4837" width="11.5546875" style="62" customWidth="1"/>
    <col min="4838" max="4838" width="13.44140625" style="62" customWidth="1"/>
    <col min="4839" max="4839" width="11.109375" style="62" customWidth="1"/>
    <col min="4840" max="4840" width="11.33203125" style="62" bestFit="1" customWidth="1"/>
    <col min="4841" max="4841" width="11.5546875" style="62" customWidth="1"/>
    <col min="4842" max="4842" width="8.88671875" style="62"/>
    <col min="4843" max="4843" width="9.88671875" style="62" bestFit="1" customWidth="1"/>
    <col min="4844" max="4844" width="9.109375" style="62" bestFit="1" customWidth="1"/>
    <col min="4845" max="4845" width="9.5546875" style="62" bestFit="1" customWidth="1"/>
    <col min="4846" max="5086" width="9.109375" style="62" bestFit="1" customWidth="1"/>
    <col min="5087" max="5087" width="1.88671875" style="62" customWidth="1"/>
    <col min="5088" max="5088" width="7.33203125" style="62" customWidth="1"/>
    <col min="5089" max="5089" width="9.88671875" style="62" customWidth="1"/>
    <col min="5090" max="5090" width="12.6640625" style="62" customWidth="1"/>
    <col min="5091" max="5091" width="11.109375" style="62" customWidth="1"/>
    <col min="5092" max="5092" width="10.88671875" style="62" customWidth="1"/>
    <col min="5093" max="5093" width="11.5546875" style="62" customWidth="1"/>
    <col min="5094" max="5094" width="13.44140625" style="62" customWidth="1"/>
    <col min="5095" max="5095" width="11.109375" style="62" customWidth="1"/>
    <col min="5096" max="5096" width="11.33203125" style="62" bestFit="1" customWidth="1"/>
    <col min="5097" max="5097" width="11.5546875" style="62" customWidth="1"/>
    <col min="5098" max="5098" width="8.88671875" style="62"/>
    <col min="5099" max="5099" width="9.88671875" style="62" bestFit="1" customWidth="1"/>
    <col min="5100" max="5100" width="9.109375" style="62" bestFit="1" customWidth="1"/>
    <col min="5101" max="5101" width="9.5546875" style="62" bestFit="1" customWidth="1"/>
    <col min="5102" max="5342" width="9.109375" style="62" bestFit="1" customWidth="1"/>
    <col min="5343" max="5343" width="1.88671875" style="62" customWidth="1"/>
    <col min="5344" max="5344" width="7.33203125" style="62" customWidth="1"/>
    <col min="5345" max="5345" width="9.88671875" style="62" customWidth="1"/>
    <col min="5346" max="5346" width="12.6640625" style="62" customWidth="1"/>
    <col min="5347" max="5347" width="11.109375" style="62" customWidth="1"/>
    <col min="5348" max="5348" width="10.88671875" style="62" customWidth="1"/>
    <col min="5349" max="5349" width="11.5546875" style="62" customWidth="1"/>
    <col min="5350" max="5350" width="13.44140625" style="62" customWidth="1"/>
    <col min="5351" max="5351" width="11.109375" style="62" customWidth="1"/>
    <col min="5352" max="5352" width="11.33203125" style="62" bestFit="1" customWidth="1"/>
    <col min="5353" max="5353" width="11.5546875" style="62" customWidth="1"/>
    <col min="5354" max="5354" width="8.88671875" style="62"/>
    <col min="5355" max="5355" width="9.88671875" style="62" bestFit="1" customWidth="1"/>
    <col min="5356" max="5356" width="9.109375" style="62" bestFit="1" customWidth="1"/>
    <col min="5357" max="5357" width="9.5546875" style="62" bestFit="1" customWidth="1"/>
    <col min="5358" max="5598" width="9.109375" style="62" bestFit="1" customWidth="1"/>
    <col min="5599" max="5599" width="1.88671875" style="62" customWidth="1"/>
    <col min="5600" max="5600" width="7.33203125" style="62" customWidth="1"/>
    <col min="5601" max="5601" width="9.88671875" style="62" customWidth="1"/>
    <col min="5602" max="5602" width="12.6640625" style="62" customWidth="1"/>
    <col min="5603" max="5603" width="11.109375" style="62" customWidth="1"/>
    <col min="5604" max="5604" width="10.88671875" style="62" customWidth="1"/>
    <col min="5605" max="5605" width="11.5546875" style="62" customWidth="1"/>
    <col min="5606" max="5606" width="13.44140625" style="62" customWidth="1"/>
    <col min="5607" max="5607" width="11.109375" style="62" customWidth="1"/>
    <col min="5608" max="5608" width="11.33203125" style="62" bestFit="1" customWidth="1"/>
    <col min="5609" max="5609" width="11.5546875" style="62" customWidth="1"/>
    <col min="5610" max="5610" width="8.88671875" style="62"/>
    <col min="5611" max="5611" width="9.88671875" style="62" bestFit="1" customWidth="1"/>
    <col min="5612" max="5612" width="9.109375" style="62" bestFit="1" customWidth="1"/>
    <col min="5613" max="5613" width="9.5546875" style="62" bestFit="1" customWidth="1"/>
    <col min="5614" max="5854" width="9.109375" style="62" bestFit="1" customWidth="1"/>
    <col min="5855" max="5855" width="1.88671875" style="62" customWidth="1"/>
    <col min="5856" max="5856" width="7.33203125" style="62" customWidth="1"/>
    <col min="5857" max="5857" width="9.88671875" style="62" customWidth="1"/>
    <col min="5858" max="5858" width="12.6640625" style="62" customWidth="1"/>
    <col min="5859" max="5859" width="11.109375" style="62" customWidth="1"/>
    <col min="5860" max="5860" width="10.88671875" style="62" customWidth="1"/>
    <col min="5861" max="5861" width="11.5546875" style="62" customWidth="1"/>
    <col min="5862" max="5862" width="13.44140625" style="62" customWidth="1"/>
    <col min="5863" max="5863" width="11.109375" style="62" customWidth="1"/>
    <col min="5864" max="5864" width="11.33203125" style="62" bestFit="1" customWidth="1"/>
    <col min="5865" max="5865" width="11.5546875" style="62" customWidth="1"/>
    <col min="5866" max="5866" width="8.88671875" style="62"/>
    <col min="5867" max="5867" width="9.88671875" style="62" bestFit="1" customWidth="1"/>
    <col min="5868" max="5868" width="9.109375" style="62" bestFit="1" customWidth="1"/>
    <col min="5869" max="5869" width="9.5546875" style="62" bestFit="1" customWidth="1"/>
    <col min="5870" max="6110" width="9.109375" style="62" bestFit="1" customWidth="1"/>
    <col min="6111" max="6111" width="1.88671875" style="62" customWidth="1"/>
    <col min="6112" max="6112" width="7.33203125" style="62" customWidth="1"/>
    <col min="6113" max="6113" width="9.88671875" style="62" customWidth="1"/>
    <col min="6114" max="6114" width="12.6640625" style="62" customWidth="1"/>
    <col min="6115" max="6115" width="11.109375" style="62" customWidth="1"/>
    <col min="6116" max="6116" width="10.88671875" style="62" customWidth="1"/>
    <col min="6117" max="6117" width="11.5546875" style="62" customWidth="1"/>
    <col min="6118" max="6118" width="13.44140625" style="62" customWidth="1"/>
    <col min="6119" max="6119" width="11.109375" style="62" customWidth="1"/>
    <col min="6120" max="6120" width="11.33203125" style="62" bestFit="1" customWidth="1"/>
    <col min="6121" max="6121" width="11.5546875" style="62" customWidth="1"/>
    <col min="6122" max="6122" width="8.88671875" style="62"/>
    <col min="6123" max="6123" width="9.88671875" style="62" bestFit="1" customWidth="1"/>
    <col min="6124" max="6124" width="9.109375" style="62" bestFit="1" customWidth="1"/>
    <col min="6125" max="6125" width="9.5546875" style="62" bestFit="1" customWidth="1"/>
    <col min="6126" max="6366" width="9.109375" style="62" bestFit="1" customWidth="1"/>
    <col min="6367" max="6367" width="1.88671875" style="62" customWidth="1"/>
    <col min="6368" max="6368" width="7.33203125" style="62" customWidth="1"/>
    <col min="6369" max="6369" width="9.88671875" style="62" customWidth="1"/>
    <col min="6370" max="6370" width="12.6640625" style="62" customWidth="1"/>
    <col min="6371" max="6371" width="11.109375" style="62" customWidth="1"/>
    <col min="6372" max="6372" width="10.88671875" style="62" customWidth="1"/>
    <col min="6373" max="6373" width="11.5546875" style="62" customWidth="1"/>
    <col min="6374" max="6374" width="13.44140625" style="62" customWidth="1"/>
    <col min="6375" max="6375" width="11.109375" style="62" customWidth="1"/>
    <col min="6376" max="6376" width="11.33203125" style="62" bestFit="1" customWidth="1"/>
    <col min="6377" max="6377" width="11.5546875" style="62" customWidth="1"/>
    <col min="6378" max="6378" width="8.88671875" style="62"/>
    <col min="6379" max="6379" width="9.88671875" style="62" bestFit="1" customWidth="1"/>
    <col min="6380" max="6380" width="9.109375" style="62" bestFit="1" customWidth="1"/>
    <col min="6381" max="6381" width="9.5546875" style="62" bestFit="1" customWidth="1"/>
    <col min="6382" max="6622" width="9.109375" style="62" bestFit="1" customWidth="1"/>
    <col min="6623" max="6623" width="1.88671875" style="62" customWidth="1"/>
    <col min="6624" max="6624" width="7.33203125" style="62" customWidth="1"/>
    <col min="6625" max="6625" width="9.88671875" style="62" customWidth="1"/>
    <col min="6626" max="6626" width="12.6640625" style="62" customWidth="1"/>
    <col min="6627" max="6627" width="11.109375" style="62" customWidth="1"/>
    <col min="6628" max="6628" width="10.88671875" style="62" customWidth="1"/>
    <col min="6629" max="6629" width="11.5546875" style="62" customWidth="1"/>
    <col min="6630" max="6630" width="13.44140625" style="62" customWidth="1"/>
    <col min="6631" max="6631" width="11.109375" style="62" customWidth="1"/>
    <col min="6632" max="6632" width="11.33203125" style="62" bestFit="1" customWidth="1"/>
    <col min="6633" max="6633" width="11.5546875" style="62" customWidth="1"/>
    <col min="6634" max="6634" width="8.88671875" style="62"/>
    <col min="6635" max="6635" width="9.88671875" style="62" bestFit="1" customWidth="1"/>
    <col min="6636" max="6636" width="9.109375" style="62" bestFit="1" customWidth="1"/>
    <col min="6637" max="6637" width="9.5546875" style="62" bestFit="1" customWidth="1"/>
    <col min="6638" max="6878" width="9.109375" style="62" bestFit="1" customWidth="1"/>
    <col min="6879" max="6879" width="1.88671875" style="62" customWidth="1"/>
    <col min="6880" max="6880" width="7.33203125" style="62" customWidth="1"/>
    <col min="6881" max="6881" width="9.88671875" style="62" customWidth="1"/>
    <col min="6882" max="6882" width="12.6640625" style="62" customWidth="1"/>
    <col min="6883" max="6883" width="11.109375" style="62" customWidth="1"/>
    <col min="6884" max="6884" width="10.88671875" style="62" customWidth="1"/>
    <col min="6885" max="6885" width="11.5546875" style="62" customWidth="1"/>
    <col min="6886" max="6886" width="13.44140625" style="62" customWidth="1"/>
    <col min="6887" max="6887" width="11.109375" style="62" customWidth="1"/>
    <col min="6888" max="6888" width="11.33203125" style="62" bestFit="1" customWidth="1"/>
    <col min="6889" max="6889" width="11.5546875" style="62" customWidth="1"/>
    <col min="6890" max="6890" width="8.88671875" style="62"/>
    <col min="6891" max="6891" width="9.88671875" style="62" bestFit="1" customWidth="1"/>
    <col min="6892" max="6892" width="9.109375" style="62" bestFit="1" customWidth="1"/>
    <col min="6893" max="6893" width="9.5546875" style="62" bestFit="1" customWidth="1"/>
    <col min="6894" max="7134" width="9.109375" style="62" bestFit="1" customWidth="1"/>
    <col min="7135" max="7135" width="1.88671875" style="62" customWidth="1"/>
    <col min="7136" max="7136" width="7.33203125" style="62" customWidth="1"/>
    <col min="7137" max="7137" width="9.88671875" style="62" customWidth="1"/>
    <col min="7138" max="7138" width="12.6640625" style="62" customWidth="1"/>
    <col min="7139" max="7139" width="11.109375" style="62" customWidth="1"/>
    <col min="7140" max="7140" width="10.88671875" style="62" customWidth="1"/>
    <col min="7141" max="7141" width="11.5546875" style="62" customWidth="1"/>
    <col min="7142" max="7142" width="13.44140625" style="62" customWidth="1"/>
    <col min="7143" max="7143" width="11.109375" style="62" customWidth="1"/>
    <col min="7144" max="7144" width="11.33203125" style="62" bestFit="1" customWidth="1"/>
    <col min="7145" max="7145" width="11.5546875" style="62" customWidth="1"/>
    <col min="7146" max="7146" width="8.88671875" style="62"/>
    <col min="7147" max="7147" width="9.88671875" style="62" bestFit="1" customWidth="1"/>
    <col min="7148" max="7148" width="9.109375" style="62" bestFit="1" customWidth="1"/>
    <col min="7149" max="7149" width="9.5546875" style="62" bestFit="1" customWidth="1"/>
    <col min="7150" max="7390" width="9.109375" style="62" bestFit="1" customWidth="1"/>
    <col min="7391" max="7391" width="1.88671875" style="62" customWidth="1"/>
    <col min="7392" max="7392" width="7.33203125" style="62" customWidth="1"/>
    <col min="7393" max="7393" width="9.88671875" style="62" customWidth="1"/>
    <col min="7394" max="7394" width="12.6640625" style="62" customWidth="1"/>
    <col min="7395" max="7395" width="11.109375" style="62" customWidth="1"/>
    <col min="7396" max="7396" width="10.88671875" style="62" customWidth="1"/>
    <col min="7397" max="7397" width="11.5546875" style="62" customWidth="1"/>
    <col min="7398" max="7398" width="13.44140625" style="62" customWidth="1"/>
    <col min="7399" max="7399" width="11.109375" style="62" customWidth="1"/>
    <col min="7400" max="7400" width="11.33203125" style="62" bestFit="1" customWidth="1"/>
    <col min="7401" max="7401" width="11.5546875" style="62" customWidth="1"/>
    <col min="7402" max="7402" width="8.88671875" style="62"/>
    <col min="7403" max="7403" width="9.88671875" style="62" bestFit="1" customWidth="1"/>
    <col min="7404" max="7404" width="9.109375" style="62" bestFit="1" customWidth="1"/>
    <col min="7405" max="7405" width="9.5546875" style="62" bestFit="1" customWidth="1"/>
    <col min="7406" max="7646" width="9.109375" style="62" bestFit="1" customWidth="1"/>
    <col min="7647" max="7647" width="1.88671875" style="62" customWidth="1"/>
    <col min="7648" max="7648" width="7.33203125" style="62" customWidth="1"/>
    <col min="7649" max="7649" width="9.88671875" style="62" customWidth="1"/>
    <col min="7650" max="7650" width="12.6640625" style="62" customWidth="1"/>
    <col min="7651" max="7651" width="11.109375" style="62" customWidth="1"/>
    <col min="7652" max="7652" width="10.88671875" style="62" customWidth="1"/>
    <col min="7653" max="7653" width="11.5546875" style="62" customWidth="1"/>
    <col min="7654" max="7654" width="13.44140625" style="62" customWidth="1"/>
    <col min="7655" max="7655" width="11.109375" style="62" customWidth="1"/>
    <col min="7656" max="7656" width="11.33203125" style="62" bestFit="1" customWidth="1"/>
    <col min="7657" max="7657" width="11.5546875" style="62" customWidth="1"/>
    <col min="7658" max="7658" width="8.88671875" style="62"/>
    <col min="7659" max="7659" width="9.88671875" style="62" bestFit="1" customWidth="1"/>
    <col min="7660" max="7660" width="9.109375" style="62" bestFit="1" customWidth="1"/>
    <col min="7661" max="7661" width="9.5546875" style="62" bestFit="1" customWidth="1"/>
    <col min="7662" max="7902" width="9.109375" style="62" bestFit="1" customWidth="1"/>
    <col min="7903" max="7903" width="1.88671875" style="62" customWidth="1"/>
    <col min="7904" max="7904" width="7.33203125" style="62" customWidth="1"/>
    <col min="7905" max="7905" width="9.88671875" style="62" customWidth="1"/>
    <col min="7906" max="7906" width="12.6640625" style="62" customWidth="1"/>
    <col min="7907" max="7907" width="11.109375" style="62" customWidth="1"/>
    <col min="7908" max="7908" width="10.88671875" style="62" customWidth="1"/>
    <col min="7909" max="7909" width="11.5546875" style="62" customWidth="1"/>
    <col min="7910" max="7910" width="13.44140625" style="62" customWidth="1"/>
    <col min="7911" max="7911" width="11.109375" style="62" customWidth="1"/>
    <col min="7912" max="7912" width="11.33203125" style="62" bestFit="1" customWidth="1"/>
    <col min="7913" max="7913" width="11.5546875" style="62" customWidth="1"/>
    <col min="7914" max="7914" width="8.88671875" style="62"/>
    <col min="7915" max="7915" width="9.88671875" style="62" bestFit="1" customWidth="1"/>
    <col min="7916" max="7916" width="9.109375" style="62" bestFit="1" customWidth="1"/>
    <col min="7917" max="7917" width="9.5546875" style="62" bestFit="1" customWidth="1"/>
    <col min="7918" max="8158" width="9.109375" style="62" bestFit="1" customWidth="1"/>
    <col min="8159" max="8159" width="1.88671875" style="62" customWidth="1"/>
    <col min="8160" max="8160" width="7.33203125" style="62" customWidth="1"/>
    <col min="8161" max="8161" width="9.88671875" style="62" customWidth="1"/>
    <col min="8162" max="8162" width="12.6640625" style="62" customWidth="1"/>
    <col min="8163" max="8163" width="11.109375" style="62" customWidth="1"/>
    <col min="8164" max="8164" width="10.88671875" style="62" customWidth="1"/>
    <col min="8165" max="8165" width="11.5546875" style="62" customWidth="1"/>
    <col min="8166" max="8166" width="13.44140625" style="62" customWidth="1"/>
    <col min="8167" max="8167" width="11.109375" style="62" customWidth="1"/>
    <col min="8168" max="8168" width="11.33203125" style="62" bestFit="1" customWidth="1"/>
    <col min="8169" max="8169" width="11.5546875" style="62" customWidth="1"/>
    <col min="8170" max="8170" width="8.88671875" style="62"/>
    <col min="8171" max="8171" width="9.88671875" style="62" bestFit="1" customWidth="1"/>
    <col min="8172" max="8172" width="9.109375" style="62" bestFit="1" customWidth="1"/>
    <col min="8173" max="8173" width="9.5546875" style="62" bestFit="1" customWidth="1"/>
    <col min="8174" max="8414" width="9.109375" style="62" bestFit="1" customWidth="1"/>
    <col min="8415" max="8415" width="1.88671875" style="62" customWidth="1"/>
    <col min="8416" max="8416" width="7.33203125" style="62" customWidth="1"/>
    <col min="8417" max="8417" width="9.88671875" style="62" customWidth="1"/>
    <col min="8418" max="8418" width="12.6640625" style="62" customWidth="1"/>
    <col min="8419" max="8419" width="11.109375" style="62" customWidth="1"/>
    <col min="8420" max="8420" width="10.88671875" style="62" customWidth="1"/>
    <col min="8421" max="8421" width="11.5546875" style="62" customWidth="1"/>
    <col min="8422" max="8422" width="13.44140625" style="62" customWidth="1"/>
    <col min="8423" max="8423" width="11.109375" style="62" customWidth="1"/>
    <col min="8424" max="8424" width="11.33203125" style="62" bestFit="1" customWidth="1"/>
    <col min="8425" max="8425" width="11.5546875" style="62" customWidth="1"/>
    <col min="8426" max="8426" width="8.88671875" style="62"/>
    <col min="8427" max="8427" width="9.88671875" style="62" bestFit="1" customWidth="1"/>
    <col min="8428" max="8428" width="9.109375" style="62" bestFit="1" customWidth="1"/>
    <col min="8429" max="8429" width="9.5546875" style="62" bestFit="1" customWidth="1"/>
    <col min="8430" max="8670" width="9.109375" style="62" bestFit="1" customWidth="1"/>
    <col min="8671" max="8671" width="1.88671875" style="62" customWidth="1"/>
    <col min="8672" max="8672" width="7.33203125" style="62" customWidth="1"/>
    <col min="8673" max="8673" width="9.88671875" style="62" customWidth="1"/>
    <col min="8674" max="8674" width="12.6640625" style="62" customWidth="1"/>
    <col min="8675" max="8675" width="11.109375" style="62" customWidth="1"/>
    <col min="8676" max="8676" width="10.88671875" style="62" customWidth="1"/>
    <col min="8677" max="8677" width="11.5546875" style="62" customWidth="1"/>
    <col min="8678" max="8678" width="13.44140625" style="62" customWidth="1"/>
    <col min="8679" max="8679" width="11.109375" style="62" customWidth="1"/>
    <col min="8680" max="8680" width="11.33203125" style="62" bestFit="1" customWidth="1"/>
    <col min="8681" max="8681" width="11.5546875" style="62" customWidth="1"/>
    <col min="8682" max="8682" width="8.88671875" style="62"/>
    <col min="8683" max="8683" width="9.88671875" style="62" bestFit="1" customWidth="1"/>
    <col min="8684" max="8684" width="9.109375" style="62" bestFit="1" customWidth="1"/>
    <col min="8685" max="8685" width="9.5546875" style="62" bestFit="1" customWidth="1"/>
    <col min="8686" max="8926" width="9.109375" style="62" bestFit="1" customWidth="1"/>
    <col min="8927" max="8927" width="1.88671875" style="62" customWidth="1"/>
    <col min="8928" max="8928" width="7.33203125" style="62" customWidth="1"/>
    <col min="8929" max="8929" width="9.88671875" style="62" customWidth="1"/>
    <col min="8930" max="8930" width="12.6640625" style="62" customWidth="1"/>
    <col min="8931" max="8931" width="11.109375" style="62" customWidth="1"/>
    <col min="8932" max="8932" width="10.88671875" style="62" customWidth="1"/>
    <col min="8933" max="8933" width="11.5546875" style="62" customWidth="1"/>
    <col min="8934" max="8934" width="13.44140625" style="62" customWidth="1"/>
    <col min="8935" max="8935" width="11.109375" style="62" customWidth="1"/>
    <col min="8936" max="8936" width="11.33203125" style="62" bestFit="1" customWidth="1"/>
    <col min="8937" max="8937" width="11.5546875" style="62" customWidth="1"/>
    <col min="8938" max="8938" width="8.88671875" style="62"/>
    <col min="8939" max="8939" width="9.88671875" style="62" bestFit="1" customWidth="1"/>
    <col min="8940" max="8940" width="9.109375" style="62" bestFit="1" customWidth="1"/>
    <col min="8941" max="8941" width="9.5546875" style="62" bestFit="1" customWidth="1"/>
    <col min="8942" max="9182" width="9.109375" style="62" bestFit="1" customWidth="1"/>
    <col min="9183" max="9183" width="1.88671875" style="62" customWidth="1"/>
    <col min="9184" max="9184" width="7.33203125" style="62" customWidth="1"/>
    <col min="9185" max="9185" width="9.88671875" style="62" customWidth="1"/>
    <col min="9186" max="9186" width="12.6640625" style="62" customWidth="1"/>
    <col min="9187" max="9187" width="11.109375" style="62" customWidth="1"/>
    <col min="9188" max="9188" width="10.88671875" style="62" customWidth="1"/>
    <col min="9189" max="9189" width="11.5546875" style="62" customWidth="1"/>
    <col min="9190" max="9190" width="13.44140625" style="62" customWidth="1"/>
    <col min="9191" max="9191" width="11.109375" style="62" customWidth="1"/>
    <col min="9192" max="9192" width="11.33203125" style="62" bestFit="1" customWidth="1"/>
    <col min="9193" max="9193" width="11.5546875" style="62" customWidth="1"/>
    <col min="9194" max="9194" width="8.88671875" style="62"/>
    <col min="9195" max="9195" width="9.88671875" style="62" bestFit="1" customWidth="1"/>
    <col min="9196" max="9196" width="9.109375" style="62" bestFit="1" customWidth="1"/>
    <col min="9197" max="9197" width="9.5546875" style="62" bestFit="1" customWidth="1"/>
    <col min="9198" max="9438" width="9.109375" style="62" bestFit="1" customWidth="1"/>
    <col min="9439" max="9439" width="1.88671875" style="62" customWidth="1"/>
    <col min="9440" max="9440" width="7.33203125" style="62" customWidth="1"/>
    <col min="9441" max="9441" width="9.88671875" style="62" customWidth="1"/>
    <col min="9442" max="9442" width="12.6640625" style="62" customWidth="1"/>
    <col min="9443" max="9443" width="11.109375" style="62" customWidth="1"/>
    <col min="9444" max="9444" width="10.88671875" style="62" customWidth="1"/>
    <col min="9445" max="9445" width="11.5546875" style="62" customWidth="1"/>
    <col min="9446" max="9446" width="13.44140625" style="62" customWidth="1"/>
    <col min="9447" max="9447" width="11.109375" style="62" customWidth="1"/>
    <col min="9448" max="9448" width="11.33203125" style="62" bestFit="1" customWidth="1"/>
    <col min="9449" max="9449" width="11.5546875" style="62" customWidth="1"/>
    <col min="9450" max="9450" width="8.88671875" style="62"/>
    <col min="9451" max="9451" width="9.88671875" style="62" bestFit="1" customWidth="1"/>
    <col min="9452" max="9452" width="9.109375" style="62" bestFit="1" customWidth="1"/>
    <col min="9453" max="9453" width="9.5546875" style="62" bestFit="1" customWidth="1"/>
    <col min="9454" max="9694" width="9.109375" style="62" bestFit="1" customWidth="1"/>
    <col min="9695" max="9695" width="1.88671875" style="62" customWidth="1"/>
    <col min="9696" max="9696" width="7.33203125" style="62" customWidth="1"/>
    <col min="9697" max="9697" width="9.88671875" style="62" customWidth="1"/>
    <col min="9698" max="9698" width="12.6640625" style="62" customWidth="1"/>
    <col min="9699" max="9699" width="11.109375" style="62" customWidth="1"/>
    <col min="9700" max="9700" width="10.88671875" style="62" customWidth="1"/>
    <col min="9701" max="9701" width="11.5546875" style="62" customWidth="1"/>
    <col min="9702" max="9702" width="13.44140625" style="62" customWidth="1"/>
    <col min="9703" max="9703" width="11.109375" style="62" customWidth="1"/>
    <col min="9704" max="9704" width="11.33203125" style="62" bestFit="1" customWidth="1"/>
    <col min="9705" max="9705" width="11.5546875" style="62" customWidth="1"/>
    <col min="9706" max="9706" width="8.88671875" style="62"/>
    <col min="9707" max="9707" width="9.88671875" style="62" bestFit="1" customWidth="1"/>
    <col min="9708" max="9708" width="9.109375" style="62" bestFit="1" customWidth="1"/>
    <col min="9709" max="9709" width="9.5546875" style="62" bestFit="1" customWidth="1"/>
    <col min="9710" max="9950" width="9.109375" style="62" bestFit="1" customWidth="1"/>
    <col min="9951" max="9951" width="1.88671875" style="62" customWidth="1"/>
    <col min="9952" max="9952" width="7.33203125" style="62" customWidth="1"/>
    <col min="9953" max="9953" width="9.88671875" style="62" customWidth="1"/>
    <col min="9954" max="9954" width="12.6640625" style="62" customWidth="1"/>
    <col min="9955" max="9955" width="11.109375" style="62" customWidth="1"/>
    <col min="9956" max="9956" width="10.88671875" style="62" customWidth="1"/>
    <col min="9957" max="9957" width="11.5546875" style="62" customWidth="1"/>
    <col min="9958" max="9958" width="13.44140625" style="62" customWidth="1"/>
    <col min="9959" max="9959" width="11.109375" style="62" customWidth="1"/>
    <col min="9960" max="9960" width="11.33203125" style="62" bestFit="1" customWidth="1"/>
    <col min="9961" max="9961" width="11.5546875" style="62" customWidth="1"/>
    <col min="9962" max="9962" width="8.88671875" style="62"/>
    <col min="9963" max="9963" width="9.88671875" style="62" bestFit="1" customWidth="1"/>
    <col min="9964" max="9964" width="9.109375" style="62" bestFit="1" customWidth="1"/>
    <col min="9965" max="9965" width="9.5546875" style="62" bestFit="1" customWidth="1"/>
    <col min="9966" max="10206" width="9.109375" style="62" bestFit="1" customWidth="1"/>
    <col min="10207" max="10207" width="1.88671875" style="62" customWidth="1"/>
    <col min="10208" max="10208" width="7.33203125" style="62" customWidth="1"/>
    <col min="10209" max="10209" width="9.88671875" style="62" customWidth="1"/>
    <col min="10210" max="10210" width="12.6640625" style="62" customWidth="1"/>
    <col min="10211" max="10211" width="11.109375" style="62" customWidth="1"/>
    <col min="10212" max="10212" width="10.88671875" style="62" customWidth="1"/>
    <col min="10213" max="10213" width="11.5546875" style="62" customWidth="1"/>
    <col min="10214" max="10214" width="13.44140625" style="62" customWidth="1"/>
    <col min="10215" max="10215" width="11.109375" style="62" customWidth="1"/>
    <col min="10216" max="10216" width="11.33203125" style="62" bestFit="1" customWidth="1"/>
    <col min="10217" max="10217" width="11.5546875" style="62" customWidth="1"/>
    <col min="10218" max="10218" width="8.88671875" style="62"/>
    <col min="10219" max="10219" width="9.88671875" style="62" bestFit="1" customWidth="1"/>
    <col min="10220" max="10220" width="9.109375" style="62" bestFit="1" customWidth="1"/>
    <col min="10221" max="10221" width="9.5546875" style="62" bestFit="1" customWidth="1"/>
    <col min="10222" max="10462" width="9.109375" style="62" bestFit="1" customWidth="1"/>
    <col min="10463" max="10463" width="1.88671875" style="62" customWidth="1"/>
    <col min="10464" max="10464" width="7.33203125" style="62" customWidth="1"/>
    <col min="10465" max="10465" width="9.88671875" style="62" customWidth="1"/>
    <col min="10466" max="10466" width="12.6640625" style="62" customWidth="1"/>
    <col min="10467" max="10467" width="11.109375" style="62" customWidth="1"/>
    <col min="10468" max="10468" width="10.88671875" style="62" customWidth="1"/>
    <col min="10469" max="10469" width="11.5546875" style="62" customWidth="1"/>
    <col min="10470" max="10470" width="13.44140625" style="62" customWidth="1"/>
    <col min="10471" max="10471" width="11.109375" style="62" customWidth="1"/>
    <col min="10472" max="10472" width="11.33203125" style="62" bestFit="1" customWidth="1"/>
    <col min="10473" max="10473" width="11.5546875" style="62" customWidth="1"/>
    <col min="10474" max="10474" width="8.88671875" style="62"/>
    <col min="10475" max="10475" width="9.88671875" style="62" bestFit="1" customWidth="1"/>
    <col min="10476" max="10476" width="9.109375" style="62" bestFit="1" customWidth="1"/>
    <col min="10477" max="10477" width="9.5546875" style="62" bestFit="1" customWidth="1"/>
    <col min="10478" max="10718" width="9.109375" style="62" bestFit="1" customWidth="1"/>
    <col min="10719" max="10719" width="1.88671875" style="62" customWidth="1"/>
    <col min="10720" max="10720" width="7.33203125" style="62" customWidth="1"/>
    <col min="10721" max="10721" width="9.88671875" style="62" customWidth="1"/>
    <col min="10722" max="10722" width="12.6640625" style="62" customWidth="1"/>
    <col min="10723" max="10723" width="11.109375" style="62" customWidth="1"/>
    <col min="10724" max="10724" width="10.88671875" style="62" customWidth="1"/>
    <col min="10725" max="10725" width="11.5546875" style="62" customWidth="1"/>
    <col min="10726" max="10726" width="13.44140625" style="62" customWidth="1"/>
    <col min="10727" max="10727" width="11.109375" style="62" customWidth="1"/>
    <col min="10728" max="10728" width="11.33203125" style="62" bestFit="1" customWidth="1"/>
    <col min="10729" max="10729" width="11.5546875" style="62" customWidth="1"/>
    <col min="10730" max="10730" width="8.88671875" style="62"/>
    <col min="10731" max="10731" width="9.88671875" style="62" bestFit="1" customWidth="1"/>
    <col min="10732" max="10732" width="9.109375" style="62" bestFit="1" customWidth="1"/>
    <col min="10733" max="10733" width="9.5546875" style="62" bestFit="1" customWidth="1"/>
    <col min="10734" max="10974" width="9.109375" style="62" bestFit="1" customWidth="1"/>
    <col min="10975" max="10975" width="1.88671875" style="62" customWidth="1"/>
    <col min="10976" max="10976" width="7.33203125" style="62" customWidth="1"/>
    <col min="10977" max="10977" width="9.88671875" style="62" customWidth="1"/>
    <col min="10978" max="10978" width="12.6640625" style="62" customWidth="1"/>
    <col min="10979" max="10979" width="11.109375" style="62" customWidth="1"/>
    <col min="10980" max="10980" width="10.88671875" style="62" customWidth="1"/>
    <col min="10981" max="10981" width="11.5546875" style="62" customWidth="1"/>
    <col min="10982" max="10982" width="13.44140625" style="62" customWidth="1"/>
    <col min="10983" max="10983" width="11.109375" style="62" customWidth="1"/>
    <col min="10984" max="10984" width="11.33203125" style="62" bestFit="1" customWidth="1"/>
    <col min="10985" max="10985" width="11.5546875" style="62" customWidth="1"/>
    <col min="10986" max="10986" width="8.88671875" style="62"/>
    <col min="10987" max="10987" width="9.88671875" style="62" bestFit="1" customWidth="1"/>
    <col min="10988" max="10988" width="9.109375" style="62" bestFit="1" customWidth="1"/>
    <col min="10989" max="10989" width="9.5546875" style="62" bestFit="1" customWidth="1"/>
    <col min="10990" max="11230" width="9.109375" style="62" bestFit="1" customWidth="1"/>
    <col min="11231" max="11231" width="1.88671875" style="62" customWidth="1"/>
    <col min="11232" max="11232" width="7.33203125" style="62" customWidth="1"/>
    <col min="11233" max="11233" width="9.88671875" style="62" customWidth="1"/>
    <col min="11234" max="11234" width="12.6640625" style="62" customWidth="1"/>
    <col min="11235" max="11235" width="11.109375" style="62" customWidth="1"/>
    <col min="11236" max="11236" width="10.88671875" style="62" customWidth="1"/>
    <col min="11237" max="11237" width="11.5546875" style="62" customWidth="1"/>
    <col min="11238" max="11238" width="13.44140625" style="62" customWidth="1"/>
    <col min="11239" max="11239" width="11.109375" style="62" customWidth="1"/>
    <col min="11240" max="11240" width="11.33203125" style="62" bestFit="1" customWidth="1"/>
    <col min="11241" max="11241" width="11.5546875" style="62" customWidth="1"/>
    <col min="11242" max="11242" width="8.88671875" style="62"/>
    <col min="11243" max="11243" width="9.88671875" style="62" bestFit="1" customWidth="1"/>
    <col min="11244" max="11244" width="9.109375" style="62" bestFit="1" customWidth="1"/>
    <col min="11245" max="11245" width="9.5546875" style="62" bestFit="1" customWidth="1"/>
    <col min="11246" max="11486" width="9.109375" style="62" bestFit="1" customWidth="1"/>
    <col min="11487" max="11487" width="1.88671875" style="62" customWidth="1"/>
    <col min="11488" max="11488" width="7.33203125" style="62" customWidth="1"/>
    <col min="11489" max="11489" width="9.88671875" style="62" customWidth="1"/>
    <col min="11490" max="11490" width="12.6640625" style="62" customWidth="1"/>
    <col min="11491" max="11491" width="11.109375" style="62" customWidth="1"/>
    <col min="11492" max="11492" width="10.88671875" style="62" customWidth="1"/>
    <col min="11493" max="11493" width="11.5546875" style="62" customWidth="1"/>
    <col min="11494" max="11494" width="13.44140625" style="62" customWidth="1"/>
    <col min="11495" max="11495" width="11.109375" style="62" customWidth="1"/>
    <col min="11496" max="11496" width="11.33203125" style="62" bestFit="1" customWidth="1"/>
    <col min="11497" max="11497" width="11.5546875" style="62" customWidth="1"/>
    <col min="11498" max="11498" width="8.88671875" style="62"/>
    <col min="11499" max="11499" width="9.88671875" style="62" bestFit="1" customWidth="1"/>
    <col min="11500" max="11500" width="9.109375" style="62" bestFit="1" customWidth="1"/>
    <col min="11501" max="11501" width="9.5546875" style="62" bestFit="1" customWidth="1"/>
    <col min="11502" max="11742" width="9.109375" style="62" bestFit="1" customWidth="1"/>
    <col min="11743" max="11743" width="1.88671875" style="62" customWidth="1"/>
    <col min="11744" max="11744" width="7.33203125" style="62" customWidth="1"/>
    <col min="11745" max="11745" width="9.88671875" style="62" customWidth="1"/>
    <col min="11746" max="11746" width="12.6640625" style="62" customWidth="1"/>
    <col min="11747" max="11747" width="11.109375" style="62" customWidth="1"/>
    <col min="11748" max="11748" width="10.88671875" style="62" customWidth="1"/>
    <col min="11749" max="11749" width="11.5546875" style="62" customWidth="1"/>
    <col min="11750" max="11750" width="13.44140625" style="62" customWidth="1"/>
    <col min="11751" max="11751" width="11.109375" style="62" customWidth="1"/>
    <col min="11752" max="11752" width="11.33203125" style="62" bestFit="1" customWidth="1"/>
    <col min="11753" max="11753" width="11.5546875" style="62" customWidth="1"/>
    <col min="11754" max="11754" width="8.88671875" style="62"/>
    <col min="11755" max="11755" width="9.88671875" style="62" bestFit="1" customWidth="1"/>
    <col min="11756" max="11756" width="9.109375" style="62" bestFit="1" customWidth="1"/>
    <col min="11757" max="11757" width="9.5546875" style="62" bestFit="1" customWidth="1"/>
    <col min="11758" max="11998" width="9.109375" style="62" bestFit="1" customWidth="1"/>
    <col min="11999" max="11999" width="1.88671875" style="62" customWidth="1"/>
    <col min="12000" max="12000" width="7.33203125" style="62" customWidth="1"/>
    <col min="12001" max="12001" width="9.88671875" style="62" customWidth="1"/>
    <col min="12002" max="12002" width="12.6640625" style="62" customWidth="1"/>
    <col min="12003" max="12003" width="11.109375" style="62" customWidth="1"/>
    <col min="12004" max="12004" width="10.88671875" style="62" customWidth="1"/>
    <col min="12005" max="12005" width="11.5546875" style="62" customWidth="1"/>
    <col min="12006" max="12006" width="13.44140625" style="62" customWidth="1"/>
    <col min="12007" max="12007" width="11.109375" style="62" customWidth="1"/>
    <col min="12008" max="12008" width="11.33203125" style="62" bestFit="1" customWidth="1"/>
    <col min="12009" max="12009" width="11.5546875" style="62" customWidth="1"/>
    <col min="12010" max="12010" width="8.88671875" style="62"/>
    <col min="12011" max="12011" width="9.88671875" style="62" bestFit="1" customWidth="1"/>
    <col min="12012" max="12012" width="9.109375" style="62" bestFit="1" customWidth="1"/>
    <col min="12013" max="12013" width="9.5546875" style="62" bestFit="1" customWidth="1"/>
    <col min="12014" max="12254" width="9.109375" style="62" bestFit="1" customWidth="1"/>
    <col min="12255" max="12255" width="1.88671875" style="62" customWidth="1"/>
    <col min="12256" max="12256" width="7.33203125" style="62" customWidth="1"/>
    <col min="12257" max="12257" width="9.88671875" style="62" customWidth="1"/>
    <col min="12258" max="12258" width="12.6640625" style="62" customWidth="1"/>
    <col min="12259" max="12259" width="11.109375" style="62" customWidth="1"/>
    <col min="12260" max="12260" width="10.88671875" style="62" customWidth="1"/>
    <col min="12261" max="12261" width="11.5546875" style="62" customWidth="1"/>
    <col min="12262" max="12262" width="13.44140625" style="62" customWidth="1"/>
    <col min="12263" max="12263" width="11.109375" style="62" customWidth="1"/>
    <col min="12264" max="12264" width="11.33203125" style="62" bestFit="1" customWidth="1"/>
    <col min="12265" max="12265" width="11.5546875" style="62" customWidth="1"/>
    <col min="12266" max="12266" width="8.88671875" style="62"/>
    <col min="12267" max="12267" width="9.88671875" style="62" bestFit="1" customWidth="1"/>
    <col min="12268" max="12268" width="9.109375" style="62" bestFit="1" customWidth="1"/>
    <col min="12269" max="12269" width="9.5546875" style="62" bestFit="1" customWidth="1"/>
    <col min="12270" max="12510" width="9.109375" style="62" bestFit="1" customWidth="1"/>
    <col min="12511" max="12511" width="1.88671875" style="62" customWidth="1"/>
    <col min="12512" max="12512" width="7.33203125" style="62" customWidth="1"/>
    <col min="12513" max="12513" width="9.88671875" style="62" customWidth="1"/>
    <col min="12514" max="12514" width="12.6640625" style="62" customWidth="1"/>
    <col min="12515" max="12515" width="11.109375" style="62" customWidth="1"/>
    <col min="12516" max="12516" width="10.88671875" style="62" customWidth="1"/>
    <col min="12517" max="12517" width="11.5546875" style="62" customWidth="1"/>
    <col min="12518" max="12518" width="13.44140625" style="62" customWidth="1"/>
    <col min="12519" max="12519" width="11.109375" style="62" customWidth="1"/>
    <col min="12520" max="12520" width="11.33203125" style="62" bestFit="1" customWidth="1"/>
    <col min="12521" max="12521" width="11.5546875" style="62" customWidth="1"/>
    <col min="12522" max="12522" width="8.88671875" style="62"/>
    <col min="12523" max="12523" width="9.88671875" style="62" bestFit="1" customWidth="1"/>
    <col min="12524" max="12524" width="9.109375" style="62" bestFit="1" customWidth="1"/>
    <col min="12525" max="12525" width="9.5546875" style="62" bestFit="1" customWidth="1"/>
    <col min="12526" max="12766" width="9.109375" style="62" bestFit="1" customWidth="1"/>
    <col min="12767" max="12767" width="1.88671875" style="62" customWidth="1"/>
    <col min="12768" max="12768" width="7.33203125" style="62" customWidth="1"/>
    <col min="12769" max="12769" width="9.88671875" style="62" customWidth="1"/>
    <col min="12770" max="12770" width="12.6640625" style="62" customWidth="1"/>
    <col min="12771" max="12771" width="11.109375" style="62" customWidth="1"/>
    <col min="12772" max="12772" width="10.88671875" style="62" customWidth="1"/>
    <col min="12773" max="12773" width="11.5546875" style="62" customWidth="1"/>
    <col min="12774" max="12774" width="13.44140625" style="62" customWidth="1"/>
    <col min="12775" max="12775" width="11.109375" style="62" customWidth="1"/>
    <col min="12776" max="12776" width="11.33203125" style="62" bestFit="1" customWidth="1"/>
    <col min="12777" max="12777" width="11.5546875" style="62" customWidth="1"/>
    <col min="12778" max="12778" width="8.88671875" style="62"/>
    <col min="12779" max="12779" width="9.88671875" style="62" bestFit="1" customWidth="1"/>
    <col min="12780" max="12780" width="9.109375" style="62" bestFit="1" customWidth="1"/>
    <col min="12781" max="12781" width="9.5546875" style="62" bestFit="1" customWidth="1"/>
    <col min="12782" max="13022" width="9.109375" style="62" bestFit="1" customWidth="1"/>
    <col min="13023" max="13023" width="1.88671875" style="62" customWidth="1"/>
    <col min="13024" max="13024" width="7.33203125" style="62" customWidth="1"/>
    <col min="13025" max="13025" width="9.88671875" style="62" customWidth="1"/>
    <col min="13026" max="13026" width="12.6640625" style="62" customWidth="1"/>
    <col min="13027" max="13027" width="11.109375" style="62" customWidth="1"/>
    <col min="13028" max="13028" width="10.88671875" style="62" customWidth="1"/>
    <col min="13029" max="13029" width="11.5546875" style="62" customWidth="1"/>
    <col min="13030" max="13030" width="13.44140625" style="62" customWidth="1"/>
    <col min="13031" max="13031" width="11.109375" style="62" customWidth="1"/>
    <col min="13032" max="13032" width="11.33203125" style="62" bestFit="1" customWidth="1"/>
    <col min="13033" max="13033" width="11.5546875" style="62" customWidth="1"/>
    <col min="13034" max="13034" width="8.88671875" style="62"/>
    <col min="13035" max="13035" width="9.88671875" style="62" bestFit="1" customWidth="1"/>
    <col min="13036" max="13036" width="9.109375" style="62" bestFit="1" customWidth="1"/>
    <col min="13037" max="13037" width="9.5546875" style="62" bestFit="1" customWidth="1"/>
    <col min="13038" max="13278" width="9.109375" style="62" bestFit="1" customWidth="1"/>
    <col min="13279" max="13279" width="1.88671875" style="62" customWidth="1"/>
    <col min="13280" max="13280" width="7.33203125" style="62" customWidth="1"/>
    <col min="13281" max="13281" width="9.88671875" style="62" customWidth="1"/>
    <col min="13282" max="13282" width="12.6640625" style="62" customWidth="1"/>
    <col min="13283" max="13283" width="11.109375" style="62" customWidth="1"/>
    <col min="13284" max="13284" width="10.88671875" style="62" customWidth="1"/>
    <col min="13285" max="13285" width="11.5546875" style="62" customWidth="1"/>
    <col min="13286" max="13286" width="13.44140625" style="62" customWidth="1"/>
    <col min="13287" max="13287" width="11.109375" style="62" customWidth="1"/>
    <col min="13288" max="13288" width="11.33203125" style="62" bestFit="1" customWidth="1"/>
    <col min="13289" max="13289" width="11.5546875" style="62" customWidth="1"/>
    <col min="13290" max="13290" width="8.88671875" style="62"/>
    <col min="13291" max="13291" width="9.88671875" style="62" bestFit="1" customWidth="1"/>
    <col min="13292" max="13292" width="9.109375" style="62" bestFit="1" customWidth="1"/>
    <col min="13293" max="13293" width="9.5546875" style="62" bestFit="1" customWidth="1"/>
    <col min="13294" max="13534" width="9.109375" style="62" bestFit="1" customWidth="1"/>
    <col min="13535" max="13535" width="1.88671875" style="62" customWidth="1"/>
    <col min="13536" max="13536" width="7.33203125" style="62" customWidth="1"/>
    <col min="13537" max="13537" width="9.88671875" style="62" customWidth="1"/>
    <col min="13538" max="13538" width="12.6640625" style="62" customWidth="1"/>
    <col min="13539" max="13539" width="11.109375" style="62" customWidth="1"/>
    <col min="13540" max="13540" width="10.88671875" style="62" customWidth="1"/>
    <col min="13541" max="13541" width="11.5546875" style="62" customWidth="1"/>
    <col min="13542" max="13542" width="13.44140625" style="62" customWidth="1"/>
    <col min="13543" max="13543" width="11.109375" style="62" customWidth="1"/>
    <col min="13544" max="13544" width="11.33203125" style="62" bestFit="1" customWidth="1"/>
    <col min="13545" max="13545" width="11.5546875" style="62" customWidth="1"/>
    <col min="13546" max="13546" width="8.88671875" style="62"/>
    <col min="13547" max="13547" width="9.88671875" style="62" bestFit="1" customWidth="1"/>
    <col min="13548" max="13548" width="9.109375" style="62" bestFit="1" customWidth="1"/>
    <col min="13549" max="13549" width="9.5546875" style="62" bestFit="1" customWidth="1"/>
    <col min="13550" max="13790" width="9.109375" style="62" bestFit="1" customWidth="1"/>
    <col min="13791" max="13791" width="1.88671875" style="62" customWidth="1"/>
    <col min="13792" max="13792" width="7.33203125" style="62" customWidth="1"/>
    <col min="13793" max="13793" width="9.88671875" style="62" customWidth="1"/>
    <col min="13794" max="13794" width="12.6640625" style="62" customWidth="1"/>
    <col min="13795" max="13795" width="11.109375" style="62" customWidth="1"/>
    <col min="13796" max="13796" width="10.88671875" style="62" customWidth="1"/>
    <col min="13797" max="13797" width="11.5546875" style="62" customWidth="1"/>
    <col min="13798" max="13798" width="13.44140625" style="62" customWidth="1"/>
    <col min="13799" max="13799" width="11.109375" style="62" customWidth="1"/>
    <col min="13800" max="13800" width="11.33203125" style="62" bestFit="1" customWidth="1"/>
    <col min="13801" max="13801" width="11.5546875" style="62" customWidth="1"/>
    <col min="13802" max="13802" width="8.88671875" style="62"/>
    <col min="13803" max="13803" width="9.88671875" style="62" bestFit="1" customWidth="1"/>
    <col min="13804" max="13804" width="9.109375" style="62" bestFit="1" customWidth="1"/>
    <col min="13805" max="13805" width="9.5546875" style="62" bestFit="1" customWidth="1"/>
    <col min="13806" max="14046" width="9.109375" style="62" bestFit="1" customWidth="1"/>
    <col min="14047" max="14047" width="1.88671875" style="62" customWidth="1"/>
    <col min="14048" max="14048" width="7.33203125" style="62" customWidth="1"/>
    <col min="14049" max="14049" width="9.88671875" style="62" customWidth="1"/>
    <col min="14050" max="14050" width="12.6640625" style="62" customWidth="1"/>
    <col min="14051" max="14051" width="11.109375" style="62" customWidth="1"/>
    <col min="14052" max="14052" width="10.88671875" style="62" customWidth="1"/>
    <col min="14053" max="14053" width="11.5546875" style="62" customWidth="1"/>
    <col min="14054" max="14054" width="13.44140625" style="62" customWidth="1"/>
    <col min="14055" max="14055" width="11.109375" style="62" customWidth="1"/>
    <col min="14056" max="14056" width="11.33203125" style="62" bestFit="1" customWidth="1"/>
    <col min="14057" max="14057" width="11.5546875" style="62" customWidth="1"/>
    <col min="14058" max="14058" width="8.88671875" style="62"/>
    <col min="14059" max="14059" width="9.88671875" style="62" bestFit="1" customWidth="1"/>
    <col min="14060" max="14060" width="9.109375" style="62" bestFit="1" customWidth="1"/>
    <col min="14061" max="14061" width="9.5546875" style="62" bestFit="1" customWidth="1"/>
    <col min="14062" max="14302" width="9.109375" style="62" bestFit="1" customWidth="1"/>
    <col min="14303" max="14303" width="1.88671875" style="62" customWidth="1"/>
    <col min="14304" max="14304" width="7.33203125" style="62" customWidth="1"/>
    <col min="14305" max="14305" width="9.88671875" style="62" customWidth="1"/>
    <col min="14306" max="14306" width="12.6640625" style="62" customWidth="1"/>
    <col min="14307" max="14307" width="11.109375" style="62" customWidth="1"/>
    <col min="14308" max="14308" width="10.88671875" style="62" customWidth="1"/>
    <col min="14309" max="14309" width="11.5546875" style="62" customWidth="1"/>
    <col min="14310" max="14310" width="13.44140625" style="62" customWidth="1"/>
    <col min="14311" max="14311" width="11.109375" style="62" customWidth="1"/>
    <col min="14312" max="14312" width="11.33203125" style="62" bestFit="1" customWidth="1"/>
    <col min="14313" max="14313" width="11.5546875" style="62" customWidth="1"/>
    <col min="14314" max="14314" width="8.88671875" style="62"/>
    <col min="14315" max="14315" width="9.88671875" style="62" bestFit="1" customWidth="1"/>
    <col min="14316" max="14316" width="9.109375" style="62" bestFit="1" customWidth="1"/>
    <col min="14317" max="14317" width="9.5546875" style="62" bestFit="1" customWidth="1"/>
    <col min="14318" max="14558" width="9.109375" style="62" bestFit="1" customWidth="1"/>
    <col min="14559" max="14559" width="1.88671875" style="62" customWidth="1"/>
    <col min="14560" max="14560" width="7.33203125" style="62" customWidth="1"/>
    <col min="14561" max="14561" width="9.88671875" style="62" customWidth="1"/>
    <col min="14562" max="14562" width="12.6640625" style="62" customWidth="1"/>
    <col min="14563" max="14563" width="11.109375" style="62" customWidth="1"/>
    <col min="14564" max="14564" width="10.88671875" style="62" customWidth="1"/>
    <col min="14565" max="14565" width="11.5546875" style="62" customWidth="1"/>
    <col min="14566" max="14566" width="13.44140625" style="62" customWidth="1"/>
    <col min="14567" max="14567" width="11.109375" style="62" customWidth="1"/>
    <col min="14568" max="14568" width="11.33203125" style="62" bestFit="1" customWidth="1"/>
    <col min="14569" max="14569" width="11.5546875" style="62" customWidth="1"/>
    <col min="14570" max="14570" width="8.88671875" style="62"/>
    <col min="14571" max="14571" width="9.88671875" style="62" bestFit="1" customWidth="1"/>
    <col min="14572" max="14572" width="9.109375" style="62" bestFit="1" customWidth="1"/>
    <col min="14573" max="14573" width="9.5546875" style="62" bestFit="1" customWidth="1"/>
    <col min="14574" max="14814" width="9.109375" style="62" bestFit="1" customWidth="1"/>
    <col min="14815" max="14815" width="1.88671875" style="62" customWidth="1"/>
    <col min="14816" max="14816" width="7.33203125" style="62" customWidth="1"/>
    <col min="14817" max="14817" width="9.88671875" style="62" customWidth="1"/>
    <col min="14818" max="14818" width="12.6640625" style="62" customWidth="1"/>
    <col min="14819" max="14819" width="11.109375" style="62" customWidth="1"/>
    <col min="14820" max="14820" width="10.88671875" style="62" customWidth="1"/>
    <col min="14821" max="14821" width="11.5546875" style="62" customWidth="1"/>
    <col min="14822" max="14822" width="13.44140625" style="62" customWidth="1"/>
    <col min="14823" max="14823" width="11.109375" style="62" customWidth="1"/>
    <col min="14824" max="14824" width="11.33203125" style="62" bestFit="1" customWidth="1"/>
    <col min="14825" max="14825" width="11.5546875" style="62" customWidth="1"/>
    <col min="14826" max="14826" width="8.88671875" style="62"/>
    <col min="14827" max="14827" width="9.88671875" style="62" bestFit="1" customWidth="1"/>
    <col min="14828" max="14828" width="9.109375" style="62" bestFit="1" customWidth="1"/>
    <col min="14829" max="14829" width="9.5546875" style="62" bestFit="1" customWidth="1"/>
    <col min="14830" max="15070" width="9.109375" style="62" bestFit="1" customWidth="1"/>
    <col min="15071" max="15071" width="1.88671875" style="62" customWidth="1"/>
    <col min="15072" max="15072" width="7.33203125" style="62" customWidth="1"/>
    <col min="15073" max="15073" width="9.88671875" style="62" customWidth="1"/>
    <col min="15074" max="15074" width="12.6640625" style="62" customWidth="1"/>
    <col min="15075" max="15075" width="11.109375" style="62" customWidth="1"/>
    <col min="15076" max="15076" width="10.88671875" style="62" customWidth="1"/>
    <col min="15077" max="15077" width="11.5546875" style="62" customWidth="1"/>
    <col min="15078" max="15078" width="13.44140625" style="62" customWidth="1"/>
    <col min="15079" max="15079" width="11.109375" style="62" customWidth="1"/>
    <col min="15080" max="15080" width="11.33203125" style="62" bestFit="1" customWidth="1"/>
    <col min="15081" max="15081" width="11.5546875" style="62" customWidth="1"/>
    <col min="15082" max="15082" width="8.88671875" style="62"/>
    <col min="15083" max="15083" width="9.88671875" style="62" bestFit="1" customWidth="1"/>
    <col min="15084" max="15084" width="9.109375" style="62" bestFit="1" customWidth="1"/>
    <col min="15085" max="15085" width="9.5546875" style="62" bestFit="1" customWidth="1"/>
    <col min="15086" max="15326" width="9.109375" style="62" bestFit="1" customWidth="1"/>
    <col min="15327" max="15327" width="1.88671875" style="62" customWidth="1"/>
    <col min="15328" max="15328" width="7.33203125" style="62" customWidth="1"/>
    <col min="15329" max="15329" width="9.88671875" style="62" customWidth="1"/>
    <col min="15330" max="15330" width="12.6640625" style="62" customWidth="1"/>
    <col min="15331" max="15331" width="11.109375" style="62" customWidth="1"/>
    <col min="15332" max="15332" width="10.88671875" style="62" customWidth="1"/>
    <col min="15333" max="15333" width="11.5546875" style="62" customWidth="1"/>
    <col min="15334" max="15334" width="13.44140625" style="62" customWidth="1"/>
    <col min="15335" max="15335" width="11.109375" style="62" customWidth="1"/>
    <col min="15336" max="15336" width="11.33203125" style="62" bestFit="1" customWidth="1"/>
    <col min="15337" max="15337" width="11.5546875" style="62" customWidth="1"/>
    <col min="15338" max="15338" width="8.88671875" style="62"/>
    <col min="15339" max="15339" width="9.88671875" style="62" bestFit="1" customWidth="1"/>
    <col min="15340" max="15340" width="9.109375" style="62" bestFit="1" customWidth="1"/>
    <col min="15341" max="15341" width="9.5546875" style="62" bestFit="1" customWidth="1"/>
    <col min="15342" max="15582" width="9.109375" style="62" bestFit="1" customWidth="1"/>
    <col min="15583" max="15583" width="1.88671875" style="62" customWidth="1"/>
    <col min="15584" max="15584" width="7.33203125" style="62" customWidth="1"/>
    <col min="15585" max="15585" width="9.88671875" style="62" customWidth="1"/>
    <col min="15586" max="15586" width="12.6640625" style="62" customWidth="1"/>
    <col min="15587" max="15587" width="11.109375" style="62" customWidth="1"/>
    <col min="15588" max="15588" width="10.88671875" style="62" customWidth="1"/>
    <col min="15589" max="15589" width="11.5546875" style="62" customWidth="1"/>
    <col min="15590" max="15590" width="13.44140625" style="62" customWidth="1"/>
    <col min="15591" max="15591" width="11.109375" style="62" customWidth="1"/>
    <col min="15592" max="15592" width="11.33203125" style="62" bestFit="1" customWidth="1"/>
    <col min="15593" max="15593" width="11.5546875" style="62" customWidth="1"/>
    <col min="15594" max="15594" width="8.88671875" style="62"/>
    <col min="15595" max="15595" width="9.88671875" style="62" bestFit="1" customWidth="1"/>
    <col min="15596" max="15596" width="9.109375" style="62" bestFit="1" customWidth="1"/>
    <col min="15597" max="15597" width="9.5546875" style="62" bestFit="1" customWidth="1"/>
    <col min="15598" max="15838" width="9.109375" style="62" bestFit="1" customWidth="1"/>
    <col min="15839" max="15839" width="1.88671875" style="62" customWidth="1"/>
    <col min="15840" max="15840" width="7.33203125" style="62" customWidth="1"/>
    <col min="15841" max="15841" width="9.88671875" style="62" customWidth="1"/>
    <col min="15842" max="15842" width="12.6640625" style="62" customWidth="1"/>
    <col min="15843" max="15843" width="11.109375" style="62" customWidth="1"/>
    <col min="15844" max="15844" width="10.88671875" style="62" customWidth="1"/>
    <col min="15845" max="15845" width="11.5546875" style="62" customWidth="1"/>
    <col min="15846" max="15846" width="13.44140625" style="62" customWidth="1"/>
    <col min="15847" max="15847" width="11.109375" style="62" customWidth="1"/>
    <col min="15848" max="15848" width="11.33203125" style="62" bestFit="1" customWidth="1"/>
    <col min="15849" max="15849" width="11.5546875" style="62" customWidth="1"/>
    <col min="15850" max="15850" width="8.88671875" style="62"/>
    <col min="15851" max="15851" width="9.88671875" style="62" bestFit="1" customWidth="1"/>
    <col min="15852" max="15852" width="9.109375" style="62" bestFit="1" customWidth="1"/>
    <col min="15853" max="15853" width="9.5546875" style="62" bestFit="1" customWidth="1"/>
    <col min="15854" max="16094" width="9.109375" style="62" bestFit="1" customWidth="1"/>
    <col min="16095" max="16095" width="1.88671875" style="62" customWidth="1"/>
    <col min="16096" max="16096" width="7.33203125" style="62" customWidth="1"/>
    <col min="16097" max="16097" width="9.88671875" style="62" customWidth="1"/>
    <col min="16098" max="16098" width="12.6640625" style="62" customWidth="1"/>
    <col min="16099" max="16099" width="11.109375" style="62" customWidth="1"/>
    <col min="16100" max="16100" width="10.88671875" style="62" customWidth="1"/>
    <col min="16101" max="16101" width="11.5546875" style="62" customWidth="1"/>
    <col min="16102" max="16102" width="13.44140625" style="62" customWidth="1"/>
    <col min="16103" max="16103" width="11.109375" style="62" customWidth="1"/>
    <col min="16104" max="16104" width="11.33203125" style="62" bestFit="1" customWidth="1"/>
    <col min="16105" max="16105" width="11.5546875" style="62" customWidth="1"/>
    <col min="16106" max="16106" width="8.88671875" style="62"/>
    <col min="16107" max="16107" width="9.88671875" style="62" bestFit="1" customWidth="1"/>
    <col min="16108" max="16108" width="9.109375" style="62" bestFit="1" customWidth="1"/>
    <col min="16109" max="16109" width="9.5546875" style="62" bestFit="1" customWidth="1"/>
    <col min="16110" max="16384" width="8.88671875" style="62"/>
  </cols>
  <sheetData>
    <row r="1" spans="1:7" ht="17.399999999999999" customHeight="1" x14ac:dyDescent="0.3">
      <c r="A1" s="321" t="s">
        <v>433</v>
      </c>
      <c r="B1" s="322"/>
      <c r="C1" s="322"/>
      <c r="D1" s="323"/>
    </row>
    <row r="2" spans="1:7" ht="13.8" customHeight="1" x14ac:dyDescent="0.3">
      <c r="A2" s="324" t="s">
        <v>434</v>
      </c>
      <c r="B2" s="325"/>
      <c r="C2" s="325"/>
      <c r="D2" s="326"/>
    </row>
    <row r="3" spans="1:7" ht="13.8" customHeight="1" thickBot="1" x14ac:dyDescent="0.35">
      <c r="A3" s="327" t="s">
        <v>41</v>
      </c>
      <c r="B3" s="328"/>
      <c r="C3" s="328"/>
      <c r="D3" s="329"/>
    </row>
    <row r="5" spans="1:7" x14ac:dyDescent="0.3">
      <c r="A5" s="339" t="s">
        <v>585</v>
      </c>
      <c r="B5" s="339"/>
      <c r="C5" s="339"/>
      <c r="D5" s="339"/>
      <c r="G5" s="77"/>
    </row>
    <row r="6" spans="1:7" ht="13.8" thickBot="1" x14ac:dyDescent="0.35">
      <c r="A6" s="385"/>
      <c r="B6" s="385"/>
      <c r="C6" s="385"/>
      <c r="D6" s="385"/>
    </row>
    <row r="7" spans="1:7" ht="13.8" thickBot="1" x14ac:dyDescent="0.35">
      <c r="A7" s="331" t="s">
        <v>138</v>
      </c>
      <c r="B7" s="332"/>
      <c r="C7" s="332"/>
      <c r="D7" s="333"/>
    </row>
    <row r="8" spans="1:7" x14ac:dyDescent="0.3">
      <c r="A8" s="63" t="s">
        <v>139</v>
      </c>
      <c r="B8" s="64" t="s">
        <v>140</v>
      </c>
      <c r="C8" s="65"/>
      <c r="D8" s="66"/>
    </row>
    <row r="9" spans="1:7" x14ac:dyDescent="0.3">
      <c r="A9" s="67" t="s">
        <v>141</v>
      </c>
      <c r="B9" s="68" t="s">
        <v>142</v>
      </c>
      <c r="C9" s="69"/>
      <c r="D9" s="70"/>
    </row>
    <row r="10" spans="1:7" x14ac:dyDescent="0.3">
      <c r="A10" s="67" t="s">
        <v>143</v>
      </c>
      <c r="B10" s="68" t="s">
        <v>144</v>
      </c>
      <c r="C10" s="69"/>
      <c r="D10" s="70"/>
    </row>
    <row r="11" spans="1:7" ht="13.8" thickBot="1" x14ac:dyDescent="0.35">
      <c r="A11" s="71" t="s">
        <v>145</v>
      </c>
      <c r="B11" s="72" t="s">
        <v>146</v>
      </c>
      <c r="C11" s="73"/>
      <c r="D11" s="74"/>
    </row>
    <row r="12" spans="1:7" ht="13.8" thickBot="1" x14ac:dyDescent="0.35">
      <c r="A12" s="75"/>
      <c r="B12" s="76"/>
      <c r="D12" s="78"/>
    </row>
    <row r="13" spans="1:7" ht="13.8" thickBot="1" x14ac:dyDescent="0.35">
      <c r="A13" s="331" t="s">
        <v>147</v>
      </c>
      <c r="B13" s="332"/>
      <c r="C13" s="332"/>
      <c r="D13" s="333"/>
    </row>
    <row r="14" spans="1:7" x14ac:dyDescent="0.3">
      <c r="A14" s="63" t="s">
        <v>148</v>
      </c>
      <c r="B14" s="64" t="s">
        <v>149</v>
      </c>
      <c r="C14" s="79"/>
      <c r="D14" s="180">
        <f>'ENCARREGADO '!D14</f>
        <v>44396</v>
      </c>
    </row>
    <row r="15" spans="1:7" x14ac:dyDescent="0.3">
      <c r="A15" s="67" t="s">
        <v>150</v>
      </c>
      <c r="B15" s="68" t="s">
        <v>151</v>
      </c>
      <c r="C15" s="80"/>
      <c r="D15" s="81" t="str">
        <f>'ENCARREGADO '!D15</f>
        <v>Mossoró/RN</v>
      </c>
    </row>
    <row r="16" spans="1:7" x14ac:dyDescent="0.3">
      <c r="A16" s="67" t="s">
        <v>152</v>
      </c>
      <c r="B16" s="68" t="s">
        <v>153</v>
      </c>
      <c r="C16" s="80"/>
      <c r="D16" s="81" t="s">
        <v>154</v>
      </c>
    </row>
    <row r="17" spans="1:5" x14ac:dyDescent="0.3">
      <c r="A17" s="67" t="s">
        <v>155</v>
      </c>
      <c r="B17" s="68" t="s">
        <v>156</v>
      </c>
      <c r="C17" s="334" t="s">
        <v>157</v>
      </c>
      <c r="D17" s="335"/>
    </row>
    <row r="18" spans="1:5" x14ac:dyDescent="0.3">
      <c r="A18" s="67" t="s">
        <v>158</v>
      </c>
      <c r="B18" s="68" t="s">
        <v>159</v>
      </c>
      <c r="C18" s="82"/>
      <c r="D18" s="83" t="s">
        <v>160</v>
      </c>
    </row>
    <row r="19" spans="1:5" ht="13.8" thickBot="1" x14ac:dyDescent="0.35">
      <c r="A19" s="71" t="s">
        <v>161</v>
      </c>
      <c r="B19" s="84" t="s">
        <v>162</v>
      </c>
      <c r="C19" s="85"/>
      <c r="D19" s="86">
        <v>1045</v>
      </c>
    </row>
    <row r="20" spans="1:5" ht="13.8" thickBot="1" x14ac:dyDescent="0.35">
      <c r="D20" s="78"/>
    </row>
    <row r="21" spans="1:5" ht="13.8" thickBot="1" x14ac:dyDescent="0.35">
      <c r="A21" s="336" t="s">
        <v>163</v>
      </c>
      <c r="B21" s="337"/>
      <c r="C21" s="337"/>
      <c r="D21" s="338"/>
      <c r="E21" s="87"/>
    </row>
    <row r="22" spans="1:5" ht="26.4" customHeight="1" x14ac:dyDescent="0.3">
      <c r="A22" s="67" t="s">
        <v>164</v>
      </c>
      <c r="B22" s="320" t="s">
        <v>165</v>
      </c>
      <c r="C22" s="320"/>
      <c r="D22" s="61" t="s">
        <v>277</v>
      </c>
    </row>
    <row r="23" spans="1:5" ht="13.8" x14ac:dyDescent="0.3">
      <c r="A23" s="67" t="s">
        <v>167</v>
      </c>
      <c r="B23" s="320" t="s">
        <v>168</v>
      </c>
      <c r="C23" s="320"/>
      <c r="D23" s="88" t="s">
        <v>134</v>
      </c>
      <c r="E23" s="89"/>
    </row>
    <row r="24" spans="1:5" x14ac:dyDescent="0.25">
      <c r="A24" s="67" t="s">
        <v>169</v>
      </c>
      <c r="B24" s="320" t="s">
        <v>170</v>
      </c>
      <c r="C24" s="320"/>
      <c r="D24" s="171">
        <v>1093.82</v>
      </c>
      <c r="E24" s="192"/>
    </row>
    <row r="25" spans="1:5" x14ac:dyDescent="0.3">
      <c r="A25" s="67" t="s">
        <v>171</v>
      </c>
      <c r="B25" s="320" t="s">
        <v>172</v>
      </c>
      <c r="C25" s="320"/>
      <c r="D25" s="177" t="str">
        <f>'ENCARREGADO '!D25</f>
        <v>14021.139845/2021-93</v>
      </c>
    </row>
    <row r="26" spans="1:5" x14ac:dyDescent="0.3">
      <c r="A26" s="67" t="s">
        <v>173</v>
      </c>
      <c r="B26" s="320" t="s">
        <v>174</v>
      </c>
      <c r="C26" s="320"/>
      <c r="D26" s="178">
        <f>'ENCARREGADO '!D26</f>
        <v>44293</v>
      </c>
    </row>
    <row r="27" spans="1:5" x14ac:dyDescent="0.3">
      <c r="A27" s="67" t="s">
        <v>175</v>
      </c>
      <c r="B27" s="320" t="s">
        <v>176</v>
      </c>
      <c r="C27" s="320"/>
      <c r="D27" s="179">
        <f>'ENCARREGADO '!D27</f>
        <v>44146</v>
      </c>
    </row>
    <row r="28" spans="1:5" x14ac:dyDescent="0.3">
      <c r="A28" s="67" t="s">
        <v>177</v>
      </c>
      <c r="B28" s="320" t="s">
        <v>178</v>
      </c>
      <c r="C28" s="342"/>
      <c r="D28" s="91" t="s">
        <v>179</v>
      </c>
    </row>
    <row r="29" spans="1:5" x14ac:dyDescent="0.3">
      <c r="A29" s="67" t="s">
        <v>180</v>
      </c>
      <c r="B29" s="320" t="s">
        <v>181</v>
      </c>
      <c r="C29" s="342"/>
      <c r="D29" s="92">
        <v>2</v>
      </c>
    </row>
    <row r="30" spans="1:5" x14ac:dyDescent="0.3">
      <c r="A30" s="67" t="s">
        <v>182</v>
      </c>
      <c r="B30" s="320" t="s">
        <v>183</v>
      </c>
      <c r="C30" s="320"/>
      <c r="D30" s="92">
        <v>1</v>
      </c>
    </row>
    <row r="31" spans="1:5" ht="13.8" thickBot="1" x14ac:dyDescent="0.35">
      <c r="A31" s="71" t="s">
        <v>184</v>
      </c>
      <c r="B31" s="343" t="s">
        <v>296</v>
      </c>
      <c r="C31" s="343"/>
      <c r="D31" s="93">
        <f>D29*D30</f>
        <v>2</v>
      </c>
    </row>
    <row r="32" spans="1:5" ht="13.8" thickBot="1" x14ac:dyDescent="0.35">
      <c r="A32" s="94"/>
      <c r="B32" s="95"/>
      <c r="C32" s="95"/>
      <c r="D32" s="96"/>
    </row>
    <row r="33" spans="1:5" x14ac:dyDescent="0.3">
      <c r="A33" s="344" t="s">
        <v>8</v>
      </c>
      <c r="B33" s="345"/>
      <c r="C33" s="345"/>
      <c r="D33" s="346"/>
    </row>
    <row r="34" spans="1:5" x14ac:dyDescent="0.3">
      <c r="A34" s="347" t="s">
        <v>185</v>
      </c>
      <c r="B34" s="348"/>
      <c r="C34" s="349"/>
      <c r="D34" s="97" t="s">
        <v>186</v>
      </c>
    </row>
    <row r="35" spans="1:5" x14ac:dyDescent="0.3">
      <c r="A35" s="98" t="s">
        <v>187</v>
      </c>
      <c r="B35" s="350" t="s">
        <v>188</v>
      </c>
      <c r="C35" s="350"/>
      <c r="D35" s="176">
        <f>D24</f>
        <v>1093.82</v>
      </c>
      <c r="E35" s="99"/>
    </row>
    <row r="36" spans="1:5" x14ac:dyDescent="0.3">
      <c r="A36" s="98" t="s">
        <v>189</v>
      </c>
      <c r="B36" s="100" t="s">
        <v>190</v>
      </c>
      <c r="C36" s="101">
        <f>IF(D35="","",((D19)*(40%)))</f>
        <v>418</v>
      </c>
      <c r="D36" s="102">
        <f>IF(D35=0,"",IF(C36&gt;C37,C36,0))</f>
        <v>418</v>
      </c>
      <c r="E36" s="99"/>
    </row>
    <row r="37" spans="1:5" x14ac:dyDescent="0.3">
      <c r="A37" s="98" t="s">
        <v>191</v>
      </c>
      <c r="B37" s="103" t="s">
        <v>192</v>
      </c>
      <c r="C37" s="101">
        <f>D35*0.2</f>
        <v>218.76400000000001</v>
      </c>
      <c r="D37" s="102">
        <f>IF(C37&gt;C36,C37,0)</f>
        <v>0</v>
      </c>
      <c r="E37" s="99"/>
    </row>
    <row r="38" spans="1:5" ht="13.8" thickBot="1" x14ac:dyDescent="0.35">
      <c r="A38" s="351" t="s">
        <v>9</v>
      </c>
      <c r="B38" s="352"/>
      <c r="C38" s="352"/>
      <c r="D38" s="104">
        <f>SUM(D35:D37)</f>
        <v>1511.82</v>
      </c>
      <c r="E38" s="105"/>
    </row>
    <row r="39" spans="1:5" ht="13.8" thickBot="1" x14ac:dyDescent="0.35">
      <c r="A39" s="106"/>
      <c r="B39" s="106"/>
      <c r="C39" s="106"/>
      <c r="D39" s="106"/>
    </row>
    <row r="40" spans="1:5" x14ac:dyDescent="0.3">
      <c r="A40" s="344" t="s">
        <v>193</v>
      </c>
      <c r="B40" s="345"/>
      <c r="C40" s="345"/>
      <c r="D40" s="346"/>
    </row>
    <row r="41" spans="1:5" x14ac:dyDescent="0.3">
      <c r="A41" s="340" t="s">
        <v>194</v>
      </c>
      <c r="B41" s="341"/>
      <c r="C41" s="107" t="s">
        <v>195</v>
      </c>
      <c r="D41" s="108" t="s">
        <v>7</v>
      </c>
    </row>
    <row r="42" spans="1:5" x14ac:dyDescent="0.3">
      <c r="A42" s="67" t="s">
        <v>187</v>
      </c>
      <c r="B42" s="109" t="s">
        <v>263</v>
      </c>
      <c r="C42" s="110">
        <v>8.3299999999999999E-2</v>
      </c>
      <c r="D42" s="111">
        <f>(D38)*($C$42)</f>
        <v>125.93460599999999</v>
      </c>
    </row>
    <row r="43" spans="1:5" x14ac:dyDescent="0.3">
      <c r="A43" s="67" t="s">
        <v>189</v>
      </c>
      <c r="B43" s="109" t="s">
        <v>196</v>
      </c>
      <c r="C43" s="110">
        <f>12.1%-C86</f>
        <v>0.11899999999999999</v>
      </c>
      <c r="D43" s="111">
        <f>(D38)*($C$43)</f>
        <v>179.90657999999999</v>
      </c>
      <c r="E43" s="105"/>
    </row>
    <row r="44" spans="1:5" x14ac:dyDescent="0.3">
      <c r="A44" s="353" t="s">
        <v>197</v>
      </c>
      <c r="B44" s="354"/>
      <c r="C44" s="112">
        <f>SUM(C42:C43)</f>
        <v>0.20229999999999998</v>
      </c>
      <c r="D44" s="113">
        <f>SUM(D42:D43)</f>
        <v>305.84118599999999</v>
      </c>
    </row>
    <row r="45" spans="1:5" x14ac:dyDescent="0.3">
      <c r="A45" s="340" t="s">
        <v>198</v>
      </c>
      <c r="B45" s="341"/>
      <c r="C45" s="107" t="s">
        <v>195</v>
      </c>
      <c r="D45" s="114" t="s">
        <v>7</v>
      </c>
    </row>
    <row r="46" spans="1:5" x14ac:dyDescent="0.3">
      <c r="A46" s="67" t="s">
        <v>187</v>
      </c>
      <c r="B46" s="115" t="s">
        <v>264</v>
      </c>
      <c r="C46" s="267">
        <v>0.2</v>
      </c>
      <c r="D46" s="111">
        <f t="shared" ref="D46:D53" si="0">($D$38+$D$44)*(C46)</f>
        <v>363.5322372</v>
      </c>
    </row>
    <row r="47" spans="1:5" x14ac:dyDescent="0.3">
      <c r="A47" s="67" t="s">
        <v>189</v>
      </c>
      <c r="B47" s="115" t="s">
        <v>265</v>
      </c>
      <c r="C47" s="266">
        <v>2.5000000000000001E-2</v>
      </c>
      <c r="D47" s="111">
        <f t="shared" si="0"/>
        <v>45.44152965</v>
      </c>
    </row>
    <row r="48" spans="1:5" x14ac:dyDescent="0.3">
      <c r="A48" s="67" t="s">
        <v>199</v>
      </c>
      <c r="B48" s="115" t="s">
        <v>266</v>
      </c>
      <c r="C48" s="167">
        <v>0.06</v>
      </c>
      <c r="D48" s="111">
        <f t="shared" si="0"/>
        <v>109.05967115999998</v>
      </c>
      <c r="E48" s="116"/>
    </row>
    <row r="49" spans="1:5" x14ac:dyDescent="0.3">
      <c r="A49" s="67" t="s">
        <v>200</v>
      </c>
      <c r="B49" s="115" t="s">
        <v>267</v>
      </c>
      <c r="C49" s="266">
        <v>1.4999999999999999E-2</v>
      </c>
      <c r="D49" s="111">
        <f t="shared" si="0"/>
        <v>27.264917789999995</v>
      </c>
    </row>
    <row r="50" spans="1:5" x14ac:dyDescent="0.3">
      <c r="A50" s="67" t="s">
        <v>201</v>
      </c>
      <c r="B50" s="115" t="s">
        <v>268</v>
      </c>
      <c r="C50" s="266">
        <v>0.01</v>
      </c>
      <c r="D50" s="111">
        <f t="shared" si="0"/>
        <v>18.176611859999998</v>
      </c>
    </row>
    <row r="51" spans="1:5" x14ac:dyDescent="0.3">
      <c r="A51" s="67" t="s">
        <v>202</v>
      </c>
      <c r="B51" s="117" t="s">
        <v>269</v>
      </c>
      <c r="C51" s="266">
        <v>6.0000000000000001E-3</v>
      </c>
      <c r="D51" s="111">
        <f t="shared" si="0"/>
        <v>10.905967115999999</v>
      </c>
    </row>
    <row r="52" spans="1:5" x14ac:dyDescent="0.3">
      <c r="A52" s="67" t="s">
        <v>203</v>
      </c>
      <c r="B52" s="115" t="s">
        <v>270</v>
      </c>
      <c r="C52" s="266">
        <v>2E-3</v>
      </c>
      <c r="D52" s="111">
        <f t="shared" si="0"/>
        <v>3.6353223719999996</v>
      </c>
    </row>
    <row r="53" spans="1:5" x14ac:dyDescent="0.3">
      <c r="A53" s="67" t="s">
        <v>204</v>
      </c>
      <c r="B53" s="115" t="s">
        <v>271</v>
      </c>
      <c r="C53" s="266">
        <v>0.08</v>
      </c>
      <c r="D53" s="111">
        <f t="shared" si="0"/>
        <v>145.41289487999998</v>
      </c>
      <c r="E53" s="105"/>
    </row>
    <row r="54" spans="1:5" x14ac:dyDescent="0.3">
      <c r="A54" s="353" t="s">
        <v>205</v>
      </c>
      <c r="B54" s="354"/>
      <c r="C54" s="118">
        <f>SUM(C46:C53)</f>
        <v>0.39800000000000008</v>
      </c>
      <c r="D54" s="119">
        <f>SUM(D46:D53)</f>
        <v>723.42915202799998</v>
      </c>
    </row>
    <row r="55" spans="1:5" x14ac:dyDescent="0.3">
      <c r="A55" s="340" t="s">
        <v>11</v>
      </c>
      <c r="B55" s="341"/>
      <c r="C55" s="120" t="s">
        <v>206</v>
      </c>
      <c r="D55" s="97" t="s">
        <v>7</v>
      </c>
    </row>
    <row r="56" spans="1:5" x14ac:dyDescent="0.25">
      <c r="A56" s="67" t="s">
        <v>187</v>
      </c>
      <c r="B56" s="121" t="s">
        <v>207</v>
      </c>
      <c r="C56" s="173">
        <f>'ENCARREGADO '!C56</f>
        <v>6.6</v>
      </c>
      <c r="D56" s="122">
        <f>IF((C56*22)-(D35*6%)&lt;0,0,(C56*22)-(D35*6%))</f>
        <v>79.570799999999991</v>
      </c>
      <c r="E56" s="1" t="str">
        <f>'ENCARREGADO '!E56</f>
        <v>Valor da passagem Local</v>
      </c>
    </row>
    <row r="57" spans="1:5" x14ac:dyDescent="0.25">
      <c r="A57" s="67" t="s">
        <v>189</v>
      </c>
      <c r="B57" s="121" t="s">
        <v>208</v>
      </c>
      <c r="C57" s="173">
        <f>'ENCARREGADO '!C57</f>
        <v>8.35</v>
      </c>
      <c r="D57" s="123">
        <f>(C57)*22</f>
        <v>183.7</v>
      </c>
      <c r="E57" s="1" t="str">
        <f>'ENCARREGADO '!E57</f>
        <v>CLÁUSULA DÉCIMA SEXTA - CESTA BÁSICA. CCT: RN000104/2021</v>
      </c>
    </row>
    <row r="58" spans="1:5" x14ac:dyDescent="0.25">
      <c r="A58" s="67" t="s">
        <v>307</v>
      </c>
      <c r="B58" s="121" t="s">
        <v>308</v>
      </c>
      <c r="C58" s="173">
        <f>'ENCARREGADO '!C58</f>
        <v>0</v>
      </c>
      <c r="D58" s="123">
        <f>(C58)*22</f>
        <v>0</v>
      </c>
      <c r="E58" s="1">
        <f>'ENCARREGADO '!E58</f>
        <v>0</v>
      </c>
    </row>
    <row r="59" spans="1:5" x14ac:dyDescent="0.25">
      <c r="A59" s="67" t="s">
        <v>199</v>
      </c>
      <c r="B59" s="121" t="s">
        <v>209</v>
      </c>
      <c r="C59" s="173">
        <f>'ENCARREGADO '!C59</f>
        <v>0</v>
      </c>
      <c r="D59" s="123">
        <f>($C$59)</f>
        <v>0</v>
      </c>
      <c r="E59" s="1"/>
    </row>
    <row r="60" spans="1:5" x14ac:dyDescent="0.3">
      <c r="A60" s="67" t="s">
        <v>200</v>
      </c>
      <c r="B60" s="121" t="s">
        <v>210</v>
      </c>
      <c r="C60" s="175">
        <v>0</v>
      </c>
      <c r="D60" s="123">
        <f>($C$60)</f>
        <v>0</v>
      </c>
      <c r="E60" s="124"/>
    </row>
    <row r="61" spans="1:5" x14ac:dyDescent="0.3">
      <c r="A61" s="67" t="s">
        <v>201</v>
      </c>
      <c r="B61" s="121" t="s">
        <v>211</v>
      </c>
      <c r="C61" s="175">
        <v>0</v>
      </c>
      <c r="D61" s="123">
        <f>$C$61</f>
        <v>0</v>
      </c>
      <c r="E61" s="125"/>
    </row>
    <row r="62" spans="1:5" x14ac:dyDescent="0.3">
      <c r="A62" s="67" t="s">
        <v>212</v>
      </c>
      <c r="B62" s="121" t="s">
        <v>213</v>
      </c>
      <c r="C62" s="175">
        <v>0</v>
      </c>
      <c r="D62" s="123">
        <f>$C$62</f>
        <v>0</v>
      </c>
      <c r="E62" s="124"/>
    </row>
    <row r="63" spans="1:5" x14ac:dyDescent="0.3">
      <c r="A63" s="355" t="s">
        <v>214</v>
      </c>
      <c r="B63" s="356"/>
      <c r="C63" s="126"/>
      <c r="D63" s="127">
        <f>SUM(D56:D62)</f>
        <v>263.27080000000001</v>
      </c>
    </row>
    <row r="64" spans="1:5" hidden="1" x14ac:dyDescent="0.3">
      <c r="A64" s="347" t="s">
        <v>215</v>
      </c>
      <c r="B64" s="349"/>
      <c r="C64" s="107" t="s">
        <v>216</v>
      </c>
      <c r="D64" s="97" t="s">
        <v>7</v>
      </c>
    </row>
    <row r="65" spans="1:4" hidden="1" x14ac:dyDescent="0.3">
      <c r="A65" s="67" t="s">
        <v>187</v>
      </c>
      <c r="B65" s="109" t="s">
        <v>217</v>
      </c>
      <c r="C65" s="128">
        <v>0</v>
      </c>
      <c r="D65" s="129">
        <f>(D38/220)*150%*0.5*C65</f>
        <v>0</v>
      </c>
    </row>
    <row r="66" spans="1:4" ht="13.8" hidden="1" thickBot="1" x14ac:dyDescent="0.35">
      <c r="A66" s="357" t="s">
        <v>218</v>
      </c>
      <c r="B66" s="358"/>
      <c r="C66" s="130"/>
      <c r="D66" s="131">
        <f>D65</f>
        <v>0</v>
      </c>
    </row>
    <row r="67" spans="1:4" x14ac:dyDescent="0.3">
      <c r="A67" s="359" t="s">
        <v>219</v>
      </c>
      <c r="B67" s="360"/>
      <c r="C67" s="341"/>
      <c r="D67" s="361"/>
    </row>
    <row r="68" spans="1:4" ht="39.6" x14ac:dyDescent="0.3">
      <c r="A68" s="132" t="s">
        <v>220</v>
      </c>
      <c r="B68" s="362" t="s">
        <v>221</v>
      </c>
      <c r="C68" s="362"/>
      <c r="D68" s="133">
        <f>(D44)</f>
        <v>305.84118599999999</v>
      </c>
    </row>
    <row r="69" spans="1:4" ht="39.6" x14ac:dyDescent="0.3">
      <c r="A69" s="132" t="s">
        <v>222</v>
      </c>
      <c r="B69" s="362" t="s">
        <v>223</v>
      </c>
      <c r="C69" s="362"/>
      <c r="D69" s="133">
        <f>(D54)</f>
        <v>723.42915202799998</v>
      </c>
    </row>
    <row r="70" spans="1:4" ht="39.6" x14ac:dyDescent="0.3">
      <c r="A70" s="132" t="s">
        <v>224</v>
      </c>
      <c r="B70" s="362" t="s">
        <v>14</v>
      </c>
      <c r="C70" s="362"/>
      <c r="D70" s="133">
        <f>(D63)</f>
        <v>263.27080000000001</v>
      </c>
    </row>
    <row r="71" spans="1:4" ht="26.4" x14ac:dyDescent="0.3">
      <c r="A71" s="132" t="s">
        <v>54</v>
      </c>
      <c r="B71" s="362" t="s">
        <v>225</v>
      </c>
      <c r="C71" s="363"/>
      <c r="D71" s="133">
        <f>D66</f>
        <v>0</v>
      </c>
    </row>
    <row r="72" spans="1:4" ht="13.8" thickBot="1" x14ac:dyDescent="0.35">
      <c r="A72" s="357" t="s">
        <v>15</v>
      </c>
      <c r="B72" s="364"/>
      <c r="C72" s="364"/>
      <c r="D72" s="134">
        <f>SUM(D68:D71)</f>
        <v>1292.541138028</v>
      </c>
    </row>
    <row r="73" spans="1:4" ht="13.8" thickBot="1" x14ac:dyDescent="0.35">
      <c r="A73" s="135"/>
      <c r="B73" s="135"/>
      <c r="C73" s="135"/>
      <c r="D73" s="135"/>
    </row>
    <row r="74" spans="1:4" x14ac:dyDescent="0.3">
      <c r="A74" s="344" t="s">
        <v>226</v>
      </c>
      <c r="B74" s="345"/>
      <c r="C74" s="345"/>
      <c r="D74" s="346"/>
    </row>
    <row r="75" spans="1:4" x14ac:dyDescent="0.3">
      <c r="A75" s="340" t="s">
        <v>227</v>
      </c>
      <c r="B75" s="341"/>
      <c r="C75" s="107" t="s">
        <v>195</v>
      </c>
      <c r="D75" s="97" t="s">
        <v>7</v>
      </c>
    </row>
    <row r="76" spans="1:4" x14ac:dyDescent="0.3">
      <c r="A76" s="67" t="s">
        <v>187</v>
      </c>
      <c r="B76" s="109" t="s">
        <v>228</v>
      </c>
      <c r="C76" s="136">
        <v>4.1999999999999997E-3</v>
      </c>
      <c r="D76" s="137">
        <f t="shared" ref="D76:D81" si="1">($D$38)*(C76)</f>
        <v>6.3496439999999996</v>
      </c>
    </row>
    <row r="77" spans="1:4" x14ac:dyDescent="0.3">
      <c r="A77" s="67" t="s">
        <v>189</v>
      </c>
      <c r="B77" s="109" t="s">
        <v>16</v>
      </c>
      <c r="C77" s="136">
        <f>($C$53)*(C76)</f>
        <v>3.3599999999999998E-4</v>
      </c>
      <c r="D77" s="137">
        <f t="shared" si="1"/>
        <v>0.5079715199999999</v>
      </c>
    </row>
    <row r="78" spans="1:4" x14ac:dyDescent="0.3">
      <c r="A78" s="67" t="s">
        <v>199</v>
      </c>
      <c r="B78" s="109" t="s">
        <v>229</v>
      </c>
      <c r="C78" s="136">
        <v>3.9199999999999999E-2</v>
      </c>
      <c r="D78" s="137">
        <f t="shared" si="1"/>
        <v>59.263343999999996</v>
      </c>
    </row>
    <row r="79" spans="1:4" x14ac:dyDescent="0.3">
      <c r="A79" s="67" t="s">
        <v>200</v>
      </c>
      <c r="B79" s="109" t="s">
        <v>272</v>
      </c>
      <c r="C79" s="136">
        <v>1.9400000000000001E-2</v>
      </c>
      <c r="D79" s="137">
        <f t="shared" si="1"/>
        <v>29.329308000000001</v>
      </c>
    </row>
    <row r="80" spans="1:4" x14ac:dyDescent="0.3">
      <c r="A80" s="67" t="s">
        <v>201</v>
      </c>
      <c r="B80" s="109" t="s">
        <v>230</v>
      </c>
      <c r="C80" s="136">
        <f>($C$54)*(C79)</f>
        <v>7.7212000000000018E-3</v>
      </c>
      <c r="D80" s="137">
        <f t="shared" si="1"/>
        <v>11.673064584000002</v>
      </c>
    </row>
    <row r="81" spans="1:5" x14ac:dyDescent="0.3">
      <c r="A81" s="67" t="s">
        <v>202</v>
      </c>
      <c r="B81" s="109" t="s">
        <v>231</v>
      </c>
      <c r="C81" s="136">
        <v>8.0000000000000004E-4</v>
      </c>
      <c r="D81" s="137">
        <f t="shared" si="1"/>
        <v>1.2094560000000001</v>
      </c>
    </row>
    <row r="82" spans="1:5" ht="13.8" thickBot="1" x14ac:dyDescent="0.35">
      <c r="A82" s="357" t="s">
        <v>17</v>
      </c>
      <c r="B82" s="364"/>
      <c r="C82" s="138">
        <f>SUM(C76:C81)</f>
        <v>7.165719999999999E-2</v>
      </c>
      <c r="D82" s="134">
        <f>SUM(D76:D81)</f>
        <v>108.332788104</v>
      </c>
    </row>
    <row r="83" spans="1:5" ht="13.8" thickBot="1" x14ac:dyDescent="0.35">
      <c r="A83" s="135"/>
      <c r="B83" s="116"/>
      <c r="C83" s="116"/>
      <c r="D83" s="116"/>
    </row>
    <row r="84" spans="1:5" x14ac:dyDescent="0.3">
      <c r="A84" s="344" t="s">
        <v>232</v>
      </c>
      <c r="B84" s="345"/>
      <c r="C84" s="345"/>
      <c r="D84" s="346"/>
    </row>
    <row r="85" spans="1:5" x14ac:dyDescent="0.3">
      <c r="A85" s="347" t="s">
        <v>18</v>
      </c>
      <c r="B85" s="348"/>
      <c r="C85" s="107" t="s">
        <v>195</v>
      </c>
      <c r="D85" s="97" t="s">
        <v>7</v>
      </c>
    </row>
    <row r="86" spans="1:5" x14ac:dyDescent="0.3">
      <c r="A86" s="67" t="s">
        <v>187</v>
      </c>
      <c r="B86" s="109" t="s">
        <v>233</v>
      </c>
      <c r="C86" s="172">
        <f>'ENCARREGADO '!C86</f>
        <v>2E-3</v>
      </c>
      <c r="D86" s="137">
        <f>($D$38+$D$44+$D$54+$D$63+$D$82)*(C86)</f>
        <v>5.8253878522639999</v>
      </c>
      <c r="E86" s="139"/>
    </row>
    <row r="87" spans="1:5" x14ac:dyDescent="0.3">
      <c r="A87" s="67" t="s">
        <v>189</v>
      </c>
      <c r="B87" s="109" t="s">
        <v>234</v>
      </c>
      <c r="C87" s="172">
        <f>'ENCARREGADO '!C87</f>
        <v>2.7000000000000001E-3</v>
      </c>
      <c r="D87" s="137">
        <f>($D$38+$D$44+$D$54+$D$63+$D$82)*(C87)</f>
        <v>7.8642736005564</v>
      </c>
    </row>
    <row r="88" spans="1:5" x14ac:dyDescent="0.3">
      <c r="A88" s="67" t="s">
        <v>199</v>
      </c>
      <c r="B88" s="109" t="s">
        <v>235</v>
      </c>
      <c r="C88" s="172">
        <f>'ENCARREGADO '!C88</f>
        <v>2.0000000000000001E-4</v>
      </c>
      <c r="D88" s="137">
        <f>($D$38+$D$44+$D$54+$D$63+$D$82)*(C88)</f>
        <v>0.58253878522640001</v>
      </c>
    </row>
    <row r="89" spans="1:5" x14ac:dyDescent="0.3">
      <c r="A89" s="67" t="s">
        <v>200</v>
      </c>
      <c r="B89" s="109" t="s">
        <v>236</v>
      </c>
      <c r="C89" s="172">
        <f>'ENCARREGADO '!C89</f>
        <v>3.3E-3</v>
      </c>
      <c r="D89" s="137">
        <f>($D$38+$D$44+$D$54+$D$63+$D$82)*(C89)</f>
        <v>9.6118899562355988</v>
      </c>
    </row>
    <row r="90" spans="1:5" x14ac:dyDescent="0.3">
      <c r="A90" s="67" t="s">
        <v>201</v>
      </c>
      <c r="B90" s="140" t="s">
        <v>237</v>
      </c>
      <c r="C90" s="172">
        <f>'ENCARREGADO '!C90</f>
        <v>5.0000000000000001E-4</v>
      </c>
      <c r="D90" s="137">
        <f>($D$38+$D$44+$D$54+$D$63+$D$82)*(C90)</f>
        <v>1.456346963066</v>
      </c>
    </row>
    <row r="91" spans="1:5" x14ac:dyDescent="0.3">
      <c r="A91" s="355" t="s">
        <v>238</v>
      </c>
      <c r="B91" s="356"/>
      <c r="C91" s="141">
        <f>SUM(C86:C90)</f>
        <v>8.6999999999999994E-3</v>
      </c>
      <c r="D91" s="142">
        <f>SUM(D86:D90)</f>
        <v>25.340437157348401</v>
      </c>
    </row>
    <row r="92" spans="1:5" x14ac:dyDescent="0.3">
      <c r="A92" s="347" t="s">
        <v>20</v>
      </c>
      <c r="B92" s="348"/>
      <c r="C92" s="107"/>
      <c r="D92" s="97" t="s">
        <v>7</v>
      </c>
    </row>
    <row r="93" spans="1:5" x14ac:dyDescent="0.3">
      <c r="A93" s="67" t="s">
        <v>187</v>
      </c>
      <c r="B93" s="109" t="s">
        <v>21</v>
      </c>
      <c r="C93" s="143"/>
      <c r="D93" s="144"/>
    </row>
    <row r="94" spans="1:5" ht="13.8" thickBot="1" x14ac:dyDescent="0.35">
      <c r="A94" s="357" t="s">
        <v>239</v>
      </c>
      <c r="B94" s="364"/>
      <c r="C94" s="130"/>
      <c r="D94" s="131">
        <f>D93</f>
        <v>0</v>
      </c>
    </row>
    <row r="95" spans="1:5" x14ac:dyDescent="0.3">
      <c r="A95" s="367" t="s">
        <v>240</v>
      </c>
      <c r="B95" s="368"/>
      <c r="C95" s="368"/>
      <c r="D95" s="369"/>
    </row>
    <row r="96" spans="1:5" ht="39.6" x14ac:dyDescent="0.3">
      <c r="A96" s="132" t="s">
        <v>241</v>
      </c>
      <c r="B96" s="370" t="s">
        <v>19</v>
      </c>
      <c r="C96" s="371"/>
      <c r="D96" s="133">
        <f>(D91)</f>
        <v>25.340437157348401</v>
      </c>
    </row>
    <row r="97" spans="1:5" x14ac:dyDescent="0.3">
      <c r="A97" s="67" t="s">
        <v>242</v>
      </c>
      <c r="B97" s="372" t="s">
        <v>21</v>
      </c>
      <c r="C97" s="373"/>
      <c r="D97" s="137">
        <f>D94</f>
        <v>0</v>
      </c>
    </row>
    <row r="98" spans="1:5" ht="13.8" thickBot="1" x14ac:dyDescent="0.35">
      <c r="A98" s="357" t="s">
        <v>25</v>
      </c>
      <c r="B98" s="364"/>
      <c r="C98" s="358"/>
      <c r="D98" s="134">
        <f>SUM(D96:D97)</f>
        <v>25.340437157348401</v>
      </c>
    </row>
    <row r="99" spans="1:5" ht="13.8" thickBot="1" x14ac:dyDescent="0.35">
      <c r="A99" s="135"/>
      <c r="B99" s="135"/>
      <c r="C99" s="135"/>
      <c r="D99" s="135"/>
    </row>
    <row r="100" spans="1:5" x14ac:dyDescent="0.3">
      <c r="A100" s="344" t="s">
        <v>243</v>
      </c>
      <c r="B100" s="345"/>
      <c r="C100" s="345"/>
      <c r="D100" s="346"/>
    </row>
    <row r="101" spans="1:5" x14ac:dyDescent="0.3">
      <c r="A101" s="340" t="s">
        <v>244</v>
      </c>
      <c r="B101" s="341"/>
      <c r="C101" s="341"/>
      <c r="D101" s="97" t="s">
        <v>7</v>
      </c>
    </row>
    <row r="102" spans="1:5" x14ac:dyDescent="0.3">
      <c r="A102" s="67" t="s">
        <v>187</v>
      </c>
      <c r="B102" s="145" t="s">
        <v>27</v>
      </c>
      <c r="C102" s="146"/>
      <c r="D102" s="170">
        <f>'ENCARREGADO '!D102</f>
        <v>3.09</v>
      </c>
    </row>
    <row r="103" spans="1:5" x14ac:dyDescent="0.3">
      <c r="A103" s="67" t="s">
        <v>245</v>
      </c>
      <c r="B103" s="145" t="s">
        <v>26</v>
      </c>
      <c r="C103" s="146"/>
      <c r="D103" s="170">
        <f>'ENCARREGADO '!D103</f>
        <v>28.445833333333336</v>
      </c>
    </row>
    <row r="104" spans="1:5" x14ac:dyDescent="0.3">
      <c r="A104" s="67" t="s">
        <v>199</v>
      </c>
      <c r="B104" s="145" t="s">
        <v>27</v>
      </c>
      <c r="C104" s="146"/>
      <c r="D104" s="171">
        <v>20.63</v>
      </c>
      <c r="E104" s="62" t="s">
        <v>293</v>
      </c>
    </row>
    <row r="105" spans="1:5" x14ac:dyDescent="0.3">
      <c r="A105" s="67" t="s">
        <v>200</v>
      </c>
      <c r="B105" s="145" t="s">
        <v>28</v>
      </c>
      <c r="C105" s="146"/>
      <c r="D105" s="171">
        <v>76.97</v>
      </c>
      <c r="E105" s="62" t="s">
        <v>294</v>
      </c>
    </row>
    <row r="106" spans="1:5" x14ac:dyDescent="0.3">
      <c r="A106" s="67" t="s">
        <v>199</v>
      </c>
      <c r="B106" s="145" t="s">
        <v>29</v>
      </c>
      <c r="C106" s="146"/>
      <c r="D106" s="171">
        <v>191.25</v>
      </c>
      <c r="E106" s="62" t="s">
        <v>295</v>
      </c>
    </row>
    <row r="107" spans="1:5" ht="13.8" thickBot="1" x14ac:dyDescent="0.35">
      <c r="A107" s="357" t="s">
        <v>30</v>
      </c>
      <c r="B107" s="358"/>
      <c r="C107" s="147">
        <f>C102</f>
        <v>0</v>
      </c>
      <c r="D107" s="148">
        <f>SUM(D102:D106)</f>
        <v>320.38583333333332</v>
      </c>
    </row>
    <row r="108" spans="1:5" ht="13.8" thickBot="1" x14ac:dyDescent="0.35">
      <c r="A108" s="149"/>
      <c r="B108" s="150"/>
      <c r="C108" s="150"/>
      <c r="D108" s="151"/>
    </row>
    <row r="109" spans="1:5" x14ac:dyDescent="0.3">
      <c r="A109" s="374" t="s">
        <v>246</v>
      </c>
      <c r="B109" s="375"/>
      <c r="C109" s="375"/>
      <c r="D109" s="376"/>
    </row>
    <row r="110" spans="1:5" x14ac:dyDescent="0.3">
      <c r="A110" s="365" t="s">
        <v>247</v>
      </c>
      <c r="B110" s="366"/>
      <c r="C110" s="107" t="s">
        <v>195</v>
      </c>
      <c r="D110" s="152" t="s">
        <v>7</v>
      </c>
    </row>
    <row r="111" spans="1:5" x14ac:dyDescent="0.3">
      <c r="A111" s="67" t="s">
        <v>187</v>
      </c>
      <c r="B111" s="153" t="s">
        <v>31</v>
      </c>
      <c r="C111" s="110"/>
      <c r="D111" s="137">
        <f>SUM(D112:D113)</f>
        <v>391.01042359472177</v>
      </c>
      <c r="E111" s="154"/>
    </row>
    <row r="112" spans="1:5" x14ac:dyDescent="0.3">
      <c r="A112" s="67"/>
      <c r="B112" s="153" t="s">
        <v>262</v>
      </c>
      <c r="C112" s="167">
        <f>'ENCARREGADO '!C112</f>
        <v>0.12</v>
      </c>
      <c r="D112" s="137">
        <f>(D38+D72+D82+D98+D107)*C112</f>
        <v>391.01042359472177</v>
      </c>
      <c r="E112" s="154"/>
    </row>
    <row r="113" spans="1:5" ht="26.4" x14ac:dyDescent="0.3">
      <c r="A113" s="67"/>
      <c r="B113" s="230" t="s">
        <v>439</v>
      </c>
      <c r="C113" s="110"/>
      <c r="D113" s="169"/>
      <c r="E113" s="62" t="str">
        <f>'ENCARREGADO '!E113</f>
        <v>Memória de cálculo na C141</v>
      </c>
    </row>
    <row r="114" spans="1:5" x14ac:dyDescent="0.3">
      <c r="A114" s="67" t="s">
        <v>189</v>
      </c>
      <c r="B114" s="153" t="s">
        <v>32</v>
      </c>
      <c r="C114" s="167">
        <f>'ENCARREGADO '!C114</f>
        <v>0.1</v>
      </c>
      <c r="D114" s="137">
        <f>(D38+D72+D82+D98+D107+D111)*C114</f>
        <v>364.94306202174039</v>
      </c>
      <c r="E114" s="154"/>
    </row>
    <row r="115" spans="1:5" x14ac:dyDescent="0.3">
      <c r="A115" s="379" t="s">
        <v>199</v>
      </c>
      <c r="B115" s="117" t="s">
        <v>248</v>
      </c>
      <c r="C115" s="155">
        <f>C116+C117+C120</f>
        <v>0.14250000000000002</v>
      </c>
      <c r="D115" s="156"/>
    </row>
    <row r="116" spans="1:5" x14ac:dyDescent="0.3">
      <c r="A116" s="379"/>
      <c r="B116" s="157" t="s">
        <v>249</v>
      </c>
      <c r="C116" s="167">
        <f>'ENCARREGADO '!C116</f>
        <v>1.6500000000000001E-2</v>
      </c>
      <c r="D116" s="137">
        <f>((D38+D72+D82+D98+D107+D111+D114)/(1-C115))*C116</f>
        <v>77.244508171365467</v>
      </c>
    </row>
    <row r="117" spans="1:5" x14ac:dyDescent="0.3">
      <c r="A117" s="379"/>
      <c r="B117" s="157" t="s">
        <v>250</v>
      </c>
      <c r="C117" s="167">
        <f>'ENCARREGADO '!C117</f>
        <v>7.5999999999999998E-2</v>
      </c>
      <c r="D117" s="137">
        <f>((D38+D72+D82+D98+D107+D111+D114)/(1-C115))*C117</f>
        <v>355.79288612265299</v>
      </c>
    </row>
    <row r="118" spans="1:5" x14ac:dyDescent="0.3">
      <c r="A118" s="379"/>
      <c r="B118" s="117" t="s">
        <v>251</v>
      </c>
      <c r="C118" s="167">
        <f>'ENCARREGADO '!C118</f>
        <v>0</v>
      </c>
      <c r="D118" s="137"/>
    </row>
    <row r="119" spans="1:5" x14ac:dyDescent="0.3">
      <c r="A119" s="379"/>
      <c r="B119" s="117" t="s">
        <v>252</v>
      </c>
      <c r="C119" s="167">
        <f>'ENCARREGADO '!C119</f>
        <v>0</v>
      </c>
      <c r="D119" s="137"/>
    </row>
    <row r="120" spans="1:5" x14ac:dyDescent="0.3">
      <c r="A120" s="379"/>
      <c r="B120" s="157" t="s">
        <v>253</v>
      </c>
      <c r="C120" s="167">
        <f>'ENCARREGADO '!C120</f>
        <v>0.05</v>
      </c>
      <c r="D120" s="137">
        <f>((D38+D72+D82+D98+D107+D111+D114)/(1-C115))*C120</f>
        <v>234.07426718595593</v>
      </c>
    </row>
    <row r="121" spans="1:5" ht="13.8" thickBot="1" x14ac:dyDescent="0.35">
      <c r="A121" s="357" t="s">
        <v>37</v>
      </c>
      <c r="B121" s="364"/>
      <c r="C121" s="158">
        <f>C112+C114+C116+C117+C120</f>
        <v>0.36249999999999999</v>
      </c>
      <c r="D121" s="131">
        <f>SUM(D111,D114,D116:D117,D120)</f>
        <v>1423.0651470964365</v>
      </c>
    </row>
    <row r="122" spans="1:5" ht="13.8" thickBot="1" x14ac:dyDescent="0.35">
      <c r="A122" s="135"/>
      <c r="B122" s="135"/>
      <c r="C122" s="135"/>
      <c r="D122" s="135"/>
    </row>
    <row r="123" spans="1:5" x14ac:dyDescent="0.3">
      <c r="A123" s="344" t="s">
        <v>254</v>
      </c>
      <c r="B123" s="345"/>
      <c r="C123" s="345"/>
      <c r="D123" s="346"/>
    </row>
    <row r="124" spans="1:5" x14ac:dyDescent="0.3">
      <c r="A124" s="340" t="s">
        <v>255</v>
      </c>
      <c r="B124" s="341"/>
      <c r="C124" s="341"/>
      <c r="D124" s="159" t="s">
        <v>7</v>
      </c>
    </row>
    <row r="125" spans="1:5" x14ac:dyDescent="0.3">
      <c r="A125" s="67" t="s">
        <v>187</v>
      </c>
      <c r="B125" s="363" t="s">
        <v>256</v>
      </c>
      <c r="C125" s="380"/>
      <c r="D125" s="160">
        <f>(D38)</f>
        <v>1511.82</v>
      </c>
    </row>
    <row r="126" spans="1:5" x14ac:dyDescent="0.3">
      <c r="A126" s="67" t="s">
        <v>189</v>
      </c>
      <c r="B126" s="363" t="s">
        <v>12</v>
      </c>
      <c r="C126" s="380"/>
      <c r="D126" s="144">
        <f>(D72)</f>
        <v>1292.541138028</v>
      </c>
    </row>
    <row r="127" spans="1:5" x14ac:dyDescent="0.3">
      <c r="A127" s="67" t="s">
        <v>199</v>
      </c>
      <c r="B127" s="363" t="s">
        <v>257</v>
      </c>
      <c r="C127" s="380"/>
      <c r="D127" s="144">
        <f>(D82)</f>
        <v>108.332788104</v>
      </c>
    </row>
    <row r="128" spans="1:5" x14ac:dyDescent="0.3">
      <c r="A128" s="67" t="s">
        <v>200</v>
      </c>
      <c r="B128" s="363" t="s">
        <v>22</v>
      </c>
      <c r="C128" s="380"/>
      <c r="D128" s="144">
        <f>(D98)</f>
        <v>25.340437157348401</v>
      </c>
    </row>
    <row r="129" spans="1:5" x14ac:dyDescent="0.3">
      <c r="A129" s="67" t="s">
        <v>201</v>
      </c>
      <c r="B129" s="363" t="s">
        <v>258</v>
      </c>
      <c r="C129" s="380"/>
      <c r="D129" s="144">
        <f>D102</f>
        <v>3.09</v>
      </c>
    </row>
    <row r="130" spans="1:5" x14ac:dyDescent="0.3">
      <c r="A130" s="381" t="s">
        <v>259</v>
      </c>
      <c r="B130" s="382"/>
      <c r="C130" s="383"/>
      <c r="D130" s="161">
        <f>SUM(D125:D129)</f>
        <v>2941.1243632893484</v>
      </c>
      <c r="E130" s="105"/>
    </row>
    <row r="131" spans="1:5" ht="13.8" thickBot="1" x14ac:dyDescent="0.35">
      <c r="A131" s="162" t="s">
        <v>202</v>
      </c>
      <c r="B131" s="384" t="s">
        <v>260</v>
      </c>
      <c r="C131" s="384"/>
      <c r="D131" s="163">
        <f>(D121)</f>
        <v>1423.0651470964365</v>
      </c>
    </row>
    <row r="132" spans="1:5" ht="13.8" thickBot="1" x14ac:dyDescent="0.35">
      <c r="A132" s="377" t="s">
        <v>261</v>
      </c>
      <c r="B132" s="378"/>
      <c r="C132" s="378"/>
      <c r="D132" s="164">
        <f>SUM(D130:D131)</f>
        <v>4364.1895103857851</v>
      </c>
    </row>
    <row r="133" spans="1:5" x14ac:dyDescent="0.3">
      <c r="A133" s="62"/>
      <c r="D133" s="78"/>
    </row>
    <row r="134" spans="1:5" x14ac:dyDescent="0.3">
      <c r="D134" s="78"/>
    </row>
    <row r="135" spans="1:5" x14ac:dyDescent="0.3">
      <c r="D135" s="78"/>
    </row>
    <row r="136" spans="1:5" x14ac:dyDescent="0.3">
      <c r="D136" s="78"/>
    </row>
    <row r="137" spans="1:5" x14ac:dyDescent="0.3">
      <c r="C137" s="165"/>
    </row>
  </sheetData>
  <mergeCells count="67">
    <mergeCell ref="A132:C132"/>
    <mergeCell ref="A115:A120"/>
    <mergeCell ref="A121:B121"/>
    <mergeCell ref="A123:D123"/>
    <mergeCell ref="A124:C124"/>
    <mergeCell ref="B125:C125"/>
    <mergeCell ref="B126:C126"/>
    <mergeCell ref="B127:C127"/>
    <mergeCell ref="B128:C128"/>
    <mergeCell ref="B129:C129"/>
    <mergeCell ref="A130:C130"/>
    <mergeCell ref="B131:C131"/>
    <mergeCell ref="A110:B110"/>
    <mergeCell ref="A91:B91"/>
    <mergeCell ref="A92:B92"/>
    <mergeCell ref="A94:B94"/>
    <mergeCell ref="A95:D95"/>
    <mergeCell ref="B96:C96"/>
    <mergeCell ref="B97:C97"/>
    <mergeCell ref="A98:C98"/>
    <mergeCell ref="A100:D100"/>
    <mergeCell ref="A101:C101"/>
    <mergeCell ref="A107:B107"/>
    <mergeCell ref="A109:D109"/>
    <mergeCell ref="A85:B85"/>
    <mergeCell ref="A66:B66"/>
    <mergeCell ref="A67:D67"/>
    <mergeCell ref="B68:C68"/>
    <mergeCell ref="B69:C69"/>
    <mergeCell ref="B70:C70"/>
    <mergeCell ref="B71:C71"/>
    <mergeCell ref="A72:C72"/>
    <mergeCell ref="A74:D74"/>
    <mergeCell ref="A75:B75"/>
    <mergeCell ref="A82:B82"/>
    <mergeCell ref="A84:D84"/>
    <mergeCell ref="A64:B64"/>
    <mergeCell ref="A33:D33"/>
    <mergeCell ref="A34:C34"/>
    <mergeCell ref="B35:C35"/>
    <mergeCell ref="A38:C38"/>
    <mergeCell ref="A40:D40"/>
    <mergeCell ref="A41:B41"/>
    <mergeCell ref="A44:B44"/>
    <mergeCell ref="A45:B45"/>
    <mergeCell ref="A54:B54"/>
    <mergeCell ref="A55:B55"/>
    <mergeCell ref="A63:B63"/>
    <mergeCell ref="B31:C31"/>
    <mergeCell ref="C17:D17"/>
    <mergeCell ref="A21:D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13:D13"/>
    <mergeCell ref="A1:D1"/>
    <mergeCell ref="A2:D2"/>
    <mergeCell ref="A3:D3"/>
    <mergeCell ref="A6:D6"/>
    <mergeCell ref="A7:D7"/>
    <mergeCell ref="A5:D5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6817-311B-4343-B158-C571EC14C109}">
  <dimension ref="A1:G137"/>
  <sheetViews>
    <sheetView showGridLines="0" topLeftCell="A103" workbookViewId="0">
      <selection activeCell="D113" sqref="D113"/>
    </sheetView>
  </sheetViews>
  <sheetFormatPr defaultRowHeight="13.2" x14ac:dyDescent="0.3"/>
  <cols>
    <col min="1" max="1" width="3.88671875" style="77" customWidth="1"/>
    <col min="2" max="2" width="70.6640625" style="62" customWidth="1"/>
    <col min="3" max="3" width="14.6640625" style="77" customWidth="1"/>
    <col min="4" max="4" width="17.77734375" style="166" customWidth="1"/>
    <col min="5" max="5" width="55.77734375" style="62" customWidth="1"/>
    <col min="6" max="6" width="17.5546875" style="62" bestFit="1" customWidth="1"/>
    <col min="7" max="7" width="8.44140625" style="62" bestFit="1" customWidth="1"/>
    <col min="8" max="222" width="9.109375" style="62" bestFit="1" customWidth="1"/>
    <col min="223" max="223" width="1.88671875" style="62" customWidth="1"/>
    <col min="224" max="224" width="7.33203125" style="62" customWidth="1"/>
    <col min="225" max="225" width="9.88671875" style="62" customWidth="1"/>
    <col min="226" max="226" width="12.6640625" style="62" customWidth="1"/>
    <col min="227" max="227" width="11.109375" style="62" customWidth="1"/>
    <col min="228" max="228" width="10.88671875" style="62" customWidth="1"/>
    <col min="229" max="229" width="11.5546875" style="62" customWidth="1"/>
    <col min="230" max="230" width="13.44140625" style="62" customWidth="1"/>
    <col min="231" max="231" width="11.109375" style="62" customWidth="1"/>
    <col min="232" max="232" width="11.33203125" style="62" bestFit="1" customWidth="1"/>
    <col min="233" max="233" width="11.5546875" style="62" customWidth="1"/>
    <col min="234" max="234" width="8.88671875" style="62"/>
    <col min="235" max="235" width="9.88671875" style="62" bestFit="1" customWidth="1"/>
    <col min="236" max="236" width="9.109375" style="62" bestFit="1" customWidth="1"/>
    <col min="237" max="237" width="9.5546875" style="62" bestFit="1" customWidth="1"/>
    <col min="238" max="478" width="9.109375" style="62" bestFit="1" customWidth="1"/>
    <col min="479" max="479" width="1.88671875" style="62" customWidth="1"/>
    <col min="480" max="480" width="7.33203125" style="62" customWidth="1"/>
    <col min="481" max="481" width="9.88671875" style="62" customWidth="1"/>
    <col min="482" max="482" width="12.6640625" style="62" customWidth="1"/>
    <col min="483" max="483" width="11.109375" style="62" customWidth="1"/>
    <col min="484" max="484" width="10.88671875" style="62" customWidth="1"/>
    <col min="485" max="485" width="11.5546875" style="62" customWidth="1"/>
    <col min="486" max="486" width="13.44140625" style="62" customWidth="1"/>
    <col min="487" max="487" width="11.109375" style="62" customWidth="1"/>
    <col min="488" max="488" width="11.33203125" style="62" bestFit="1" customWidth="1"/>
    <col min="489" max="489" width="11.5546875" style="62" customWidth="1"/>
    <col min="490" max="490" width="8.88671875" style="62"/>
    <col min="491" max="491" width="9.88671875" style="62" bestFit="1" customWidth="1"/>
    <col min="492" max="492" width="9.109375" style="62" bestFit="1" customWidth="1"/>
    <col min="493" max="493" width="9.5546875" style="62" bestFit="1" customWidth="1"/>
    <col min="494" max="734" width="9.109375" style="62" bestFit="1" customWidth="1"/>
    <col min="735" max="735" width="1.88671875" style="62" customWidth="1"/>
    <col min="736" max="736" width="7.33203125" style="62" customWidth="1"/>
    <col min="737" max="737" width="9.88671875" style="62" customWidth="1"/>
    <col min="738" max="738" width="12.6640625" style="62" customWidth="1"/>
    <col min="739" max="739" width="11.109375" style="62" customWidth="1"/>
    <col min="740" max="740" width="10.88671875" style="62" customWidth="1"/>
    <col min="741" max="741" width="11.5546875" style="62" customWidth="1"/>
    <col min="742" max="742" width="13.44140625" style="62" customWidth="1"/>
    <col min="743" max="743" width="11.109375" style="62" customWidth="1"/>
    <col min="744" max="744" width="11.33203125" style="62" bestFit="1" customWidth="1"/>
    <col min="745" max="745" width="11.5546875" style="62" customWidth="1"/>
    <col min="746" max="746" width="8.88671875" style="62"/>
    <col min="747" max="747" width="9.88671875" style="62" bestFit="1" customWidth="1"/>
    <col min="748" max="748" width="9.109375" style="62" bestFit="1" customWidth="1"/>
    <col min="749" max="749" width="9.5546875" style="62" bestFit="1" customWidth="1"/>
    <col min="750" max="990" width="9.109375" style="62" bestFit="1" customWidth="1"/>
    <col min="991" max="991" width="1.88671875" style="62" customWidth="1"/>
    <col min="992" max="992" width="7.33203125" style="62" customWidth="1"/>
    <col min="993" max="993" width="9.88671875" style="62" customWidth="1"/>
    <col min="994" max="994" width="12.6640625" style="62" customWidth="1"/>
    <col min="995" max="995" width="11.109375" style="62" customWidth="1"/>
    <col min="996" max="996" width="10.88671875" style="62" customWidth="1"/>
    <col min="997" max="997" width="11.5546875" style="62" customWidth="1"/>
    <col min="998" max="998" width="13.44140625" style="62" customWidth="1"/>
    <col min="999" max="999" width="11.109375" style="62" customWidth="1"/>
    <col min="1000" max="1000" width="11.33203125" style="62" bestFit="1" customWidth="1"/>
    <col min="1001" max="1001" width="11.5546875" style="62" customWidth="1"/>
    <col min="1002" max="1002" width="8.88671875" style="62"/>
    <col min="1003" max="1003" width="9.88671875" style="62" bestFit="1" customWidth="1"/>
    <col min="1004" max="1004" width="9.109375" style="62" bestFit="1" customWidth="1"/>
    <col min="1005" max="1005" width="9.5546875" style="62" bestFit="1" customWidth="1"/>
    <col min="1006" max="1246" width="9.109375" style="62" bestFit="1" customWidth="1"/>
    <col min="1247" max="1247" width="1.88671875" style="62" customWidth="1"/>
    <col min="1248" max="1248" width="7.33203125" style="62" customWidth="1"/>
    <col min="1249" max="1249" width="9.88671875" style="62" customWidth="1"/>
    <col min="1250" max="1250" width="12.6640625" style="62" customWidth="1"/>
    <col min="1251" max="1251" width="11.109375" style="62" customWidth="1"/>
    <col min="1252" max="1252" width="10.88671875" style="62" customWidth="1"/>
    <col min="1253" max="1253" width="11.5546875" style="62" customWidth="1"/>
    <col min="1254" max="1254" width="13.44140625" style="62" customWidth="1"/>
    <col min="1255" max="1255" width="11.109375" style="62" customWidth="1"/>
    <col min="1256" max="1256" width="11.33203125" style="62" bestFit="1" customWidth="1"/>
    <col min="1257" max="1257" width="11.5546875" style="62" customWidth="1"/>
    <col min="1258" max="1258" width="8.88671875" style="62"/>
    <col min="1259" max="1259" width="9.88671875" style="62" bestFit="1" customWidth="1"/>
    <col min="1260" max="1260" width="9.109375" style="62" bestFit="1" customWidth="1"/>
    <col min="1261" max="1261" width="9.5546875" style="62" bestFit="1" customWidth="1"/>
    <col min="1262" max="1502" width="9.109375" style="62" bestFit="1" customWidth="1"/>
    <col min="1503" max="1503" width="1.88671875" style="62" customWidth="1"/>
    <col min="1504" max="1504" width="7.33203125" style="62" customWidth="1"/>
    <col min="1505" max="1505" width="9.88671875" style="62" customWidth="1"/>
    <col min="1506" max="1506" width="12.6640625" style="62" customWidth="1"/>
    <col min="1507" max="1507" width="11.109375" style="62" customWidth="1"/>
    <col min="1508" max="1508" width="10.88671875" style="62" customWidth="1"/>
    <col min="1509" max="1509" width="11.5546875" style="62" customWidth="1"/>
    <col min="1510" max="1510" width="13.44140625" style="62" customWidth="1"/>
    <col min="1511" max="1511" width="11.109375" style="62" customWidth="1"/>
    <col min="1512" max="1512" width="11.33203125" style="62" bestFit="1" customWidth="1"/>
    <col min="1513" max="1513" width="11.5546875" style="62" customWidth="1"/>
    <col min="1514" max="1514" width="8.88671875" style="62"/>
    <col min="1515" max="1515" width="9.88671875" style="62" bestFit="1" customWidth="1"/>
    <col min="1516" max="1516" width="9.109375" style="62" bestFit="1" customWidth="1"/>
    <col min="1517" max="1517" width="9.5546875" style="62" bestFit="1" customWidth="1"/>
    <col min="1518" max="1758" width="9.109375" style="62" bestFit="1" customWidth="1"/>
    <col min="1759" max="1759" width="1.88671875" style="62" customWidth="1"/>
    <col min="1760" max="1760" width="7.33203125" style="62" customWidth="1"/>
    <col min="1761" max="1761" width="9.88671875" style="62" customWidth="1"/>
    <col min="1762" max="1762" width="12.6640625" style="62" customWidth="1"/>
    <col min="1763" max="1763" width="11.109375" style="62" customWidth="1"/>
    <col min="1764" max="1764" width="10.88671875" style="62" customWidth="1"/>
    <col min="1765" max="1765" width="11.5546875" style="62" customWidth="1"/>
    <col min="1766" max="1766" width="13.44140625" style="62" customWidth="1"/>
    <col min="1767" max="1767" width="11.109375" style="62" customWidth="1"/>
    <col min="1768" max="1768" width="11.33203125" style="62" bestFit="1" customWidth="1"/>
    <col min="1769" max="1769" width="11.5546875" style="62" customWidth="1"/>
    <col min="1770" max="1770" width="8.88671875" style="62"/>
    <col min="1771" max="1771" width="9.88671875" style="62" bestFit="1" customWidth="1"/>
    <col min="1772" max="1772" width="9.109375" style="62" bestFit="1" customWidth="1"/>
    <col min="1773" max="1773" width="9.5546875" style="62" bestFit="1" customWidth="1"/>
    <col min="1774" max="2014" width="9.109375" style="62" bestFit="1" customWidth="1"/>
    <col min="2015" max="2015" width="1.88671875" style="62" customWidth="1"/>
    <col min="2016" max="2016" width="7.33203125" style="62" customWidth="1"/>
    <col min="2017" max="2017" width="9.88671875" style="62" customWidth="1"/>
    <col min="2018" max="2018" width="12.6640625" style="62" customWidth="1"/>
    <col min="2019" max="2019" width="11.109375" style="62" customWidth="1"/>
    <col min="2020" max="2020" width="10.88671875" style="62" customWidth="1"/>
    <col min="2021" max="2021" width="11.5546875" style="62" customWidth="1"/>
    <col min="2022" max="2022" width="13.44140625" style="62" customWidth="1"/>
    <col min="2023" max="2023" width="11.109375" style="62" customWidth="1"/>
    <col min="2024" max="2024" width="11.33203125" style="62" bestFit="1" customWidth="1"/>
    <col min="2025" max="2025" width="11.5546875" style="62" customWidth="1"/>
    <col min="2026" max="2026" width="8.88671875" style="62"/>
    <col min="2027" max="2027" width="9.88671875" style="62" bestFit="1" customWidth="1"/>
    <col min="2028" max="2028" width="9.109375" style="62" bestFit="1" customWidth="1"/>
    <col min="2029" max="2029" width="9.5546875" style="62" bestFit="1" customWidth="1"/>
    <col min="2030" max="2270" width="9.109375" style="62" bestFit="1" customWidth="1"/>
    <col min="2271" max="2271" width="1.88671875" style="62" customWidth="1"/>
    <col min="2272" max="2272" width="7.33203125" style="62" customWidth="1"/>
    <col min="2273" max="2273" width="9.88671875" style="62" customWidth="1"/>
    <col min="2274" max="2274" width="12.6640625" style="62" customWidth="1"/>
    <col min="2275" max="2275" width="11.109375" style="62" customWidth="1"/>
    <col min="2276" max="2276" width="10.88671875" style="62" customWidth="1"/>
    <col min="2277" max="2277" width="11.5546875" style="62" customWidth="1"/>
    <col min="2278" max="2278" width="13.44140625" style="62" customWidth="1"/>
    <col min="2279" max="2279" width="11.109375" style="62" customWidth="1"/>
    <col min="2280" max="2280" width="11.33203125" style="62" bestFit="1" customWidth="1"/>
    <col min="2281" max="2281" width="11.5546875" style="62" customWidth="1"/>
    <col min="2282" max="2282" width="8.88671875" style="62"/>
    <col min="2283" max="2283" width="9.88671875" style="62" bestFit="1" customWidth="1"/>
    <col min="2284" max="2284" width="9.109375" style="62" bestFit="1" customWidth="1"/>
    <col min="2285" max="2285" width="9.5546875" style="62" bestFit="1" customWidth="1"/>
    <col min="2286" max="2526" width="9.109375" style="62" bestFit="1" customWidth="1"/>
    <col min="2527" max="2527" width="1.88671875" style="62" customWidth="1"/>
    <col min="2528" max="2528" width="7.33203125" style="62" customWidth="1"/>
    <col min="2529" max="2529" width="9.88671875" style="62" customWidth="1"/>
    <col min="2530" max="2530" width="12.6640625" style="62" customWidth="1"/>
    <col min="2531" max="2531" width="11.109375" style="62" customWidth="1"/>
    <col min="2532" max="2532" width="10.88671875" style="62" customWidth="1"/>
    <col min="2533" max="2533" width="11.5546875" style="62" customWidth="1"/>
    <col min="2534" max="2534" width="13.44140625" style="62" customWidth="1"/>
    <col min="2535" max="2535" width="11.109375" style="62" customWidth="1"/>
    <col min="2536" max="2536" width="11.33203125" style="62" bestFit="1" customWidth="1"/>
    <col min="2537" max="2537" width="11.5546875" style="62" customWidth="1"/>
    <col min="2538" max="2538" width="8.88671875" style="62"/>
    <col min="2539" max="2539" width="9.88671875" style="62" bestFit="1" customWidth="1"/>
    <col min="2540" max="2540" width="9.109375" style="62" bestFit="1" customWidth="1"/>
    <col min="2541" max="2541" width="9.5546875" style="62" bestFit="1" customWidth="1"/>
    <col min="2542" max="2782" width="9.109375" style="62" bestFit="1" customWidth="1"/>
    <col min="2783" max="2783" width="1.88671875" style="62" customWidth="1"/>
    <col min="2784" max="2784" width="7.33203125" style="62" customWidth="1"/>
    <col min="2785" max="2785" width="9.88671875" style="62" customWidth="1"/>
    <col min="2786" max="2786" width="12.6640625" style="62" customWidth="1"/>
    <col min="2787" max="2787" width="11.109375" style="62" customWidth="1"/>
    <col min="2788" max="2788" width="10.88671875" style="62" customWidth="1"/>
    <col min="2789" max="2789" width="11.5546875" style="62" customWidth="1"/>
    <col min="2790" max="2790" width="13.44140625" style="62" customWidth="1"/>
    <col min="2791" max="2791" width="11.109375" style="62" customWidth="1"/>
    <col min="2792" max="2792" width="11.33203125" style="62" bestFit="1" customWidth="1"/>
    <col min="2793" max="2793" width="11.5546875" style="62" customWidth="1"/>
    <col min="2794" max="2794" width="8.88671875" style="62"/>
    <col min="2795" max="2795" width="9.88671875" style="62" bestFit="1" customWidth="1"/>
    <col min="2796" max="2796" width="9.109375" style="62" bestFit="1" customWidth="1"/>
    <col min="2797" max="2797" width="9.5546875" style="62" bestFit="1" customWidth="1"/>
    <col min="2798" max="3038" width="9.109375" style="62" bestFit="1" customWidth="1"/>
    <col min="3039" max="3039" width="1.88671875" style="62" customWidth="1"/>
    <col min="3040" max="3040" width="7.33203125" style="62" customWidth="1"/>
    <col min="3041" max="3041" width="9.88671875" style="62" customWidth="1"/>
    <col min="3042" max="3042" width="12.6640625" style="62" customWidth="1"/>
    <col min="3043" max="3043" width="11.109375" style="62" customWidth="1"/>
    <col min="3044" max="3044" width="10.88671875" style="62" customWidth="1"/>
    <col min="3045" max="3045" width="11.5546875" style="62" customWidth="1"/>
    <col min="3046" max="3046" width="13.44140625" style="62" customWidth="1"/>
    <col min="3047" max="3047" width="11.109375" style="62" customWidth="1"/>
    <col min="3048" max="3048" width="11.33203125" style="62" bestFit="1" customWidth="1"/>
    <col min="3049" max="3049" width="11.5546875" style="62" customWidth="1"/>
    <col min="3050" max="3050" width="8.88671875" style="62"/>
    <col min="3051" max="3051" width="9.88671875" style="62" bestFit="1" customWidth="1"/>
    <col min="3052" max="3052" width="9.109375" style="62" bestFit="1" customWidth="1"/>
    <col min="3053" max="3053" width="9.5546875" style="62" bestFit="1" customWidth="1"/>
    <col min="3054" max="3294" width="9.109375" style="62" bestFit="1" customWidth="1"/>
    <col min="3295" max="3295" width="1.88671875" style="62" customWidth="1"/>
    <col min="3296" max="3296" width="7.33203125" style="62" customWidth="1"/>
    <col min="3297" max="3297" width="9.88671875" style="62" customWidth="1"/>
    <col min="3298" max="3298" width="12.6640625" style="62" customWidth="1"/>
    <col min="3299" max="3299" width="11.109375" style="62" customWidth="1"/>
    <col min="3300" max="3300" width="10.88671875" style="62" customWidth="1"/>
    <col min="3301" max="3301" width="11.5546875" style="62" customWidth="1"/>
    <col min="3302" max="3302" width="13.44140625" style="62" customWidth="1"/>
    <col min="3303" max="3303" width="11.109375" style="62" customWidth="1"/>
    <col min="3304" max="3304" width="11.33203125" style="62" bestFit="1" customWidth="1"/>
    <col min="3305" max="3305" width="11.5546875" style="62" customWidth="1"/>
    <col min="3306" max="3306" width="8.88671875" style="62"/>
    <col min="3307" max="3307" width="9.88671875" style="62" bestFit="1" customWidth="1"/>
    <col min="3308" max="3308" width="9.109375" style="62" bestFit="1" customWidth="1"/>
    <col min="3309" max="3309" width="9.5546875" style="62" bestFit="1" customWidth="1"/>
    <col min="3310" max="3550" width="9.109375" style="62" bestFit="1" customWidth="1"/>
    <col min="3551" max="3551" width="1.88671875" style="62" customWidth="1"/>
    <col min="3552" max="3552" width="7.33203125" style="62" customWidth="1"/>
    <col min="3553" max="3553" width="9.88671875" style="62" customWidth="1"/>
    <col min="3554" max="3554" width="12.6640625" style="62" customWidth="1"/>
    <col min="3555" max="3555" width="11.109375" style="62" customWidth="1"/>
    <col min="3556" max="3556" width="10.88671875" style="62" customWidth="1"/>
    <col min="3557" max="3557" width="11.5546875" style="62" customWidth="1"/>
    <col min="3558" max="3558" width="13.44140625" style="62" customWidth="1"/>
    <col min="3559" max="3559" width="11.109375" style="62" customWidth="1"/>
    <col min="3560" max="3560" width="11.33203125" style="62" bestFit="1" customWidth="1"/>
    <col min="3561" max="3561" width="11.5546875" style="62" customWidth="1"/>
    <col min="3562" max="3562" width="8.88671875" style="62"/>
    <col min="3563" max="3563" width="9.88671875" style="62" bestFit="1" customWidth="1"/>
    <col min="3564" max="3564" width="9.109375" style="62" bestFit="1" customWidth="1"/>
    <col min="3565" max="3565" width="9.5546875" style="62" bestFit="1" customWidth="1"/>
    <col min="3566" max="3806" width="9.109375" style="62" bestFit="1" customWidth="1"/>
    <col min="3807" max="3807" width="1.88671875" style="62" customWidth="1"/>
    <col min="3808" max="3808" width="7.33203125" style="62" customWidth="1"/>
    <col min="3809" max="3809" width="9.88671875" style="62" customWidth="1"/>
    <col min="3810" max="3810" width="12.6640625" style="62" customWidth="1"/>
    <col min="3811" max="3811" width="11.109375" style="62" customWidth="1"/>
    <col min="3812" max="3812" width="10.88671875" style="62" customWidth="1"/>
    <col min="3813" max="3813" width="11.5546875" style="62" customWidth="1"/>
    <col min="3814" max="3814" width="13.44140625" style="62" customWidth="1"/>
    <col min="3815" max="3815" width="11.109375" style="62" customWidth="1"/>
    <col min="3816" max="3816" width="11.33203125" style="62" bestFit="1" customWidth="1"/>
    <col min="3817" max="3817" width="11.5546875" style="62" customWidth="1"/>
    <col min="3818" max="3818" width="8.88671875" style="62"/>
    <col min="3819" max="3819" width="9.88671875" style="62" bestFit="1" customWidth="1"/>
    <col min="3820" max="3820" width="9.109375" style="62" bestFit="1" customWidth="1"/>
    <col min="3821" max="3821" width="9.5546875" style="62" bestFit="1" customWidth="1"/>
    <col min="3822" max="4062" width="9.109375" style="62" bestFit="1" customWidth="1"/>
    <col min="4063" max="4063" width="1.88671875" style="62" customWidth="1"/>
    <col min="4064" max="4064" width="7.33203125" style="62" customWidth="1"/>
    <col min="4065" max="4065" width="9.88671875" style="62" customWidth="1"/>
    <col min="4066" max="4066" width="12.6640625" style="62" customWidth="1"/>
    <col min="4067" max="4067" width="11.109375" style="62" customWidth="1"/>
    <col min="4068" max="4068" width="10.88671875" style="62" customWidth="1"/>
    <col min="4069" max="4069" width="11.5546875" style="62" customWidth="1"/>
    <col min="4070" max="4070" width="13.44140625" style="62" customWidth="1"/>
    <col min="4071" max="4071" width="11.109375" style="62" customWidth="1"/>
    <col min="4072" max="4072" width="11.33203125" style="62" bestFit="1" customWidth="1"/>
    <col min="4073" max="4073" width="11.5546875" style="62" customWidth="1"/>
    <col min="4074" max="4074" width="8.88671875" style="62"/>
    <col min="4075" max="4075" width="9.88671875" style="62" bestFit="1" customWidth="1"/>
    <col min="4076" max="4076" width="9.109375" style="62" bestFit="1" customWidth="1"/>
    <col min="4077" max="4077" width="9.5546875" style="62" bestFit="1" customWidth="1"/>
    <col min="4078" max="4318" width="9.109375" style="62" bestFit="1" customWidth="1"/>
    <col min="4319" max="4319" width="1.88671875" style="62" customWidth="1"/>
    <col min="4320" max="4320" width="7.33203125" style="62" customWidth="1"/>
    <col min="4321" max="4321" width="9.88671875" style="62" customWidth="1"/>
    <col min="4322" max="4322" width="12.6640625" style="62" customWidth="1"/>
    <col min="4323" max="4323" width="11.109375" style="62" customWidth="1"/>
    <col min="4324" max="4324" width="10.88671875" style="62" customWidth="1"/>
    <col min="4325" max="4325" width="11.5546875" style="62" customWidth="1"/>
    <col min="4326" max="4326" width="13.44140625" style="62" customWidth="1"/>
    <col min="4327" max="4327" width="11.109375" style="62" customWidth="1"/>
    <col min="4328" max="4328" width="11.33203125" style="62" bestFit="1" customWidth="1"/>
    <col min="4329" max="4329" width="11.5546875" style="62" customWidth="1"/>
    <col min="4330" max="4330" width="8.88671875" style="62"/>
    <col min="4331" max="4331" width="9.88671875" style="62" bestFit="1" customWidth="1"/>
    <col min="4332" max="4332" width="9.109375" style="62" bestFit="1" customWidth="1"/>
    <col min="4333" max="4333" width="9.5546875" style="62" bestFit="1" customWidth="1"/>
    <col min="4334" max="4574" width="9.109375" style="62" bestFit="1" customWidth="1"/>
    <col min="4575" max="4575" width="1.88671875" style="62" customWidth="1"/>
    <col min="4576" max="4576" width="7.33203125" style="62" customWidth="1"/>
    <col min="4577" max="4577" width="9.88671875" style="62" customWidth="1"/>
    <col min="4578" max="4578" width="12.6640625" style="62" customWidth="1"/>
    <col min="4579" max="4579" width="11.109375" style="62" customWidth="1"/>
    <col min="4580" max="4580" width="10.88671875" style="62" customWidth="1"/>
    <col min="4581" max="4581" width="11.5546875" style="62" customWidth="1"/>
    <col min="4582" max="4582" width="13.44140625" style="62" customWidth="1"/>
    <col min="4583" max="4583" width="11.109375" style="62" customWidth="1"/>
    <col min="4584" max="4584" width="11.33203125" style="62" bestFit="1" customWidth="1"/>
    <col min="4585" max="4585" width="11.5546875" style="62" customWidth="1"/>
    <col min="4586" max="4586" width="8.88671875" style="62"/>
    <col min="4587" max="4587" width="9.88671875" style="62" bestFit="1" customWidth="1"/>
    <col min="4588" max="4588" width="9.109375" style="62" bestFit="1" customWidth="1"/>
    <col min="4589" max="4589" width="9.5546875" style="62" bestFit="1" customWidth="1"/>
    <col min="4590" max="4830" width="9.109375" style="62" bestFit="1" customWidth="1"/>
    <col min="4831" max="4831" width="1.88671875" style="62" customWidth="1"/>
    <col min="4832" max="4832" width="7.33203125" style="62" customWidth="1"/>
    <col min="4833" max="4833" width="9.88671875" style="62" customWidth="1"/>
    <col min="4834" max="4834" width="12.6640625" style="62" customWidth="1"/>
    <col min="4835" max="4835" width="11.109375" style="62" customWidth="1"/>
    <col min="4836" max="4836" width="10.88671875" style="62" customWidth="1"/>
    <col min="4837" max="4837" width="11.5546875" style="62" customWidth="1"/>
    <col min="4838" max="4838" width="13.44140625" style="62" customWidth="1"/>
    <col min="4839" max="4839" width="11.109375" style="62" customWidth="1"/>
    <col min="4840" max="4840" width="11.33203125" style="62" bestFit="1" customWidth="1"/>
    <col min="4841" max="4841" width="11.5546875" style="62" customWidth="1"/>
    <col min="4842" max="4842" width="8.88671875" style="62"/>
    <col min="4843" max="4843" width="9.88671875" style="62" bestFit="1" customWidth="1"/>
    <col min="4844" max="4844" width="9.109375" style="62" bestFit="1" customWidth="1"/>
    <col min="4845" max="4845" width="9.5546875" style="62" bestFit="1" customWidth="1"/>
    <col min="4846" max="5086" width="9.109375" style="62" bestFit="1" customWidth="1"/>
    <col min="5087" max="5087" width="1.88671875" style="62" customWidth="1"/>
    <col min="5088" max="5088" width="7.33203125" style="62" customWidth="1"/>
    <col min="5089" max="5089" width="9.88671875" style="62" customWidth="1"/>
    <col min="5090" max="5090" width="12.6640625" style="62" customWidth="1"/>
    <col min="5091" max="5091" width="11.109375" style="62" customWidth="1"/>
    <col min="5092" max="5092" width="10.88671875" style="62" customWidth="1"/>
    <col min="5093" max="5093" width="11.5546875" style="62" customWidth="1"/>
    <col min="5094" max="5094" width="13.44140625" style="62" customWidth="1"/>
    <col min="5095" max="5095" width="11.109375" style="62" customWidth="1"/>
    <col min="5096" max="5096" width="11.33203125" style="62" bestFit="1" customWidth="1"/>
    <col min="5097" max="5097" width="11.5546875" style="62" customWidth="1"/>
    <col min="5098" max="5098" width="8.88671875" style="62"/>
    <col min="5099" max="5099" width="9.88671875" style="62" bestFit="1" customWidth="1"/>
    <col min="5100" max="5100" width="9.109375" style="62" bestFit="1" customWidth="1"/>
    <col min="5101" max="5101" width="9.5546875" style="62" bestFit="1" customWidth="1"/>
    <col min="5102" max="5342" width="9.109375" style="62" bestFit="1" customWidth="1"/>
    <col min="5343" max="5343" width="1.88671875" style="62" customWidth="1"/>
    <col min="5344" max="5344" width="7.33203125" style="62" customWidth="1"/>
    <col min="5345" max="5345" width="9.88671875" style="62" customWidth="1"/>
    <col min="5346" max="5346" width="12.6640625" style="62" customWidth="1"/>
    <col min="5347" max="5347" width="11.109375" style="62" customWidth="1"/>
    <col min="5348" max="5348" width="10.88671875" style="62" customWidth="1"/>
    <col min="5349" max="5349" width="11.5546875" style="62" customWidth="1"/>
    <col min="5350" max="5350" width="13.44140625" style="62" customWidth="1"/>
    <col min="5351" max="5351" width="11.109375" style="62" customWidth="1"/>
    <col min="5352" max="5352" width="11.33203125" style="62" bestFit="1" customWidth="1"/>
    <col min="5353" max="5353" width="11.5546875" style="62" customWidth="1"/>
    <col min="5354" max="5354" width="8.88671875" style="62"/>
    <col min="5355" max="5355" width="9.88671875" style="62" bestFit="1" customWidth="1"/>
    <col min="5356" max="5356" width="9.109375" style="62" bestFit="1" customWidth="1"/>
    <col min="5357" max="5357" width="9.5546875" style="62" bestFit="1" customWidth="1"/>
    <col min="5358" max="5598" width="9.109375" style="62" bestFit="1" customWidth="1"/>
    <col min="5599" max="5599" width="1.88671875" style="62" customWidth="1"/>
    <col min="5600" max="5600" width="7.33203125" style="62" customWidth="1"/>
    <col min="5601" max="5601" width="9.88671875" style="62" customWidth="1"/>
    <col min="5602" max="5602" width="12.6640625" style="62" customWidth="1"/>
    <col min="5603" max="5603" width="11.109375" style="62" customWidth="1"/>
    <col min="5604" max="5604" width="10.88671875" style="62" customWidth="1"/>
    <col min="5605" max="5605" width="11.5546875" style="62" customWidth="1"/>
    <col min="5606" max="5606" width="13.44140625" style="62" customWidth="1"/>
    <col min="5607" max="5607" width="11.109375" style="62" customWidth="1"/>
    <col min="5608" max="5608" width="11.33203125" style="62" bestFit="1" customWidth="1"/>
    <col min="5609" max="5609" width="11.5546875" style="62" customWidth="1"/>
    <col min="5610" max="5610" width="8.88671875" style="62"/>
    <col min="5611" max="5611" width="9.88671875" style="62" bestFit="1" customWidth="1"/>
    <col min="5612" max="5612" width="9.109375" style="62" bestFit="1" customWidth="1"/>
    <col min="5613" max="5613" width="9.5546875" style="62" bestFit="1" customWidth="1"/>
    <col min="5614" max="5854" width="9.109375" style="62" bestFit="1" customWidth="1"/>
    <col min="5855" max="5855" width="1.88671875" style="62" customWidth="1"/>
    <col min="5856" max="5856" width="7.33203125" style="62" customWidth="1"/>
    <col min="5857" max="5857" width="9.88671875" style="62" customWidth="1"/>
    <col min="5858" max="5858" width="12.6640625" style="62" customWidth="1"/>
    <col min="5859" max="5859" width="11.109375" style="62" customWidth="1"/>
    <col min="5860" max="5860" width="10.88671875" style="62" customWidth="1"/>
    <col min="5861" max="5861" width="11.5546875" style="62" customWidth="1"/>
    <col min="5862" max="5862" width="13.44140625" style="62" customWidth="1"/>
    <col min="5863" max="5863" width="11.109375" style="62" customWidth="1"/>
    <col min="5864" max="5864" width="11.33203125" style="62" bestFit="1" customWidth="1"/>
    <col min="5865" max="5865" width="11.5546875" style="62" customWidth="1"/>
    <col min="5866" max="5866" width="8.88671875" style="62"/>
    <col min="5867" max="5867" width="9.88671875" style="62" bestFit="1" customWidth="1"/>
    <col min="5868" max="5868" width="9.109375" style="62" bestFit="1" customWidth="1"/>
    <col min="5869" max="5869" width="9.5546875" style="62" bestFit="1" customWidth="1"/>
    <col min="5870" max="6110" width="9.109375" style="62" bestFit="1" customWidth="1"/>
    <col min="6111" max="6111" width="1.88671875" style="62" customWidth="1"/>
    <col min="6112" max="6112" width="7.33203125" style="62" customWidth="1"/>
    <col min="6113" max="6113" width="9.88671875" style="62" customWidth="1"/>
    <col min="6114" max="6114" width="12.6640625" style="62" customWidth="1"/>
    <col min="6115" max="6115" width="11.109375" style="62" customWidth="1"/>
    <col min="6116" max="6116" width="10.88671875" style="62" customWidth="1"/>
    <col min="6117" max="6117" width="11.5546875" style="62" customWidth="1"/>
    <col min="6118" max="6118" width="13.44140625" style="62" customWidth="1"/>
    <col min="6119" max="6119" width="11.109375" style="62" customWidth="1"/>
    <col min="6120" max="6120" width="11.33203125" style="62" bestFit="1" customWidth="1"/>
    <col min="6121" max="6121" width="11.5546875" style="62" customWidth="1"/>
    <col min="6122" max="6122" width="8.88671875" style="62"/>
    <col min="6123" max="6123" width="9.88671875" style="62" bestFit="1" customWidth="1"/>
    <col min="6124" max="6124" width="9.109375" style="62" bestFit="1" customWidth="1"/>
    <col min="6125" max="6125" width="9.5546875" style="62" bestFit="1" customWidth="1"/>
    <col min="6126" max="6366" width="9.109375" style="62" bestFit="1" customWidth="1"/>
    <col min="6367" max="6367" width="1.88671875" style="62" customWidth="1"/>
    <col min="6368" max="6368" width="7.33203125" style="62" customWidth="1"/>
    <col min="6369" max="6369" width="9.88671875" style="62" customWidth="1"/>
    <col min="6370" max="6370" width="12.6640625" style="62" customWidth="1"/>
    <col min="6371" max="6371" width="11.109375" style="62" customWidth="1"/>
    <col min="6372" max="6372" width="10.88671875" style="62" customWidth="1"/>
    <col min="6373" max="6373" width="11.5546875" style="62" customWidth="1"/>
    <col min="6374" max="6374" width="13.44140625" style="62" customWidth="1"/>
    <col min="6375" max="6375" width="11.109375" style="62" customWidth="1"/>
    <col min="6376" max="6376" width="11.33203125" style="62" bestFit="1" customWidth="1"/>
    <col min="6377" max="6377" width="11.5546875" style="62" customWidth="1"/>
    <col min="6378" max="6378" width="8.88671875" style="62"/>
    <col min="6379" max="6379" width="9.88671875" style="62" bestFit="1" customWidth="1"/>
    <col min="6380" max="6380" width="9.109375" style="62" bestFit="1" customWidth="1"/>
    <col min="6381" max="6381" width="9.5546875" style="62" bestFit="1" customWidth="1"/>
    <col min="6382" max="6622" width="9.109375" style="62" bestFit="1" customWidth="1"/>
    <col min="6623" max="6623" width="1.88671875" style="62" customWidth="1"/>
    <col min="6624" max="6624" width="7.33203125" style="62" customWidth="1"/>
    <col min="6625" max="6625" width="9.88671875" style="62" customWidth="1"/>
    <col min="6626" max="6626" width="12.6640625" style="62" customWidth="1"/>
    <col min="6627" max="6627" width="11.109375" style="62" customWidth="1"/>
    <col min="6628" max="6628" width="10.88671875" style="62" customWidth="1"/>
    <col min="6629" max="6629" width="11.5546875" style="62" customWidth="1"/>
    <col min="6630" max="6630" width="13.44140625" style="62" customWidth="1"/>
    <col min="6631" max="6631" width="11.109375" style="62" customWidth="1"/>
    <col min="6632" max="6632" width="11.33203125" style="62" bestFit="1" customWidth="1"/>
    <col min="6633" max="6633" width="11.5546875" style="62" customWidth="1"/>
    <col min="6634" max="6634" width="8.88671875" style="62"/>
    <col min="6635" max="6635" width="9.88671875" style="62" bestFit="1" customWidth="1"/>
    <col min="6636" max="6636" width="9.109375" style="62" bestFit="1" customWidth="1"/>
    <col min="6637" max="6637" width="9.5546875" style="62" bestFit="1" customWidth="1"/>
    <col min="6638" max="6878" width="9.109375" style="62" bestFit="1" customWidth="1"/>
    <col min="6879" max="6879" width="1.88671875" style="62" customWidth="1"/>
    <col min="6880" max="6880" width="7.33203125" style="62" customWidth="1"/>
    <col min="6881" max="6881" width="9.88671875" style="62" customWidth="1"/>
    <col min="6882" max="6882" width="12.6640625" style="62" customWidth="1"/>
    <col min="6883" max="6883" width="11.109375" style="62" customWidth="1"/>
    <col min="6884" max="6884" width="10.88671875" style="62" customWidth="1"/>
    <col min="6885" max="6885" width="11.5546875" style="62" customWidth="1"/>
    <col min="6886" max="6886" width="13.44140625" style="62" customWidth="1"/>
    <col min="6887" max="6887" width="11.109375" style="62" customWidth="1"/>
    <col min="6888" max="6888" width="11.33203125" style="62" bestFit="1" customWidth="1"/>
    <col min="6889" max="6889" width="11.5546875" style="62" customWidth="1"/>
    <col min="6890" max="6890" width="8.88671875" style="62"/>
    <col min="6891" max="6891" width="9.88671875" style="62" bestFit="1" customWidth="1"/>
    <col min="6892" max="6892" width="9.109375" style="62" bestFit="1" customWidth="1"/>
    <col min="6893" max="6893" width="9.5546875" style="62" bestFit="1" customWidth="1"/>
    <col min="6894" max="7134" width="9.109375" style="62" bestFit="1" customWidth="1"/>
    <col min="7135" max="7135" width="1.88671875" style="62" customWidth="1"/>
    <col min="7136" max="7136" width="7.33203125" style="62" customWidth="1"/>
    <col min="7137" max="7137" width="9.88671875" style="62" customWidth="1"/>
    <col min="7138" max="7138" width="12.6640625" style="62" customWidth="1"/>
    <col min="7139" max="7139" width="11.109375" style="62" customWidth="1"/>
    <col min="7140" max="7140" width="10.88671875" style="62" customWidth="1"/>
    <col min="7141" max="7141" width="11.5546875" style="62" customWidth="1"/>
    <col min="7142" max="7142" width="13.44140625" style="62" customWidth="1"/>
    <col min="7143" max="7143" width="11.109375" style="62" customWidth="1"/>
    <col min="7144" max="7144" width="11.33203125" style="62" bestFit="1" customWidth="1"/>
    <col min="7145" max="7145" width="11.5546875" style="62" customWidth="1"/>
    <col min="7146" max="7146" width="8.88671875" style="62"/>
    <col min="7147" max="7147" width="9.88671875" style="62" bestFit="1" customWidth="1"/>
    <col min="7148" max="7148" width="9.109375" style="62" bestFit="1" customWidth="1"/>
    <col min="7149" max="7149" width="9.5546875" style="62" bestFit="1" customWidth="1"/>
    <col min="7150" max="7390" width="9.109375" style="62" bestFit="1" customWidth="1"/>
    <col min="7391" max="7391" width="1.88671875" style="62" customWidth="1"/>
    <col min="7392" max="7392" width="7.33203125" style="62" customWidth="1"/>
    <col min="7393" max="7393" width="9.88671875" style="62" customWidth="1"/>
    <col min="7394" max="7394" width="12.6640625" style="62" customWidth="1"/>
    <col min="7395" max="7395" width="11.109375" style="62" customWidth="1"/>
    <col min="7396" max="7396" width="10.88671875" style="62" customWidth="1"/>
    <col min="7397" max="7397" width="11.5546875" style="62" customWidth="1"/>
    <col min="7398" max="7398" width="13.44140625" style="62" customWidth="1"/>
    <col min="7399" max="7399" width="11.109375" style="62" customWidth="1"/>
    <col min="7400" max="7400" width="11.33203125" style="62" bestFit="1" customWidth="1"/>
    <col min="7401" max="7401" width="11.5546875" style="62" customWidth="1"/>
    <col min="7402" max="7402" width="8.88671875" style="62"/>
    <col min="7403" max="7403" width="9.88671875" style="62" bestFit="1" customWidth="1"/>
    <col min="7404" max="7404" width="9.109375" style="62" bestFit="1" customWidth="1"/>
    <col min="7405" max="7405" width="9.5546875" style="62" bestFit="1" customWidth="1"/>
    <col min="7406" max="7646" width="9.109375" style="62" bestFit="1" customWidth="1"/>
    <col min="7647" max="7647" width="1.88671875" style="62" customWidth="1"/>
    <col min="7648" max="7648" width="7.33203125" style="62" customWidth="1"/>
    <col min="7649" max="7649" width="9.88671875" style="62" customWidth="1"/>
    <col min="7650" max="7650" width="12.6640625" style="62" customWidth="1"/>
    <col min="7651" max="7651" width="11.109375" style="62" customWidth="1"/>
    <col min="7652" max="7652" width="10.88671875" style="62" customWidth="1"/>
    <col min="7653" max="7653" width="11.5546875" style="62" customWidth="1"/>
    <col min="7654" max="7654" width="13.44140625" style="62" customWidth="1"/>
    <col min="7655" max="7655" width="11.109375" style="62" customWidth="1"/>
    <col min="7656" max="7656" width="11.33203125" style="62" bestFit="1" customWidth="1"/>
    <col min="7657" max="7657" width="11.5546875" style="62" customWidth="1"/>
    <col min="7658" max="7658" width="8.88671875" style="62"/>
    <col min="7659" max="7659" width="9.88671875" style="62" bestFit="1" customWidth="1"/>
    <col min="7660" max="7660" width="9.109375" style="62" bestFit="1" customWidth="1"/>
    <col min="7661" max="7661" width="9.5546875" style="62" bestFit="1" customWidth="1"/>
    <col min="7662" max="7902" width="9.109375" style="62" bestFit="1" customWidth="1"/>
    <col min="7903" max="7903" width="1.88671875" style="62" customWidth="1"/>
    <col min="7904" max="7904" width="7.33203125" style="62" customWidth="1"/>
    <col min="7905" max="7905" width="9.88671875" style="62" customWidth="1"/>
    <col min="7906" max="7906" width="12.6640625" style="62" customWidth="1"/>
    <col min="7907" max="7907" width="11.109375" style="62" customWidth="1"/>
    <col min="7908" max="7908" width="10.88671875" style="62" customWidth="1"/>
    <col min="7909" max="7909" width="11.5546875" style="62" customWidth="1"/>
    <col min="7910" max="7910" width="13.44140625" style="62" customWidth="1"/>
    <col min="7911" max="7911" width="11.109375" style="62" customWidth="1"/>
    <col min="7912" max="7912" width="11.33203125" style="62" bestFit="1" customWidth="1"/>
    <col min="7913" max="7913" width="11.5546875" style="62" customWidth="1"/>
    <col min="7914" max="7914" width="8.88671875" style="62"/>
    <col min="7915" max="7915" width="9.88671875" style="62" bestFit="1" customWidth="1"/>
    <col min="7916" max="7916" width="9.109375" style="62" bestFit="1" customWidth="1"/>
    <col min="7917" max="7917" width="9.5546875" style="62" bestFit="1" customWidth="1"/>
    <col min="7918" max="8158" width="9.109375" style="62" bestFit="1" customWidth="1"/>
    <col min="8159" max="8159" width="1.88671875" style="62" customWidth="1"/>
    <col min="8160" max="8160" width="7.33203125" style="62" customWidth="1"/>
    <col min="8161" max="8161" width="9.88671875" style="62" customWidth="1"/>
    <col min="8162" max="8162" width="12.6640625" style="62" customWidth="1"/>
    <col min="8163" max="8163" width="11.109375" style="62" customWidth="1"/>
    <col min="8164" max="8164" width="10.88671875" style="62" customWidth="1"/>
    <col min="8165" max="8165" width="11.5546875" style="62" customWidth="1"/>
    <col min="8166" max="8166" width="13.44140625" style="62" customWidth="1"/>
    <col min="8167" max="8167" width="11.109375" style="62" customWidth="1"/>
    <col min="8168" max="8168" width="11.33203125" style="62" bestFit="1" customWidth="1"/>
    <col min="8169" max="8169" width="11.5546875" style="62" customWidth="1"/>
    <col min="8170" max="8170" width="8.88671875" style="62"/>
    <col min="8171" max="8171" width="9.88671875" style="62" bestFit="1" customWidth="1"/>
    <col min="8172" max="8172" width="9.109375" style="62" bestFit="1" customWidth="1"/>
    <col min="8173" max="8173" width="9.5546875" style="62" bestFit="1" customWidth="1"/>
    <col min="8174" max="8414" width="9.109375" style="62" bestFit="1" customWidth="1"/>
    <col min="8415" max="8415" width="1.88671875" style="62" customWidth="1"/>
    <col min="8416" max="8416" width="7.33203125" style="62" customWidth="1"/>
    <col min="8417" max="8417" width="9.88671875" style="62" customWidth="1"/>
    <col min="8418" max="8418" width="12.6640625" style="62" customWidth="1"/>
    <col min="8419" max="8419" width="11.109375" style="62" customWidth="1"/>
    <col min="8420" max="8420" width="10.88671875" style="62" customWidth="1"/>
    <col min="8421" max="8421" width="11.5546875" style="62" customWidth="1"/>
    <col min="8422" max="8422" width="13.44140625" style="62" customWidth="1"/>
    <col min="8423" max="8423" width="11.109375" style="62" customWidth="1"/>
    <col min="8424" max="8424" width="11.33203125" style="62" bestFit="1" customWidth="1"/>
    <col min="8425" max="8425" width="11.5546875" style="62" customWidth="1"/>
    <col min="8426" max="8426" width="8.88671875" style="62"/>
    <col min="8427" max="8427" width="9.88671875" style="62" bestFit="1" customWidth="1"/>
    <col min="8428" max="8428" width="9.109375" style="62" bestFit="1" customWidth="1"/>
    <col min="8429" max="8429" width="9.5546875" style="62" bestFit="1" customWidth="1"/>
    <col min="8430" max="8670" width="9.109375" style="62" bestFit="1" customWidth="1"/>
    <col min="8671" max="8671" width="1.88671875" style="62" customWidth="1"/>
    <col min="8672" max="8672" width="7.33203125" style="62" customWidth="1"/>
    <col min="8673" max="8673" width="9.88671875" style="62" customWidth="1"/>
    <col min="8674" max="8674" width="12.6640625" style="62" customWidth="1"/>
    <col min="8675" max="8675" width="11.109375" style="62" customWidth="1"/>
    <col min="8676" max="8676" width="10.88671875" style="62" customWidth="1"/>
    <col min="8677" max="8677" width="11.5546875" style="62" customWidth="1"/>
    <col min="8678" max="8678" width="13.44140625" style="62" customWidth="1"/>
    <col min="8679" max="8679" width="11.109375" style="62" customWidth="1"/>
    <col min="8680" max="8680" width="11.33203125" style="62" bestFit="1" customWidth="1"/>
    <col min="8681" max="8681" width="11.5546875" style="62" customWidth="1"/>
    <col min="8682" max="8682" width="8.88671875" style="62"/>
    <col min="8683" max="8683" width="9.88671875" style="62" bestFit="1" customWidth="1"/>
    <col min="8684" max="8684" width="9.109375" style="62" bestFit="1" customWidth="1"/>
    <col min="8685" max="8685" width="9.5546875" style="62" bestFit="1" customWidth="1"/>
    <col min="8686" max="8926" width="9.109375" style="62" bestFit="1" customWidth="1"/>
    <col min="8927" max="8927" width="1.88671875" style="62" customWidth="1"/>
    <col min="8928" max="8928" width="7.33203125" style="62" customWidth="1"/>
    <col min="8929" max="8929" width="9.88671875" style="62" customWidth="1"/>
    <col min="8930" max="8930" width="12.6640625" style="62" customWidth="1"/>
    <col min="8931" max="8931" width="11.109375" style="62" customWidth="1"/>
    <col min="8932" max="8932" width="10.88671875" style="62" customWidth="1"/>
    <col min="8933" max="8933" width="11.5546875" style="62" customWidth="1"/>
    <col min="8934" max="8934" width="13.44140625" style="62" customWidth="1"/>
    <col min="8935" max="8935" width="11.109375" style="62" customWidth="1"/>
    <col min="8936" max="8936" width="11.33203125" style="62" bestFit="1" customWidth="1"/>
    <col min="8937" max="8937" width="11.5546875" style="62" customWidth="1"/>
    <col min="8938" max="8938" width="8.88671875" style="62"/>
    <col min="8939" max="8939" width="9.88671875" style="62" bestFit="1" customWidth="1"/>
    <col min="8940" max="8940" width="9.109375" style="62" bestFit="1" customWidth="1"/>
    <col min="8941" max="8941" width="9.5546875" style="62" bestFit="1" customWidth="1"/>
    <col min="8942" max="9182" width="9.109375" style="62" bestFit="1" customWidth="1"/>
    <col min="9183" max="9183" width="1.88671875" style="62" customWidth="1"/>
    <col min="9184" max="9184" width="7.33203125" style="62" customWidth="1"/>
    <col min="9185" max="9185" width="9.88671875" style="62" customWidth="1"/>
    <col min="9186" max="9186" width="12.6640625" style="62" customWidth="1"/>
    <col min="9187" max="9187" width="11.109375" style="62" customWidth="1"/>
    <col min="9188" max="9188" width="10.88671875" style="62" customWidth="1"/>
    <col min="9189" max="9189" width="11.5546875" style="62" customWidth="1"/>
    <col min="9190" max="9190" width="13.44140625" style="62" customWidth="1"/>
    <col min="9191" max="9191" width="11.109375" style="62" customWidth="1"/>
    <col min="9192" max="9192" width="11.33203125" style="62" bestFit="1" customWidth="1"/>
    <col min="9193" max="9193" width="11.5546875" style="62" customWidth="1"/>
    <col min="9194" max="9194" width="8.88671875" style="62"/>
    <col min="9195" max="9195" width="9.88671875" style="62" bestFit="1" customWidth="1"/>
    <col min="9196" max="9196" width="9.109375" style="62" bestFit="1" customWidth="1"/>
    <col min="9197" max="9197" width="9.5546875" style="62" bestFit="1" customWidth="1"/>
    <col min="9198" max="9438" width="9.109375" style="62" bestFit="1" customWidth="1"/>
    <col min="9439" max="9439" width="1.88671875" style="62" customWidth="1"/>
    <col min="9440" max="9440" width="7.33203125" style="62" customWidth="1"/>
    <col min="9441" max="9441" width="9.88671875" style="62" customWidth="1"/>
    <col min="9442" max="9442" width="12.6640625" style="62" customWidth="1"/>
    <col min="9443" max="9443" width="11.109375" style="62" customWidth="1"/>
    <col min="9444" max="9444" width="10.88671875" style="62" customWidth="1"/>
    <col min="9445" max="9445" width="11.5546875" style="62" customWidth="1"/>
    <col min="9446" max="9446" width="13.44140625" style="62" customWidth="1"/>
    <col min="9447" max="9447" width="11.109375" style="62" customWidth="1"/>
    <col min="9448" max="9448" width="11.33203125" style="62" bestFit="1" customWidth="1"/>
    <col min="9449" max="9449" width="11.5546875" style="62" customWidth="1"/>
    <col min="9450" max="9450" width="8.88671875" style="62"/>
    <col min="9451" max="9451" width="9.88671875" style="62" bestFit="1" customWidth="1"/>
    <col min="9452" max="9452" width="9.109375" style="62" bestFit="1" customWidth="1"/>
    <col min="9453" max="9453" width="9.5546875" style="62" bestFit="1" customWidth="1"/>
    <col min="9454" max="9694" width="9.109375" style="62" bestFit="1" customWidth="1"/>
    <col min="9695" max="9695" width="1.88671875" style="62" customWidth="1"/>
    <col min="9696" max="9696" width="7.33203125" style="62" customWidth="1"/>
    <col min="9697" max="9697" width="9.88671875" style="62" customWidth="1"/>
    <col min="9698" max="9698" width="12.6640625" style="62" customWidth="1"/>
    <col min="9699" max="9699" width="11.109375" style="62" customWidth="1"/>
    <col min="9700" max="9700" width="10.88671875" style="62" customWidth="1"/>
    <col min="9701" max="9701" width="11.5546875" style="62" customWidth="1"/>
    <col min="9702" max="9702" width="13.44140625" style="62" customWidth="1"/>
    <col min="9703" max="9703" width="11.109375" style="62" customWidth="1"/>
    <col min="9704" max="9704" width="11.33203125" style="62" bestFit="1" customWidth="1"/>
    <col min="9705" max="9705" width="11.5546875" style="62" customWidth="1"/>
    <col min="9706" max="9706" width="8.88671875" style="62"/>
    <col min="9707" max="9707" width="9.88671875" style="62" bestFit="1" customWidth="1"/>
    <col min="9708" max="9708" width="9.109375" style="62" bestFit="1" customWidth="1"/>
    <col min="9709" max="9709" width="9.5546875" style="62" bestFit="1" customWidth="1"/>
    <col min="9710" max="9950" width="9.109375" style="62" bestFit="1" customWidth="1"/>
    <col min="9951" max="9951" width="1.88671875" style="62" customWidth="1"/>
    <col min="9952" max="9952" width="7.33203125" style="62" customWidth="1"/>
    <col min="9953" max="9953" width="9.88671875" style="62" customWidth="1"/>
    <col min="9954" max="9954" width="12.6640625" style="62" customWidth="1"/>
    <col min="9955" max="9955" width="11.109375" style="62" customWidth="1"/>
    <col min="9956" max="9956" width="10.88671875" style="62" customWidth="1"/>
    <col min="9957" max="9957" width="11.5546875" style="62" customWidth="1"/>
    <col min="9958" max="9958" width="13.44140625" style="62" customWidth="1"/>
    <col min="9959" max="9959" width="11.109375" style="62" customWidth="1"/>
    <col min="9960" max="9960" width="11.33203125" style="62" bestFit="1" customWidth="1"/>
    <col min="9961" max="9961" width="11.5546875" style="62" customWidth="1"/>
    <col min="9962" max="9962" width="8.88671875" style="62"/>
    <col min="9963" max="9963" width="9.88671875" style="62" bestFit="1" customWidth="1"/>
    <col min="9964" max="9964" width="9.109375" style="62" bestFit="1" customWidth="1"/>
    <col min="9965" max="9965" width="9.5546875" style="62" bestFit="1" customWidth="1"/>
    <col min="9966" max="10206" width="9.109375" style="62" bestFit="1" customWidth="1"/>
    <col min="10207" max="10207" width="1.88671875" style="62" customWidth="1"/>
    <col min="10208" max="10208" width="7.33203125" style="62" customWidth="1"/>
    <col min="10209" max="10209" width="9.88671875" style="62" customWidth="1"/>
    <col min="10210" max="10210" width="12.6640625" style="62" customWidth="1"/>
    <col min="10211" max="10211" width="11.109375" style="62" customWidth="1"/>
    <col min="10212" max="10212" width="10.88671875" style="62" customWidth="1"/>
    <col min="10213" max="10213" width="11.5546875" style="62" customWidth="1"/>
    <col min="10214" max="10214" width="13.44140625" style="62" customWidth="1"/>
    <col min="10215" max="10215" width="11.109375" style="62" customWidth="1"/>
    <col min="10216" max="10216" width="11.33203125" style="62" bestFit="1" customWidth="1"/>
    <col min="10217" max="10217" width="11.5546875" style="62" customWidth="1"/>
    <col min="10218" max="10218" width="8.88671875" style="62"/>
    <col min="10219" max="10219" width="9.88671875" style="62" bestFit="1" customWidth="1"/>
    <col min="10220" max="10220" width="9.109375" style="62" bestFit="1" customWidth="1"/>
    <col min="10221" max="10221" width="9.5546875" style="62" bestFit="1" customWidth="1"/>
    <col min="10222" max="10462" width="9.109375" style="62" bestFit="1" customWidth="1"/>
    <col min="10463" max="10463" width="1.88671875" style="62" customWidth="1"/>
    <col min="10464" max="10464" width="7.33203125" style="62" customWidth="1"/>
    <col min="10465" max="10465" width="9.88671875" style="62" customWidth="1"/>
    <col min="10466" max="10466" width="12.6640625" style="62" customWidth="1"/>
    <col min="10467" max="10467" width="11.109375" style="62" customWidth="1"/>
    <col min="10468" max="10468" width="10.88671875" style="62" customWidth="1"/>
    <col min="10469" max="10469" width="11.5546875" style="62" customWidth="1"/>
    <col min="10470" max="10470" width="13.44140625" style="62" customWidth="1"/>
    <col min="10471" max="10471" width="11.109375" style="62" customWidth="1"/>
    <col min="10472" max="10472" width="11.33203125" style="62" bestFit="1" customWidth="1"/>
    <col min="10473" max="10473" width="11.5546875" style="62" customWidth="1"/>
    <col min="10474" max="10474" width="8.88671875" style="62"/>
    <col min="10475" max="10475" width="9.88671875" style="62" bestFit="1" customWidth="1"/>
    <col min="10476" max="10476" width="9.109375" style="62" bestFit="1" customWidth="1"/>
    <col min="10477" max="10477" width="9.5546875" style="62" bestFit="1" customWidth="1"/>
    <col min="10478" max="10718" width="9.109375" style="62" bestFit="1" customWidth="1"/>
    <col min="10719" max="10719" width="1.88671875" style="62" customWidth="1"/>
    <col min="10720" max="10720" width="7.33203125" style="62" customWidth="1"/>
    <col min="10721" max="10721" width="9.88671875" style="62" customWidth="1"/>
    <col min="10722" max="10722" width="12.6640625" style="62" customWidth="1"/>
    <col min="10723" max="10723" width="11.109375" style="62" customWidth="1"/>
    <col min="10724" max="10724" width="10.88671875" style="62" customWidth="1"/>
    <col min="10725" max="10725" width="11.5546875" style="62" customWidth="1"/>
    <col min="10726" max="10726" width="13.44140625" style="62" customWidth="1"/>
    <col min="10727" max="10727" width="11.109375" style="62" customWidth="1"/>
    <col min="10728" max="10728" width="11.33203125" style="62" bestFit="1" customWidth="1"/>
    <col min="10729" max="10729" width="11.5546875" style="62" customWidth="1"/>
    <col min="10730" max="10730" width="8.88671875" style="62"/>
    <col min="10731" max="10731" width="9.88671875" style="62" bestFit="1" customWidth="1"/>
    <col min="10732" max="10732" width="9.109375" style="62" bestFit="1" customWidth="1"/>
    <col min="10733" max="10733" width="9.5546875" style="62" bestFit="1" customWidth="1"/>
    <col min="10734" max="10974" width="9.109375" style="62" bestFit="1" customWidth="1"/>
    <col min="10975" max="10975" width="1.88671875" style="62" customWidth="1"/>
    <col min="10976" max="10976" width="7.33203125" style="62" customWidth="1"/>
    <col min="10977" max="10977" width="9.88671875" style="62" customWidth="1"/>
    <col min="10978" max="10978" width="12.6640625" style="62" customWidth="1"/>
    <col min="10979" max="10979" width="11.109375" style="62" customWidth="1"/>
    <col min="10980" max="10980" width="10.88671875" style="62" customWidth="1"/>
    <col min="10981" max="10981" width="11.5546875" style="62" customWidth="1"/>
    <col min="10982" max="10982" width="13.44140625" style="62" customWidth="1"/>
    <col min="10983" max="10983" width="11.109375" style="62" customWidth="1"/>
    <col min="10984" max="10984" width="11.33203125" style="62" bestFit="1" customWidth="1"/>
    <col min="10985" max="10985" width="11.5546875" style="62" customWidth="1"/>
    <col min="10986" max="10986" width="8.88671875" style="62"/>
    <col min="10987" max="10987" width="9.88671875" style="62" bestFit="1" customWidth="1"/>
    <col min="10988" max="10988" width="9.109375" style="62" bestFit="1" customWidth="1"/>
    <col min="10989" max="10989" width="9.5546875" style="62" bestFit="1" customWidth="1"/>
    <col min="10990" max="11230" width="9.109375" style="62" bestFit="1" customWidth="1"/>
    <col min="11231" max="11231" width="1.88671875" style="62" customWidth="1"/>
    <col min="11232" max="11232" width="7.33203125" style="62" customWidth="1"/>
    <col min="11233" max="11233" width="9.88671875" style="62" customWidth="1"/>
    <col min="11234" max="11234" width="12.6640625" style="62" customWidth="1"/>
    <col min="11235" max="11235" width="11.109375" style="62" customWidth="1"/>
    <col min="11236" max="11236" width="10.88671875" style="62" customWidth="1"/>
    <col min="11237" max="11237" width="11.5546875" style="62" customWidth="1"/>
    <col min="11238" max="11238" width="13.44140625" style="62" customWidth="1"/>
    <col min="11239" max="11239" width="11.109375" style="62" customWidth="1"/>
    <col min="11240" max="11240" width="11.33203125" style="62" bestFit="1" customWidth="1"/>
    <col min="11241" max="11241" width="11.5546875" style="62" customWidth="1"/>
    <col min="11242" max="11242" width="8.88671875" style="62"/>
    <col min="11243" max="11243" width="9.88671875" style="62" bestFit="1" customWidth="1"/>
    <col min="11244" max="11244" width="9.109375" style="62" bestFit="1" customWidth="1"/>
    <col min="11245" max="11245" width="9.5546875" style="62" bestFit="1" customWidth="1"/>
    <col min="11246" max="11486" width="9.109375" style="62" bestFit="1" customWidth="1"/>
    <col min="11487" max="11487" width="1.88671875" style="62" customWidth="1"/>
    <col min="11488" max="11488" width="7.33203125" style="62" customWidth="1"/>
    <col min="11489" max="11489" width="9.88671875" style="62" customWidth="1"/>
    <col min="11490" max="11490" width="12.6640625" style="62" customWidth="1"/>
    <col min="11491" max="11491" width="11.109375" style="62" customWidth="1"/>
    <col min="11492" max="11492" width="10.88671875" style="62" customWidth="1"/>
    <col min="11493" max="11493" width="11.5546875" style="62" customWidth="1"/>
    <col min="11494" max="11494" width="13.44140625" style="62" customWidth="1"/>
    <col min="11495" max="11495" width="11.109375" style="62" customWidth="1"/>
    <col min="11496" max="11496" width="11.33203125" style="62" bestFit="1" customWidth="1"/>
    <col min="11497" max="11497" width="11.5546875" style="62" customWidth="1"/>
    <col min="11498" max="11498" width="8.88671875" style="62"/>
    <col min="11499" max="11499" width="9.88671875" style="62" bestFit="1" customWidth="1"/>
    <col min="11500" max="11500" width="9.109375" style="62" bestFit="1" customWidth="1"/>
    <col min="11501" max="11501" width="9.5546875" style="62" bestFit="1" customWidth="1"/>
    <col min="11502" max="11742" width="9.109375" style="62" bestFit="1" customWidth="1"/>
    <col min="11743" max="11743" width="1.88671875" style="62" customWidth="1"/>
    <col min="11744" max="11744" width="7.33203125" style="62" customWidth="1"/>
    <col min="11745" max="11745" width="9.88671875" style="62" customWidth="1"/>
    <col min="11746" max="11746" width="12.6640625" style="62" customWidth="1"/>
    <col min="11747" max="11747" width="11.109375" style="62" customWidth="1"/>
    <col min="11748" max="11748" width="10.88671875" style="62" customWidth="1"/>
    <col min="11749" max="11749" width="11.5546875" style="62" customWidth="1"/>
    <col min="11750" max="11750" width="13.44140625" style="62" customWidth="1"/>
    <col min="11751" max="11751" width="11.109375" style="62" customWidth="1"/>
    <col min="11752" max="11752" width="11.33203125" style="62" bestFit="1" customWidth="1"/>
    <col min="11753" max="11753" width="11.5546875" style="62" customWidth="1"/>
    <col min="11754" max="11754" width="8.88671875" style="62"/>
    <col min="11755" max="11755" width="9.88671875" style="62" bestFit="1" customWidth="1"/>
    <col min="11756" max="11756" width="9.109375" style="62" bestFit="1" customWidth="1"/>
    <col min="11757" max="11757" width="9.5546875" style="62" bestFit="1" customWidth="1"/>
    <col min="11758" max="11998" width="9.109375" style="62" bestFit="1" customWidth="1"/>
    <col min="11999" max="11999" width="1.88671875" style="62" customWidth="1"/>
    <col min="12000" max="12000" width="7.33203125" style="62" customWidth="1"/>
    <col min="12001" max="12001" width="9.88671875" style="62" customWidth="1"/>
    <col min="12002" max="12002" width="12.6640625" style="62" customWidth="1"/>
    <col min="12003" max="12003" width="11.109375" style="62" customWidth="1"/>
    <col min="12004" max="12004" width="10.88671875" style="62" customWidth="1"/>
    <col min="12005" max="12005" width="11.5546875" style="62" customWidth="1"/>
    <col min="12006" max="12006" width="13.44140625" style="62" customWidth="1"/>
    <col min="12007" max="12007" width="11.109375" style="62" customWidth="1"/>
    <col min="12008" max="12008" width="11.33203125" style="62" bestFit="1" customWidth="1"/>
    <col min="12009" max="12009" width="11.5546875" style="62" customWidth="1"/>
    <col min="12010" max="12010" width="8.88671875" style="62"/>
    <col min="12011" max="12011" width="9.88671875" style="62" bestFit="1" customWidth="1"/>
    <col min="12012" max="12012" width="9.109375" style="62" bestFit="1" customWidth="1"/>
    <col min="12013" max="12013" width="9.5546875" style="62" bestFit="1" customWidth="1"/>
    <col min="12014" max="12254" width="9.109375" style="62" bestFit="1" customWidth="1"/>
    <col min="12255" max="12255" width="1.88671875" style="62" customWidth="1"/>
    <col min="12256" max="12256" width="7.33203125" style="62" customWidth="1"/>
    <col min="12257" max="12257" width="9.88671875" style="62" customWidth="1"/>
    <col min="12258" max="12258" width="12.6640625" style="62" customWidth="1"/>
    <col min="12259" max="12259" width="11.109375" style="62" customWidth="1"/>
    <col min="12260" max="12260" width="10.88671875" style="62" customWidth="1"/>
    <col min="12261" max="12261" width="11.5546875" style="62" customWidth="1"/>
    <col min="12262" max="12262" width="13.44140625" style="62" customWidth="1"/>
    <col min="12263" max="12263" width="11.109375" style="62" customWidth="1"/>
    <col min="12264" max="12264" width="11.33203125" style="62" bestFit="1" customWidth="1"/>
    <col min="12265" max="12265" width="11.5546875" style="62" customWidth="1"/>
    <col min="12266" max="12266" width="8.88671875" style="62"/>
    <col min="12267" max="12267" width="9.88671875" style="62" bestFit="1" customWidth="1"/>
    <col min="12268" max="12268" width="9.109375" style="62" bestFit="1" customWidth="1"/>
    <col min="12269" max="12269" width="9.5546875" style="62" bestFit="1" customWidth="1"/>
    <col min="12270" max="12510" width="9.109375" style="62" bestFit="1" customWidth="1"/>
    <col min="12511" max="12511" width="1.88671875" style="62" customWidth="1"/>
    <col min="12512" max="12512" width="7.33203125" style="62" customWidth="1"/>
    <col min="12513" max="12513" width="9.88671875" style="62" customWidth="1"/>
    <col min="12514" max="12514" width="12.6640625" style="62" customWidth="1"/>
    <col min="12515" max="12515" width="11.109375" style="62" customWidth="1"/>
    <col min="12516" max="12516" width="10.88671875" style="62" customWidth="1"/>
    <col min="12517" max="12517" width="11.5546875" style="62" customWidth="1"/>
    <col min="12518" max="12518" width="13.44140625" style="62" customWidth="1"/>
    <col min="12519" max="12519" width="11.109375" style="62" customWidth="1"/>
    <col min="12520" max="12520" width="11.33203125" style="62" bestFit="1" customWidth="1"/>
    <col min="12521" max="12521" width="11.5546875" style="62" customWidth="1"/>
    <col min="12522" max="12522" width="8.88671875" style="62"/>
    <col min="12523" max="12523" width="9.88671875" style="62" bestFit="1" customWidth="1"/>
    <col min="12524" max="12524" width="9.109375" style="62" bestFit="1" customWidth="1"/>
    <col min="12525" max="12525" width="9.5546875" style="62" bestFit="1" customWidth="1"/>
    <col min="12526" max="12766" width="9.109375" style="62" bestFit="1" customWidth="1"/>
    <col min="12767" max="12767" width="1.88671875" style="62" customWidth="1"/>
    <col min="12768" max="12768" width="7.33203125" style="62" customWidth="1"/>
    <col min="12769" max="12769" width="9.88671875" style="62" customWidth="1"/>
    <col min="12770" max="12770" width="12.6640625" style="62" customWidth="1"/>
    <col min="12771" max="12771" width="11.109375" style="62" customWidth="1"/>
    <col min="12772" max="12772" width="10.88671875" style="62" customWidth="1"/>
    <col min="12773" max="12773" width="11.5546875" style="62" customWidth="1"/>
    <col min="12774" max="12774" width="13.44140625" style="62" customWidth="1"/>
    <col min="12775" max="12775" width="11.109375" style="62" customWidth="1"/>
    <col min="12776" max="12776" width="11.33203125" style="62" bestFit="1" customWidth="1"/>
    <col min="12777" max="12777" width="11.5546875" style="62" customWidth="1"/>
    <col min="12778" max="12778" width="8.88671875" style="62"/>
    <col min="12779" max="12779" width="9.88671875" style="62" bestFit="1" customWidth="1"/>
    <col min="12780" max="12780" width="9.109375" style="62" bestFit="1" customWidth="1"/>
    <col min="12781" max="12781" width="9.5546875" style="62" bestFit="1" customWidth="1"/>
    <col min="12782" max="13022" width="9.109375" style="62" bestFit="1" customWidth="1"/>
    <col min="13023" max="13023" width="1.88671875" style="62" customWidth="1"/>
    <col min="13024" max="13024" width="7.33203125" style="62" customWidth="1"/>
    <col min="13025" max="13025" width="9.88671875" style="62" customWidth="1"/>
    <col min="13026" max="13026" width="12.6640625" style="62" customWidth="1"/>
    <col min="13027" max="13027" width="11.109375" style="62" customWidth="1"/>
    <col min="13028" max="13028" width="10.88671875" style="62" customWidth="1"/>
    <col min="13029" max="13029" width="11.5546875" style="62" customWidth="1"/>
    <col min="13030" max="13030" width="13.44140625" style="62" customWidth="1"/>
    <col min="13031" max="13031" width="11.109375" style="62" customWidth="1"/>
    <col min="13032" max="13032" width="11.33203125" style="62" bestFit="1" customWidth="1"/>
    <col min="13033" max="13033" width="11.5546875" style="62" customWidth="1"/>
    <col min="13034" max="13034" width="8.88671875" style="62"/>
    <col min="13035" max="13035" width="9.88671875" style="62" bestFit="1" customWidth="1"/>
    <col min="13036" max="13036" width="9.109375" style="62" bestFit="1" customWidth="1"/>
    <col min="13037" max="13037" width="9.5546875" style="62" bestFit="1" customWidth="1"/>
    <col min="13038" max="13278" width="9.109375" style="62" bestFit="1" customWidth="1"/>
    <col min="13279" max="13279" width="1.88671875" style="62" customWidth="1"/>
    <col min="13280" max="13280" width="7.33203125" style="62" customWidth="1"/>
    <col min="13281" max="13281" width="9.88671875" style="62" customWidth="1"/>
    <col min="13282" max="13282" width="12.6640625" style="62" customWidth="1"/>
    <col min="13283" max="13283" width="11.109375" style="62" customWidth="1"/>
    <col min="13284" max="13284" width="10.88671875" style="62" customWidth="1"/>
    <col min="13285" max="13285" width="11.5546875" style="62" customWidth="1"/>
    <col min="13286" max="13286" width="13.44140625" style="62" customWidth="1"/>
    <col min="13287" max="13287" width="11.109375" style="62" customWidth="1"/>
    <col min="13288" max="13288" width="11.33203125" style="62" bestFit="1" customWidth="1"/>
    <col min="13289" max="13289" width="11.5546875" style="62" customWidth="1"/>
    <col min="13290" max="13290" width="8.88671875" style="62"/>
    <col min="13291" max="13291" width="9.88671875" style="62" bestFit="1" customWidth="1"/>
    <col min="13292" max="13292" width="9.109375" style="62" bestFit="1" customWidth="1"/>
    <col min="13293" max="13293" width="9.5546875" style="62" bestFit="1" customWidth="1"/>
    <col min="13294" max="13534" width="9.109375" style="62" bestFit="1" customWidth="1"/>
    <col min="13535" max="13535" width="1.88671875" style="62" customWidth="1"/>
    <col min="13536" max="13536" width="7.33203125" style="62" customWidth="1"/>
    <col min="13537" max="13537" width="9.88671875" style="62" customWidth="1"/>
    <col min="13538" max="13538" width="12.6640625" style="62" customWidth="1"/>
    <col min="13539" max="13539" width="11.109375" style="62" customWidth="1"/>
    <col min="13540" max="13540" width="10.88671875" style="62" customWidth="1"/>
    <col min="13541" max="13541" width="11.5546875" style="62" customWidth="1"/>
    <col min="13542" max="13542" width="13.44140625" style="62" customWidth="1"/>
    <col min="13543" max="13543" width="11.109375" style="62" customWidth="1"/>
    <col min="13544" max="13544" width="11.33203125" style="62" bestFit="1" customWidth="1"/>
    <col min="13545" max="13545" width="11.5546875" style="62" customWidth="1"/>
    <col min="13546" max="13546" width="8.88671875" style="62"/>
    <col min="13547" max="13547" width="9.88671875" style="62" bestFit="1" customWidth="1"/>
    <col min="13548" max="13548" width="9.109375" style="62" bestFit="1" customWidth="1"/>
    <col min="13549" max="13549" width="9.5546875" style="62" bestFit="1" customWidth="1"/>
    <col min="13550" max="13790" width="9.109375" style="62" bestFit="1" customWidth="1"/>
    <col min="13791" max="13791" width="1.88671875" style="62" customWidth="1"/>
    <col min="13792" max="13792" width="7.33203125" style="62" customWidth="1"/>
    <col min="13793" max="13793" width="9.88671875" style="62" customWidth="1"/>
    <col min="13794" max="13794" width="12.6640625" style="62" customWidth="1"/>
    <col min="13795" max="13795" width="11.109375" style="62" customWidth="1"/>
    <col min="13796" max="13796" width="10.88671875" style="62" customWidth="1"/>
    <col min="13797" max="13797" width="11.5546875" style="62" customWidth="1"/>
    <col min="13798" max="13798" width="13.44140625" style="62" customWidth="1"/>
    <col min="13799" max="13799" width="11.109375" style="62" customWidth="1"/>
    <col min="13800" max="13800" width="11.33203125" style="62" bestFit="1" customWidth="1"/>
    <col min="13801" max="13801" width="11.5546875" style="62" customWidth="1"/>
    <col min="13802" max="13802" width="8.88671875" style="62"/>
    <col min="13803" max="13803" width="9.88671875" style="62" bestFit="1" customWidth="1"/>
    <col min="13804" max="13804" width="9.109375" style="62" bestFit="1" customWidth="1"/>
    <col min="13805" max="13805" width="9.5546875" style="62" bestFit="1" customWidth="1"/>
    <col min="13806" max="14046" width="9.109375" style="62" bestFit="1" customWidth="1"/>
    <col min="14047" max="14047" width="1.88671875" style="62" customWidth="1"/>
    <col min="14048" max="14048" width="7.33203125" style="62" customWidth="1"/>
    <col min="14049" max="14049" width="9.88671875" style="62" customWidth="1"/>
    <col min="14050" max="14050" width="12.6640625" style="62" customWidth="1"/>
    <col min="14051" max="14051" width="11.109375" style="62" customWidth="1"/>
    <col min="14052" max="14052" width="10.88671875" style="62" customWidth="1"/>
    <col min="14053" max="14053" width="11.5546875" style="62" customWidth="1"/>
    <col min="14054" max="14054" width="13.44140625" style="62" customWidth="1"/>
    <col min="14055" max="14055" width="11.109375" style="62" customWidth="1"/>
    <col min="14056" max="14056" width="11.33203125" style="62" bestFit="1" customWidth="1"/>
    <col min="14057" max="14057" width="11.5546875" style="62" customWidth="1"/>
    <col min="14058" max="14058" width="8.88671875" style="62"/>
    <col min="14059" max="14059" width="9.88671875" style="62" bestFit="1" customWidth="1"/>
    <col min="14060" max="14060" width="9.109375" style="62" bestFit="1" customWidth="1"/>
    <col min="14061" max="14061" width="9.5546875" style="62" bestFit="1" customWidth="1"/>
    <col min="14062" max="14302" width="9.109375" style="62" bestFit="1" customWidth="1"/>
    <col min="14303" max="14303" width="1.88671875" style="62" customWidth="1"/>
    <col min="14304" max="14304" width="7.33203125" style="62" customWidth="1"/>
    <col min="14305" max="14305" width="9.88671875" style="62" customWidth="1"/>
    <col min="14306" max="14306" width="12.6640625" style="62" customWidth="1"/>
    <col min="14307" max="14307" width="11.109375" style="62" customWidth="1"/>
    <col min="14308" max="14308" width="10.88671875" style="62" customWidth="1"/>
    <col min="14309" max="14309" width="11.5546875" style="62" customWidth="1"/>
    <col min="14310" max="14310" width="13.44140625" style="62" customWidth="1"/>
    <col min="14311" max="14311" width="11.109375" style="62" customWidth="1"/>
    <col min="14312" max="14312" width="11.33203125" style="62" bestFit="1" customWidth="1"/>
    <col min="14313" max="14313" width="11.5546875" style="62" customWidth="1"/>
    <col min="14314" max="14314" width="8.88671875" style="62"/>
    <col min="14315" max="14315" width="9.88671875" style="62" bestFit="1" customWidth="1"/>
    <col min="14316" max="14316" width="9.109375" style="62" bestFit="1" customWidth="1"/>
    <col min="14317" max="14317" width="9.5546875" style="62" bestFit="1" customWidth="1"/>
    <col min="14318" max="14558" width="9.109375" style="62" bestFit="1" customWidth="1"/>
    <col min="14559" max="14559" width="1.88671875" style="62" customWidth="1"/>
    <col min="14560" max="14560" width="7.33203125" style="62" customWidth="1"/>
    <col min="14561" max="14561" width="9.88671875" style="62" customWidth="1"/>
    <col min="14562" max="14562" width="12.6640625" style="62" customWidth="1"/>
    <col min="14563" max="14563" width="11.109375" style="62" customWidth="1"/>
    <col min="14564" max="14564" width="10.88671875" style="62" customWidth="1"/>
    <col min="14565" max="14565" width="11.5546875" style="62" customWidth="1"/>
    <col min="14566" max="14566" width="13.44140625" style="62" customWidth="1"/>
    <col min="14567" max="14567" width="11.109375" style="62" customWidth="1"/>
    <col min="14568" max="14568" width="11.33203125" style="62" bestFit="1" customWidth="1"/>
    <col min="14569" max="14569" width="11.5546875" style="62" customWidth="1"/>
    <col min="14570" max="14570" width="8.88671875" style="62"/>
    <col min="14571" max="14571" width="9.88671875" style="62" bestFit="1" customWidth="1"/>
    <col min="14572" max="14572" width="9.109375" style="62" bestFit="1" customWidth="1"/>
    <col min="14573" max="14573" width="9.5546875" style="62" bestFit="1" customWidth="1"/>
    <col min="14574" max="14814" width="9.109375" style="62" bestFit="1" customWidth="1"/>
    <col min="14815" max="14815" width="1.88671875" style="62" customWidth="1"/>
    <col min="14816" max="14816" width="7.33203125" style="62" customWidth="1"/>
    <col min="14817" max="14817" width="9.88671875" style="62" customWidth="1"/>
    <col min="14818" max="14818" width="12.6640625" style="62" customWidth="1"/>
    <col min="14819" max="14819" width="11.109375" style="62" customWidth="1"/>
    <col min="14820" max="14820" width="10.88671875" style="62" customWidth="1"/>
    <col min="14821" max="14821" width="11.5546875" style="62" customWidth="1"/>
    <col min="14822" max="14822" width="13.44140625" style="62" customWidth="1"/>
    <col min="14823" max="14823" width="11.109375" style="62" customWidth="1"/>
    <col min="14824" max="14824" width="11.33203125" style="62" bestFit="1" customWidth="1"/>
    <col min="14825" max="14825" width="11.5546875" style="62" customWidth="1"/>
    <col min="14826" max="14826" width="8.88671875" style="62"/>
    <col min="14827" max="14827" width="9.88671875" style="62" bestFit="1" customWidth="1"/>
    <col min="14828" max="14828" width="9.109375" style="62" bestFit="1" customWidth="1"/>
    <col min="14829" max="14829" width="9.5546875" style="62" bestFit="1" customWidth="1"/>
    <col min="14830" max="15070" width="9.109375" style="62" bestFit="1" customWidth="1"/>
    <col min="15071" max="15071" width="1.88671875" style="62" customWidth="1"/>
    <col min="15072" max="15072" width="7.33203125" style="62" customWidth="1"/>
    <col min="15073" max="15073" width="9.88671875" style="62" customWidth="1"/>
    <col min="15074" max="15074" width="12.6640625" style="62" customWidth="1"/>
    <col min="15075" max="15075" width="11.109375" style="62" customWidth="1"/>
    <col min="15076" max="15076" width="10.88671875" style="62" customWidth="1"/>
    <col min="15077" max="15077" width="11.5546875" style="62" customWidth="1"/>
    <col min="15078" max="15078" width="13.44140625" style="62" customWidth="1"/>
    <col min="15079" max="15079" width="11.109375" style="62" customWidth="1"/>
    <col min="15080" max="15080" width="11.33203125" style="62" bestFit="1" customWidth="1"/>
    <col min="15081" max="15081" width="11.5546875" style="62" customWidth="1"/>
    <col min="15082" max="15082" width="8.88671875" style="62"/>
    <col min="15083" max="15083" width="9.88671875" style="62" bestFit="1" customWidth="1"/>
    <col min="15084" max="15084" width="9.109375" style="62" bestFit="1" customWidth="1"/>
    <col min="15085" max="15085" width="9.5546875" style="62" bestFit="1" customWidth="1"/>
    <col min="15086" max="15326" width="9.109375" style="62" bestFit="1" customWidth="1"/>
    <col min="15327" max="15327" width="1.88671875" style="62" customWidth="1"/>
    <col min="15328" max="15328" width="7.33203125" style="62" customWidth="1"/>
    <col min="15329" max="15329" width="9.88671875" style="62" customWidth="1"/>
    <col min="15330" max="15330" width="12.6640625" style="62" customWidth="1"/>
    <col min="15331" max="15331" width="11.109375" style="62" customWidth="1"/>
    <col min="15332" max="15332" width="10.88671875" style="62" customWidth="1"/>
    <col min="15333" max="15333" width="11.5546875" style="62" customWidth="1"/>
    <col min="15334" max="15334" width="13.44140625" style="62" customWidth="1"/>
    <col min="15335" max="15335" width="11.109375" style="62" customWidth="1"/>
    <col min="15336" max="15336" width="11.33203125" style="62" bestFit="1" customWidth="1"/>
    <col min="15337" max="15337" width="11.5546875" style="62" customWidth="1"/>
    <col min="15338" max="15338" width="8.88671875" style="62"/>
    <col min="15339" max="15339" width="9.88671875" style="62" bestFit="1" customWidth="1"/>
    <col min="15340" max="15340" width="9.109375" style="62" bestFit="1" customWidth="1"/>
    <col min="15341" max="15341" width="9.5546875" style="62" bestFit="1" customWidth="1"/>
    <col min="15342" max="15582" width="9.109375" style="62" bestFit="1" customWidth="1"/>
    <col min="15583" max="15583" width="1.88671875" style="62" customWidth="1"/>
    <col min="15584" max="15584" width="7.33203125" style="62" customWidth="1"/>
    <col min="15585" max="15585" width="9.88671875" style="62" customWidth="1"/>
    <col min="15586" max="15586" width="12.6640625" style="62" customWidth="1"/>
    <col min="15587" max="15587" width="11.109375" style="62" customWidth="1"/>
    <col min="15588" max="15588" width="10.88671875" style="62" customWidth="1"/>
    <col min="15589" max="15589" width="11.5546875" style="62" customWidth="1"/>
    <col min="15590" max="15590" width="13.44140625" style="62" customWidth="1"/>
    <col min="15591" max="15591" width="11.109375" style="62" customWidth="1"/>
    <col min="15592" max="15592" width="11.33203125" style="62" bestFit="1" customWidth="1"/>
    <col min="15593" max="15593" width="11.5546875" style="62" customWidth="1"/>
    <col min="15594" max="15594" width="8.88671875" style="62"/>
    <col min="15595" max="15595" width="9.88671875" style="62" bestFit="1" customWidth="1"/>
    <col min="15596" max="15596" width="9.109375" style="62" bestFit="1" customWidth="1"/>
    <col min="15597" max="15597" width="9.5546875" style="62" bestFit="1" customWidth="1"/>
    <col min="15598" max="15838" width="9.109375" style="62" bestFit="1" customWidth="1"/>
    <col min="15839" max="15839" width="1.88671875" style="62" customWidth="1"/>
    <col min="15840" max="15840" width="7.33203125" style="62" customWidth="1"/>
    <col min="15841" max="15841" width="9.88671875" style="62" customWidth="1"/>
    <col min="15842" max="15842" width="12.6640625" style="62" customWidth="1"/>
    <col min="15843" max="15843" width="11.109375" style="62" customWidth="1"/>
    <col min="15844" max="15844" width="10.88671875" style="62" customWidth="1"/>
    <col min="15845" max="15845" width="11.5546875" style="62" customWidth="1"/>
    <col min="15846" max="15846" width="13.44140625" style="62" customWidth="1"/>
    <col min="15847" max="15847" width="11.109375" style="62" customWidth="1"/>
    <col min="15848" max="15848" width="11.33203125" style="62" bestFit="1" customWidth="1"/>
    <col min="15849" max="15849" width="11.5546875" style="62" customWidth="1"/>
    <col min="15850" max="15850" width="8.88671875" style="62"/>
    <col min="15851" max="15851" width="9.88671875" style="62" bestFit="1" customWidth="1"/>
    <col min="15852" max="15852" width="9.109375" style="62" bestFit="1" customWidth="1"/>
    <col min="15853" max="15853" width="9.5546875" style="62" bestFit="1" customWidth="1"/>
    <col min="15854" max="16094" width="9.109375" style="62" bestFit="1" customWidth="1"/>
    <col min="16095" max="16095" width="1.88671875" style="62" customWidth="1"/>
    <col min="16096" max="16096" width="7.33203125" style="62" customWidth="1"/>
    <col min="16097" max="16097" width="9.88671875" style="62" customWidth="1"/>
    <col min="16098" max="16098" width="12.6640625" style="62" customWidth="1"/>
    <col min="16099" max="16099" width="11.109375" style="62" customWidth="1"/>
    <col min="16100" max="16100" width="10.88671875" style="62" customWidth="1"/>
    <col min="16101" max="16101" width="11.5546875" style="62" customWidth="1"/>
    <col min="16102" max="16102" width="13.44140625" style="62" customWidth="1"/>
    <col min="16103" max="16103" width="11.109375" style="62" customWidth="1"/>
    <col min="16104" max="16104" width="11.33203125" style="62" bestFit="1" customWidth="1"/>
    <col min="16105" max="16105" width="11.5546875" style="62" customWidth="1"/>
    <col min="16106" max="16106" width="8.88671875" style="62"/>
    <col min="16107" max="16107" width="9.88671875" style="62" bestFit="1" customWidth="1"/>
    <col min="16108" max="16108" width="9.109375" style="62" bestFit="1" customWidth="1"/>
    <col min="16109" max="16109" width="9.5546875" style="62" bestFit="1" customWidth="1"/>
    <col min="16110" max="16384" width="8.88671875" style="62"/>
  </cols>
  <sheetData>
    <row r="1" spans="1:7" ht="17.399999999999999" customHeight="1" x14ac:dyDescent="0.3">
      <c r="A1" s="321" t="s">
        <v>433</v>
      </c>
      <c r="B1" s="322"/>
      <c r="C1" s="322"/>
      <c r="D1" s="323"/>
    </row>
    <row r="2" spans="1:7" ht="13.8" customHeight="1" x14ac:dyDescent="0.3">
      <c r="A2" s="324" t="s">
        <v>434</v>
      </c>
      <c r="B2" s="325"/>
      <c r="C2" s="325"/>
      <c r="D2" s="326"/>
    </row>
    <row r="3" spans="1:7" ht="13.8" customHeight="1" thickBot="1" x14ac:dyDescent="0.35">
      <c r="A3" s="327" t="s">
        <v>41</v>
      </c>
      <c r="B3" s="328"/>
      <c r="C3" s="328"/>
      <c r="D3" s="329"/>
    </row>
    <row r="5" spans="1:7" x14ac:dyDescent="0.3">
      <c r="A5" s="339" t="s">
        <v>585</v>
      </c>
      <c r="B5" s="339"/>
      <c r="C5" s="339"/>
      <c r="D5" s="339"/>
      <c r="G5" s="77"/>
    </row>
    <row r="6" spans="1:7" ht="13.8" thickBot="1" x14ac:dyDescent="0.35">
      <c r="A6" s="330"/>
      <c r="B6" s="330"/>
      <c r="C6" s="330"/>
      <c r="D6" s="330"/>
    </row>
    <row r="7" spans="1:7" ht="13.8" thickBot="1" x14ac:dyDescent="0.35">
      <c r="A7" s="331" t="s">
        <v>138</v>
      </c>
      <c r="B7" s="332"/>
      <c r="C7" s="332"/>
      <c r="D7" s="333"/>
    </row>
    <row r="8" spans="1:7" x14ac:dyDescent="0.3">
      <c r="A8" s="63" t="s">
        <v>139</v>
      </c>
      <c r="B8" s="64" t="s">
        <v>140</v>
      </c>
      <c r="C8" s="65"/>
      <c r="D8" s="66"/>
    </row>
    <row r="9" spans="1:7" x14ac:dyDescent="0.3">
      <c r="A9" s="67" t="s">
        <v>141</v>
      </c>
      <c r="B9" s="68" t="s">
        <v>142</v>
      </c>
      <c r="C9" s="69"/>
      <c r="D9" s="70"/>
    </row>
    <row r="10" spans="1:7" x14ac:dyDescent="0.3">
      <c r="A10" s="67" t="s">
        <v>143</v>
      </c>
      <c r="B10" s="68" t="s">
        <v>144</v>
      </c>
      <c r="C10" s="69"/>
      <c r="D10" s="70"/>
    </row>
    <row r="11" spans="1:7" ht="13.8" thickBot="1" x14ac:dyDescent="0.35">
      <c r="A11" s="71" t="s">
        <v>145</v>
      </c>
      <c r="B11" s="72" t="s">
        <v>146</v>
      </c>
      <c r="C11" s="73"/>
      <c r="D11" s="74"/>
    </row>
    <row r="12" spans="1:7" ht="13.8" thickBot="1" x14ac:dyDescent="0.35">
      <c r="A12" s="75"/>
      <c r="B12" s="76"/>
      <c r="D12" s="78"/>
    </row>
    <row r="13" spans="1:7" ht="13.8" thickBot="1" x14ac:dyDescent="0.35">
      <c r="A13" s="331" t="s">
        <v>147</v>
      </c>
      <c r="B13" s="332"/>
      <c r="C13" s="332"/>
      <c r="D13" s="333"/>
    </row>
    <row r="14" spans="1:7" x14ac:dyDescent="0.3">
      <c r="A14" s="63" t="s">
        <v>148</v>
      </c>
      <c r="B14" s="64" t="s">
        <v>149</v>
      </c>
      <c r="C14" s="79"/>
      <c r="D14" s="180">
        <v>44391</v>
      </c>
    </row>
    <row r="15" spans="1:7" x14ac:dyDescent="0.3">
      <c r="A15" s="67" t="s">
        <v>150</v>
      </c>
      <c r="B15" s="68" t="s">
        <v>151</v>
      </c>
      <c r="C15" s="80"/>
      <c r="D15" s="81" t="str">
        <f>'ENCARREGADO '!D15</f>
        <v>Mossoró/RN</v>
      </c>
    </row>
    <row r="16" spans="1:7" x14ac:dyDescent="0.3">
      <c r="A16" s="67" t="s">
        <v>152</v>
      </c>
      <c r="B16" s="68" t="s">
        <v>153</v>
      </c>
      <c r="C16" s="80"/>
      <c r="D16" s="81" t="s">
        <v>154</v>
      </c>
    </row>
    <row r="17" spans="1:5" x14ac:dyDescent="0.3">
      <c r="A17" s="67" t="s">
        <v>155</v>
      </c>
      <c r="B17" s="68" t="s">
        <v>156</v>
      </c>
      <c r="C17" s="334" t="s">
        <v>157</v>
      </c>
      <c r="D17" s="335"/>
    </row>
    <row r="18" spans="1:5" x14ac:dyDescent="0.3">
      <c r="A18" s="67" t="s">
        <v>158</v>
      </c>
      <c r="B18" s="68" t="s">
        <v>159</v>
      </c>
      <c r="C18" s="82"/>
      <c r="D18" s="83" t="s">
        <v>160</v>
      </c>
    </row>
    <row r="19" spans="1:5" ht="13.8" thickBot="1" x14ac:dyDescent="0.35">
      <c r="A19" s="71" t="s">
        <v>161</v>
      </c>
      <c r="B19" s="84" t="s">
        <v>162</v>
      </c>
      <c r="C19" s="85"/>
      <c r="D19" s="86">
        <v>1045</v>
      </c>
    </row>
    <row r="20" spans="1:5" ht="13.8" thickBot="1" x14ac:dyDescent="0.35">
      <c r="D20" s="78"/>
    </row>
    <row r="21" spans="1:5" ht="13.8" thickBot="1" x14ac:dyDescent="0.35">
      <c r="A21" s="336" t="s">
        <v>163</v>
      </c>
      <c r="B21" s="337"/>
      <c r="C21" s="337"/>
      <c r="D21" s="338"/>
      <c r="E21" s="87"/>
    </row>
    <row r="22" spans="1:5" ht="26.4" x14ac:dyDescent="0.3">
      <c r="A22" s="67" t="s">
        <v>164</v>
      </c>
      <c r="B22" s="320" t="s">
        <v>165</v>
      </c>
      <c r="C22" s="320"/>
      <c r="D22" s="61" t="s">
        <v>276</v>
      </c>
    </row>
    <row r="23" spans="1:5" ht="13.8" x14ac:dyDescent="0.3">
      <c r="A23" s="67" t="s">
        <v>167</v>
      </c>
      <c r="B23" s="320" t="s">
        <v>168</v>
      </c>
      <c r="C23" s="320"/>
      <c r="D23" s="88" t="s">
        <v>137</v>
      </c>
      <c r="E23" s="89"/>
    </row>
    <row r="24" spans="1:5" x14ac:dyDescent="0.25">
      <c r="A24" s="67" t="s">
        <v>169</v>
      </c>
      <c r="B24" s="320" t="s">
        <v>170</v>
      </c>
      <c r="C24" s="320"/>
      <c r="D24" s="171">
        <v>1093.82</v>
      </c>
      <c r="E24" s="192"/>
    </row>
    <row r="25" spans="1:5" x14ac:dyDescent="0.3">
      <c r="A25" s="67" t="s">
        <v>171</v>
      </c>
      <c r="B25" s="320" t="s">
        <v>172</v>
      </c>
      <c r="C25" s="320"/>
      <c r="D25" s="177">
        <v>44391</v>
      </c>
    </row>
    <row r="26" spans="1:5" x14ac:dyDescent="0.3">
      <c r="A26" s="67" t="s">
        <v>173</v>
      </c>
      <c r="B26" s="320" t="s">
        <v>174</v>
      </c>
      <c r="C26" s="320"/>
      <c r="D26" s="178">
        <v>44391</v>
      </c>
    </row>
    <row r="27" spans="1:5" x14ac:dyDescent="0.3">
      <c r="A27" s="67" t="s">
        <v>175</v>
      </c>
      <c r="B27" s="320" t="s">
        <v>176</v>
      </c>
      <c r="C27" s="320"/>
      <c r="D27" s="179">
        <v>44391</v>
      </c>
    </row>
    <row r="28" spans="1:5" x14ac:dyDescent="0.3">
      <c r="A28" s="67" t="s">
        <v>177</v>
      </c>
      <c r="B28" s="320" t="s">
        <v>178</v>
      </c>
      <c r="C28" s="342"/>
      <c r="D28" s="91" t="s">
        <v>179</v>
      </c>
    </row>
    <row r="29" spans="1:5" x14ac:dyDescent="0.3">
      <c r="A29" s="67" t="s">
        <v>180</v>
      </c>
      <c r="B29" s="320" t="s">
        <v>181</v>
      </c>
      <c r="C29" s="342"/>
      <c r="D29" s="92">
        <v>1</v>
      </c>
    </row>
    <row r="30" spans="1:5" x14ac:dyDescent="0.3">
      <c r="A30" s="67" t="s">
        <v>182</v>
      </c>
      <c r="B30" s="320" t="s">
        <v>183</v>
      </c>
      <c r="C30" s="320"/>
      <c r="D30" s="92">
        <v>1</v>
      </c>
    </row>
    <row r="31" spans="1:5" ht="13.8" thickBot="1" x14ac:dyDescent="0.35">
      <c r="A31" s="71" t="s">
        <v>184</v>
      </c>
      <c r="B31" s="343" t="s">
        <v>296</v>
      </c>
      <c r="C31" s="343"/>
      <c r="D31" s="93">
        <f>D29*D30</f>
        <v>1</v>
      </c>
    </row>
    <row r="32" spans="1:5" ht="13.8" thickBot="1" x14ac:dyDescent="0.35">
      <c r="A32" s="94"/>
      <c r="B32" s="95"/>
      <c r="C32" s="95"/>
      <c r="D32" s="96"/>
    </row>
    <row r="33" spans="1:5" x14ac:dyDescent="0.3">
      <c r="A33" s="344" t="s">
        <v>8</v>
      </c>
      <c r="B33" s="345"/>
      <c r="C33" s="345"/>
      <c r="D33" s="346"/>
    </row>
    <row r="34" spans="1:5" x14ac:dyDescent="0.3">
      <c r="A34" s="347" t="s">
        <v>185</v>
      </c>
      <c r="B34" s="348"/>
      <c r="C34" s="349"/>
      <c r="D34" s="97" t="s">
        <v>186</v>
      </c>
    </row>
    <row r="35" spans="1:5" x14ac:dyDescent="0.3">
      <c r="A35" s="98" t="s">
        <v>187</v>
      </c>
      <c r="B35" s="350" t="s">
        <v>188</v>
      </c>
      <c r="C35" s="350"/>
      <c r="D35" s="176">
        <f>D24</f>
        <v>1093.82</v>
      </c>
      <c r="E35" s="99"/>
    </row>
    <row r="36" spans="1:5" x14ac:dyDescent="0.3">
      <c r="A36" s="98" t="s">
        <v>189</v>
      </c>
      <c r="B36" s="100" t="s">
        <v>190</v>
      </c>
      <c r="C36" s="101">
        <f>IF(D35="","",((D19)*(40%)))</f>
        <v>418</v>
      </c>
      <c r="D36" s="102">
        <f>IF(D35=0,"",IF(C36&gt;C37,C36,0))</f>
        <v>418</v>
      </c>
      <c r="E36" s="99"/>
    </row>
    <row r="37" spans="1:5" x14ac:dyDescent="0.3">
      <c r="A37" s="98" t="s">
        <v>191</v>
      </c>
      <c r="B37" s="103" t="s">
        <v>192</v>
      </c>
      <c r="C37" s="101">
        <f>D35*0.2</f>
        <v>218.76400000000001</v>
      </c>
      <c r="D37" s="102">
        <f>IF(C37&gt;C36,C37,0)</f>
        <v>0</v>
      </c>
      <c r="E37" s="99"/>
    </row>
    <row r="38" spans="1:5" ht="13.8" thickBot="1" x14ac:dyDescent="0.35">
      <c r="A38" s="351" t="s">
        <v>9</v>
      </c>
      <c r="B38" s="352"/>
      <c r="C38" s="352"/>
      <c r="D38" s="104">
        <f>SUM(D35:D37)</f>
        <v>1511.82</v>
      </c>
      <c r="E38" s="105"/>
    </row>
    <row r="39" spans="1:5" ht="13.8" thickBot="1" x14ac:dyDescent="0.35">
      <c r="A39" s="106"/>
      <c r="B39" s="106"/>
      <c r="C39" s="106"/>
      <c r="D39" s="106"/>
    </row>
    <row r="40" spans="1:5" x14ac:dyDescent="0.3">
      <c r="A40" s="344" t="s">
        <v>193</v>
      </c>
      <c r="B40" s="345"/>
      <c r="C40" s="345"/>
      <c r="D40" s="346"/>
    </row>
    <row r="41" spans="1:5" x14ac:dyDescent="0.3">
      <c r="A41" s="340" t="s">
        <v>194</v>
      </c>
      <c r="B41" s="341"/>
      <c r="C41" s="107" t="s">
        <v>195</v>
      </c>
      <c r="D41" s="108" t="s">
        <v>7</v>
      </c>
    </row>
    <row r="42" spans="1:5" x14ac:dyDescent="0.3">
      <c r="A42" s="67" t="s">
        <v>187</v>
      </c>
      <c r="B42" s="109" t="s">
        <v>263</v>
      </c>
      <c r="C42" s="110">
        <v>8.3299999999999999E-2</v>
      </c>
      <c r="D42" s="111">
        <f>(D38)*($C$42)</f>
        <v>125.93460599999999</v>
      </c>
    </row>
    <row r="43" spans="1:5" x14ac:dyDescent="0.3">
      <c r="A43" s="67" t="s">
        <v>189</v>
      </c>
      <c r="B43" s="109" t="s">
        <v>196</v>
      </c>
      <c r="C43" s="110">
        <f>12.1%-C86</f>
        <v>0.11899999999999999</v>
      </c>
      <c r="D43" s="111">
        <f>(D38)*($C$43)</f>
        <v>179.90657999999999</v>
      </c>
      <c r="E43" s="105"/>
    </row>
    <row r="44" spans="1:5" x14ac:dyDescent="0.3">
      <c r="A44" s="353" t="s">
        <v>197</v>
      </c>
      <c r="B44" s="354"/>
      <c r="C44" s="112">
        <f>SUM(C42:C43)</f>
        <v>0.20229999999999998</v>
      </c>
      <c r="D44" s="113">
        <f>SUM(D42:D43)</f>
        <v>305.84118599999999</v>
      </c>
    </row>
    <row r="45" spans="1:5" x14ac:dyDescent="0.3">
      <c r="A45" s="340" t="s">
        <v>198</v>
      </c>
      <c r="B45" s="341"/>
      <c r="C45" s="107" t="s">
        <v>195</v>
      </c>
      <c r="D45" s="114" t="s">
        <v>7</v>
      </c>
    </row>
    <row r="46" spans="1:5" x14ac:dyDescent="0.3">
      <c r="A46" s="67" t="s">
        <v>187</v>
      </c>
      <c r="B46" s="115" t="s">
        <v>264</v>
      </c>
      <c r="C46" s="267">
        <v>0.2</v>
      </c>
      <c r="D46" s="111">
        <f t="shared" ref="D46:D53" si="0">($D$38+$D$44)*(C46)</f>
        <v>363.5322372</v>
      </c>
    </row>
    <row r="47" spans="1:5" x14ac:dyDescent="0.3">
      <c r="A47" s="67" t="s">
        <v>189</v>
      </c>
      <c r="B47" s="115" t="s">
        <v>265</v>
      </c>
      <c r="C47" s="266">
        <v>2.5000000000000001E-2</v>
      </c>
      <c r="D47" s="111">
        <f t="shared" si="0"/>
        <v>45.44152965</v>
      </c>
    </row>
    <row r="48" spans="1:5" x14ac:dyDescent="0.3">
      <c r="A48" s="67" t="s">
        <v>199</v>
      </c>
      <c r="B48" s="115" t="s">
        <v>266</v>
      </c>
      <c r="C48" s="167">
        <v>0.06</v>
      </c>
      <c r="D48" s="111">
        <f t="shared" si="0"/>
        <v>109.05967115999998</v>
      </c>
      <c r="E48" s="116"/>
    </row>
    <row r="49" spans="1:5" x14ac:dyDescent="0.3">
      <c r="A49" s="67" t="s">
        <v>200</v>
      </c>
      <c r="B49" s="115" t="s">
        <v>267</v>
      </c>
      <c r="C49" s="266">
        <v>1.4999999999999999E-2</v>
      </c>
      <c r="D49" s="111">
        <f t="shared" si="0"/>
        <v>27.264917789999995</v>
      </c>
    </row>
    <row r="50" spans="1:5" x14ac:dyDescent="0.3">
      <c r="A50" s="67" t="s">
        <v>201</v>
      </c>
      <c r="B50" s="115" t="s">
        <v>268</v>
      </c>
      <c r="C50" s="266">
        <v>0.01</v>
      </c>
      <c r="D50" s="111">
        <f t="shared" si="0"/>
        <v>18.176611859999998</v>
      </c>
    </row>
    <row r="51" spans="1:5" x14ac:dyDescent="0.3">
      <c r="A51" s="67" t="s">
        <v>202</v>
      </c>
      <c r="B51" s="117" t="s">
        <v>269</v>
      </c>
      <c r="C51" s="266">
        <v>6.0000000000000001E-3</v>
      </c>
      <c r="D51" s="111">
        <f t="shared" si="0"/>
        <v>10.905967115999999</v>
      </c>
    </row>
    <row r="52" spans="1:5" x14ac:dyDescent="0.3">
      <c r="A52" s="67" t="s">
        <v>203</v>
      </c>
      <c r="B52" s="115" t="s">
        <v>270</v>
      </c>
      <c r="C52" s="266">
        <v>2E-3</v>
      </c>
      <c r="D52" s="111">
        <f t="shared" si="0"/>
        <v>3.6353223719999996</v>
      </c>
    </row>
    <row r="53" spans="1:5" x14ac:dyDescent="0.3">
      <c r="A53" s="67" t="s">
        <v>204</v>
      </c>
      <c r="B53" s="115" t="s">
        <v>271</v>
      </c>
      <c r="C53" s="266">
        <v>0.08</v>
      </c>
      <c r="D53" s="111">
        <f t="shared" si="0"/>
        <v>145.41289487999998</v>
      </c>
      <c r="E53" s="105"/>
    </row>
    <row r="54" spans="1:5" x14ac:dyDescent="0.3">
      <c r="A54" s="353" t="s">
        <v>205</v>
      </c>
      <c r="B54" s="354"/>
      <c r="C54" s="118">
        <f>SUM(C46:C53)</f>
        <v>0.39800000000000008</v>
      </c>
      <c r="D54" s="119">
        <f>SUM(D46:D53)</f>
        <v>723.42915202799998</v>
      </c>
    </row>
    <row r="55" spans="1:5" x14ac:dyDescent="0.3">
      <c r="A55" s="340" t="s">
        <v>11</v>
      </c>
      <c r="B55" s="341"/>
      <c r="C55" s="120" t="s">
        <v>206</v>
      </c>
      <c r="D55" s="97" t="s">
        <v>7</v>
      </c>
    </row>
    <row r="56" spans="1:5" x14ac:dyDescent="0.25">
      <c r="A56" s="67" t="s">
        <v>187</v>
      </c>
      <c r="B56" s="121" t="s">
        <v>207</v>
      </c>
      <c r="C56" s="173">
        <f>'ENCARREGADO '!C56</f>
        <v>6.6</v>
      </c>
      <c r="D56" s="122">
        <f>IF((C56*22)-(D35*6%)&lt;0,0,(C56*22)-(D35*6%))</f>
        <v>79.570799999999991</v>
      </c>
      <c r="E56" s="1" t="s">
        <v>278</v>
      </c>
    </row>
    <row r="57" spans="1:5" x14ac:dyDescent="0.25">
      <c r="A57" s="67" t="s">
        <v>189</v>
      </c>
      <c r="B57" s="121" t="s">
        <v>208</v>
      </c>
      <c r="C57" s="173">
        <f>'ENCARREGADO '!C57</f>
        <v>8.35</v>
      </c>
      <c r="D57" s="123">
        <f>(C57)*22</f>
        <v>183.7</v>
      </c>
      <c r="E57" s="1" t="s">
        <v>279</v>
      </c>
    </row>
    <row r="58" spans="1:5" x14ac:dyDescent="0.25">
      <c r="A58" s="67" t="s">
        <v>307</v>
      </c>
      <c r="B58" s="121" t="s">
        <v>308</v>
      </c>
      <c r="C58" s="174">
        <v>4.21</v>
      </c>
      <c r="D58" s="123">
        <f>(C58)*22</f>
        <v>92.62</v>
      </c>
      <c r="E58" s="191" t="s">
        <v>309</v>
      </c>
    </row>
    <row r="59" spans="1:5" x14ac:dyDescent="0.25">
      <c r="A59" s="67" t="s">
        <v>199</v>
      </c>
      <c r="B59" s="121" t="s">
        <v>209</v>
      </c>
      <c r="C59" s="175">
        <v>11.13</v>
      </c>
      <c r="D59" s="123">
        <f>($C$59)</f>
        <v>11.13</v>
      </c>
      <c r="E59" s="1" t="s">
        <v>280</v>
      </c>
    </row>
    <row r="60" spans="1:5" x14ac:dyDescent="0.3">
      <c r="A60" s="67" t="s">
        <v>200</v>
      </c>
      <c r="B60" s="121" t="s">
        <v>210</v>
      </c>
      <c r="C60" s="175">
        <v>0</v>
      </c>
      <c r="D60" s="123">
        <f>($C$60)</f>
        <v>0</v>
      </c>
      <c r="E60" s="124"/>
    </row>
    <row r="61" spans="1:5" x14ac:dyDescent="0.3">
      <c r="A61" s="67" t="s">
        <v>201</v>
      </c>
      <c r="B61" s="121" t="s">
        <v>211</v>
      </c>
      <c r="C61" s="175">
        <v>0</v>
      </c>
      <c r="D61" s="123">
        <f>$C$61</f>
        <v>0</v>
      </c>
      <c r="E61" s="125"/>
    </row>
    <row r="62" spans="1:5" x14ac:dyDescent="0.3">
      <c r="A62" s="67" t="s">
        <v>212</v>
      </c>
      <c r="B62" s="121" t="s">
        <v>213</v>
      </c>
      <c r="C62" s="175">
        <v>0</v>
      </c>
      <c r="D62" s="123">
        <f>$C$62</f>
        <v>0</v>
      </c>
      <c r="E62" s="124"/>
    </row>
    <row r="63" spans="1:5" x14ac:dyDescent="0.3">
      <c r="A63" s="355" t="s">
        <v>214</v>
      </c>
      <c r="B63" s="356"/>
      <c r="C63" s="126"/>
      <c r="D63" s="127">
        <f>SUM(D56:D62)</f>
        <v>367.02080000000001</v>
      </c>
    </row>
    <row r="64" spans="1:5" hidden="1" x14ac:dyDescent="0.3">
      <c r="A64" s="347" t="s">
        <v>215</v>
      </c>
      <c r="B64" s="349"/>
      <c r="C64" s="107" t="s">
        <v>216</v>
      </c>
      <c r="D64" s="97" t="s">
        <v>7</v>
      </c>
    </row>
    <row r="65" spans="1:4" hidden="1" x14ac:dyDescent="0.3">
      <c r="A65" s="67" t="s">
        <v>187</v>
      </c>
      <c r="B65" s="109" t="s">
        <v>217</v>
      </c>
      <c r="C65" s="128">
        <v>0</v>
      </c>
      <c r="D65" s="129">
        <f>(D38/220)*150%*0.5*C65</f>
        <v>0</v>
      </c>
    </row>
    <row r="66" spans="1:4" ht="13.8" hidden="1" thickBot="1" x14ac:dyDescent="0.35">
      <c r="A66" s="357" t="s">
        <v>218</v>
      </c>
      <c r="B66" s="358"/>
      <c r="C66" s="130"/>
      <c r="D66" s="131">
        <f>D65</f>
        <v>0</v>
      </c>
    </row>
    <row r="67" spans="1:4" x14ac:dyDescent="0.3">
      <c r="A67" s="359" t="s">
        <v>219</v>
      </c>
      <c r="B67" s="360"/>
      <c r="C67" s="341"/>
      <c r="D67" s="361"/>
    </row>
    <row r="68" spans="1:4" ht="39.6" x14ac:dyDescent="0.3">
      <c r="A68" s="132" t="s">
        <v>220</v>
      </c>
      <c r="B68" s="362" t="s">
        <v>221</v>
      </c>
      <c r="C68" s="362"/>
      <c r="D68" s="133">
        <f>(D44)</f>
        <v>305.84118599999999</v>
      </c>
    </row>
    <row r="69" spans="1:4" ht="39.6" x14ac:dyDescent="0.3">
      <c r="A69" s="132" t="s">
        <v>222</v>
      </c>
      <c r="B69" s="362" t="s">
        <v>223</v>
      </c>
      <c r="C69" s="362"/>
      <c r="D69" s="133">
        <f>(D54)</f>
        <v>723.42915202799998</v>
      </c>
    </row>
    <row r="70" spans="1:4" ht="39.6" x14ac:dyDescent="0.3">
      <c r="A70" s="132" t="s">
        <v>224</v>
      </c>
      <c r="B70" s="362" t="s">
        <v>14</v>
      </c>
      <c r="C70" s="362"/>
      <c r="D70" s="133">
        <f>(D63)</f>
        <v>367.02080000000001</v>
      </c>
    </row>
    <row r="71" spans="1:4" ht="26.4" x14ac:dyDescent="0.3">
      <c r="A71" s="132" t="s">
        <v>54</v>
      </c>
      <c r="B71" s="362" t="s">
        <v>225</v>
      </c>
      <c r="C71" s="363"/>
      <c r="D71" s="133">
        <f>D66</f>
        <v>0</v>
      </c>
    </row>
    <row r="72" spans="1:4" ht="13.8" thickBot="1" x14ac:dyDescent="0.35">
      <c r="A72" s="357" t="s">
        <v>15</v>
      </c>
      <c r="B72" s="364"/>
      <c r="C72" s="364"/>
      <c r="D72" s="134">
        <f>SUM(D68:D71)</f>
        <v>1396.291138028</v>
      </c>
    </row>
    <row r="73" spans="1:4" ht="13.8" thickBot="1" x14ac:dyDescent="0.35">
      <c r="A73" s="135"/>
      <c r="B73" s="135"/>
      <c r="C73" s="135"/>
      <c r="D73" s="135"/>
    </row>
    <row r="74" spans="1:4" x14ac:dyDescent="0.3">
      <c r="A74" s="344" t="s">
        <v>226</v>
      </c>
      <c r="B74" s="345"/>
      <c r="C74" s="345"/>
      <c r="D74" s="346"/>
    </row>
    <row r="75" spans="1:4" x14ac:dyDescent="0.3">
      <c r="A75" s="340" t="s">
        <v>227</v>
      </c>
      <c r="B75" s="341"/>
      <c r="C75" s="107" t="s">
        <v>195</v>
      </c>
      <c r="D75" s="97" t="s">
        <v>7</v>
      </c>
    </row>
    <row r="76" spans="1:4" x14ac:dyDescent="0.3">
      <c r="A76" s="67" t="s">
        <v>187</v>
      </c>
      <c r="B76" s="109" t="s">
        <v>228</v>
      </c>
      <c r="C76" s="136">
        <v>4.1999999999999997E-3</v>
      </c>
      <c r="D76" s="137">
        <f t="shared" ref="D76:D81" si="1">($D$38)*(C76)</f>
        <v>6.3496439999999996</v>
      </c>
    </row>
    <row r="77" spans="1:4" x14ac:dyDescent="0.3">
      <c r="A77" s="67" t="s">
        <v>189</v>
      </c>
      <c r="B77" s="109" t="s">
        <v>16</v>
      </c>
      <c r="C77" s="136">
        <f>($C$53)*(C76)</f>
        <v>3.3599999999999998E-4</v>
      </c>
      <c r="D77" s="137">
        <f t="shared" si="1"/>
        <v>0.5079715199999999</v>
      </c>
    </row>
    <row r="78" spans="1:4" x14ac:dyDescent="0.3">
      <c r="A78" s="67" t="s">
        <v>199</v>
      </c>
      <c r="B78" s="109" t="s">
        <v>229</v>
      </c>
      <c r="C78" s="136">
        <v>3.9199999999999999E-2</v>
      </c>
      <c r="D78" s="137">
        <f t="shared" si="1"/>
        <v>59.263343999999996</v>
      </c>
    </row>
    <row r="79" spans="1:4" x14ac:dyDescent="0.3">
      <c r="A79" s="67" t="s">
        <v>200</v>
      </c>
      <c r="B79" s="109" t="s">
        <v>272</v>
      </c>
      <c r="C79" s="136">
        <v>1.9400000000000001E-2</v>
      </c>
      <c r="D79" s="137">
        <f t="shared" si="1"/>
        <v>29.329308000000001</v>
      </c>
    </row>
    <row r="80" spans="1:4" x14ac:dyDescent="0.3">
      <c r="A80" s="67" t="s">
        <v>201</v>
      </c>
      <c r="B80" s="109" t="s">
        <v>230</v>
      </c>
      <c r="C80" s="136">
        <f>($C$54)*(C79)</f>
        <v>7.7212000000000018E-3</v>
      </c>
      <c r="D80" s="137">
        <f t="shared" si="1"/>
        <v>11.673064584000002</v>
      </c>
    </row>
    <row r="81" spans="1:5" x14ac:dyDescent="0.3">
      <c r="A81" s="67" t="s">
        <v>202</v>
      </c>
      <c r="B81" s="109" t="s">
        <v>231</v>
      </c>
      <c r="C81" s="136">
        <v>8.0000000000000004E-4</v>
      </c>
      <c r="D81" s="137">
        <f t="shared" si="1"/>
        <v>1.2094560000000001</v>
      </c>
    </row>
    <row r="82" spans="1:5" ht="13.8" thickBot="1" x14ac:dyDescent="0.35">
      <c r="A82" s="357" t="s">
        <v>17</v>
      </c>
      <c r="B82" s="364"/>
      <c r="C82" s="138">
        <f>SUM(C76:C81)</f>
        <v>7.165719999999999E-2</v>
      </c>
      <c r="D82" s="134">
        <f>SUM(D76:D81)</f>
        <v>108.332788104</v>
      </c>
    </row>
    <row r="83" spans="1:5" ht="13.8" thickBot="1" x14ac:dyDescent="0.35">
      <c r="A83" s="135"/>
      <c r="B83" s="116"/>
      <c r="C83" s="116"/>
      <c r="D83" s="116"/>
    </row>
    <row r="84" spans="1:5" x14ac:dyDescent="0.3">
      <c r="A84" s="344" t="s">
        <v>232</v>
      </c>
      <c r="B84" s="345"/>
      <c r="C84" s="345"/>
      <c r="D84" s="346"/>
    </row>
    <row r="85" spans="1:5" x14ac:dyDescent="0.3">
      <c r="A85" s="347" t="s">
        <v>18</v>
      </c>
      <c r="B85" s="348"/>
      <c r="C85" s="107" t="s">
        <v>195</v>
      </c>
      <c r="D85" s="97" t="s">
        <v>7</v>
      </c>
    </row>
    <row r="86" spans="1:5" x14ac:dyDescent="0.3">
      <c r="A86" s="67" t="s">
        <v>187</v>
      </c>
      <c r="B86" s="109" t="s">
        <v>233</v>
      </c>
      <c r="C86" s="172">
        <f>'ENCARREGADO '!C86</f>
        <v>2E-3</v>
      </c>
      <c r="D86" s="137">
        <f>($D$38+$D$44+$D$54+$D$63+$D$82)*(C86)</f>
        <v>6.0328878522639995</v>
      </c>
      <c r="E86" s="139"/>
    </row>
    <row r="87" spans="1:5" x14ac:dyDescent="0.3">
      <c r="A87" s="67" t="s">
        <v>189</v>
      </c>
      <c r="B87" s="109" t="s">
        <v>234</v>
      </c>
      <c r="C87" s="172">
        <f>'ENCARREGADO '!C87</f>
        <v>2.7000000000000001E-3</v>
      </c>
      <c r="D87" s="137">
        <f>($D$38+$D$44+$D$54+$D$63+$D$82)*(C87)</f>
        <v>8.1443986005564</v>
      </c>
    </row>
    <row r="88" spans="1:5" x14ac:dyDescent="0.3">
      <c r="A88" s="67" t="s">
        <v>199</v>
      </c>
      <c r="B88" s="109" t="s">
        <v>235</v>
      </c>
      <c r="C88" s="172">
        <f>'ENCARREGADO '!C88</f>
        <v>2.0000000000000001E-4</v>
      </c>
      <c r="D88" s="137">
        <f>($D$38+$D$44+$D$54+$D$63+$D$82)*(C88)</f>
        <v>0.60328878522640006</v>
      </c>
    </row>
    <row r="89" spans="1:5" x14ac:dyDescent="0.3">
      <c r="A89" s="67" t="s">
        <v>200</v>
      </c>
      <c r="B89" s="109" t="s">
        <v>236</v>
      </c>
      <c r="C89" s="172">
        <f>'ENCARREGADO '!C89</f>
        <v>3.3E-3</v>
      </c>
      <c r="D89" s="137">
        <f>($D$38+$D$44+$D$54+$D$63+$D$82)*(C89)</f>
        <v>9.9542649562355994</v>
      </c>
    </row>
    <row r="90" spans="1:5" x14ac:dyDescent="0.3">
      <c r="A90" s="67" t="s">
        <v>201</v>
      </c>
      <c r="B90" s="140" t="s">
        <v>237</v>
      </c>
      <c r="C90" s="172">
        <f>'ENCARREGADO '!C90</f>
        <v>5.0000000000000001E-4</v>
      </c>
      <c r="D90" s="137">
        <f>($D$38+$D$44+$D$54+$D$63+$D$82)*(C90)</f>
        <v>1.5082219630659999</v>
      </c>
    </row>
    <row r="91" spans="1:5" x14ac:dyDescent="0.3">
      <c r="A91" s="355" t="s">
        <v>238</v>
      </c>
      <c r="B91" s="356"/>
      <c r="C91" s="141">
        <f>SUM(C86:C90)</f>
        <v>8.6999999999999994E-3</v>
      </c>
      <c r="D91" s="142">
        <f>SUM(D86:D90)</f>
        <v>26.243062157348398</v>
      </c>
    </row>
    <row r="92" spans="1:5" x14ac:dyDescent="0.3">
      <c r="A92" s="347" t="s">
        <v>20</v>
      </c>
      <c r="B92" s="348"/>
      <c r="C92" s="107"/>
      <c r="D92" s="97" t="s">
        <v>7</v>
      </c>
    </row>
    <row r="93" spans="1:5" x14ac:dyDescent="0.3">
      <c r="A93" s="67" t="s">
        <v>187</v>
      </c>
      <c r="B93" s="109" t="s">
        <v>21</v>
      </c>
      <c r="C93" s="143"/>
      <c r="D93" s="144"/>
    </row>
    <row r="94" spans="1:5" ht="13.8" thickBot="1" x14ac:dyDescent="0.35">
      <c r="A94" s="357" t="s">
        <v>239</v>
      </c>
      <c r="B94" s="364"/>
      <c r="C94" s="130"/>
      <c r="D94" s="131">
        <f>D93</f>
        <v>0</v>
      </c>
    </row>
    <row r="95" spans="1:5" x14ac:dyDescent="0.3">
      <c r="A95" s="367" t="s">
        <v>240</v>
      </c>
      <c r="B95" s="368"/>
      <c r="C95" s="368"/>
      <c r="D95" s="369"/>
    </row>
    <row r="96" spans="1:5" ht="39.6" x14ac:dyDescent="0.3">
      <c r="A96" s="132" t="s">
        <v>241</v>
      </c>
      <c r="B96" s="370" t="s">
        <v>19</v>
      </c>
      <c r="C96" s="371"/>
      <c r="D96" s="133">
        <f>(D91)</f>
        <v>26.243062157348398</v>
      </c>
    </row>
    <row r="97" spans="1:5" x14ac:dyDescent="0.3">
      <c r="A97" s="67" t="s">
        <v>242</v>
      </c>
      <c r="B97" s="372" t="s">
        <v>21</v>
      </c>
      <c r="C97" s="373"/>
      <c r="D97" s="137">
        <f>D94</f>
        <v>0</v>
      </c>
    </row>
    <row r="98" spans="1:5" ht="13.8" thickBot="1" x14ac:dyDescent="0.35">
      <c r="A98" s="357" t="s">
        <v>25</v>
      </c>
      <c r="B98" s="364"/>
      <c r="C98" s="358"/>
      <c r="D98" s="134">
        <f>SUM(D96:D97)</f>
        <v>26.243062157348398</v>
      </c>
    </row>
    <row r="99" spans="1:5" ht="13.8" thickBot="1" x14ac:dyDescent="0.35">
      <c r="A99" s="135"/>
      <c r="B99" s="135"/>
      <c r="C99" s="135"/>
      <c r="D99" s="135"/>
    </row>
    <row r="100" spans="1:5" x14ac:dyDescent="0.3">
      <c r="A100" s="344" t="s">
        <v>243</v>
      </c>
      <c r="B100" s="345"/>
      <c r="C100" s="345"/>
      <c r="D100" s="346"/>
    </row>
    <row r="101" spans="1:5" x14ac:dyDescent="0.3">
      <c r="A101" s="340" t="s">
        <v>244</v>
      </c>
      <c r="B101" s="341"/>
      <c r="C101" s="341"/>
      <c r="D101" s="97" t="s">
        <v>7</v>
      </c>
    </row>
    <row r="102" spans="1:5" x14ac:dyDescent="0.3">
      <c r="A102" s="67" t="s">
        <v>187</v>
      </c>
      <c r="B102" s="145" t="s">
        <v>27</v>
      </c>
      <c r="C102" s="146"/>
      <c r="D102" s="170">
        <f>'ENCARREGADO '!D102</f>
        <v>3.09</v>
      </c>
    </row>
    <row r="103" spans="1:5" x14ac:dyDescent="0.3">
      <c r="A103" s="67" t="s">
        <v>245</v>
      </c>
      <c r="B103" s="145" t="s">
        <v>26</v>
      </c>
      <c r="C103" s="146"/>
      <c r="D103" s="170">
        <f>'ENCARREGADO '!D103</f>
        <v>28.445833333333336</v>
      </c>
    </row>
    <row r="104" spans="1:5" x14ac:dyDescent="0.3">
      <c r="A104" s="67" t="s">
        <v>199</v>
      </c>
      <c r="B104" s="145" t="s">
        <v>27</v>
      </c>
      <c r="C104" s="146"/>
      <c r="D104" s="171">
        <v>36.39</v>
      </c>
      <c r="E104" s="62" t="s">
        <v>297</v>
      </c>
    </row>
    <row r="105" spans="1:5" x14ac:dyDescent="0.3">
      <c r="A105" s="67" t="s">
        <v>200</v>
      </c>
      <c r="B105" s="145" t="s">
        <v>28</v>
      </c>
      <c r="C105" s="146"/>
      <c r="D105" s="171">
        <v>117.38</v>
      </c>
      <c r="E105" s="62" t="s">
        <v>285</v>
      </c>
    </row>
    <row r="106" spans="1:5" x14ac:dyDescent="0.3">
      <c r="A106" s="67" t="s">
        <v>199</v>
      </c>
      <c r="B106" s="145" t="s">
        <v>29</v>
      </c>
      <c r="C106" s="146"/>
      <c r="D106" s="171">
        <v>171.87</v>
      </c>
      <c r="E106" s="62" t="s">
        <v>286</v>
      </c>
    </row>
    <row r="107" spans="1:5" ht="13.8" thickBot="1" x14ac:dyDescent="0.35">
      <c r="A107" s="357" t="s">
        <v>30</v>
      </c>
      <c r="B107" s="358"/>
      <c r="C107" s="147">
        <f>C102</f>
        <v>0</v>
      </c>
      <c r="D107" s="148">
        <f>SUM(D102:D106)</f>
        <v>357.17583333333334</v>
      </c>
    </row>
    <row r="108" spans="1:5" ht="13.8" thickBot="1" x14ac:dyDescent="0.35">
      <c r="A108" s="149"/>
      <c r="B108" s="150"/>
      <c r="C108" s="150"/>
      <c r="D108" s="151"/>
    </row>
    <row r="109" spans="1:5" x14ac:dyDescent="0.3">
      <c r="A109" s="374" t="s">
        <v>246</v>
      </c>
      <c r="B109" s="375"/>
      <c r="C109" s="375"/>
      <c r="D109" s="376"/>
    </row>
    <row r="110" spans="1:5" x14ac:dyDescent="0.3">
      <c r="A110" s="365" t="s">
        <v>247</v>
      </c>
      <c r="B110" s="366"/>
      <c r="C110" s="107" t="s">
        <v>195</v>
      </c>
      <c r="D110" s="152" t="s">
        <v>7</v>
      </c>
    </row>
    <row r="111" spans="1:5" x14ac:dyDescent="0.3">
      <c r="A111" s="67" t="s">
        <v>187</v>
      </c>
      <c r="B111" s="153" t="s">
        <v>31</v>
      </c>
      <c r="C111" s="110"/>
      <c r="D111" s="137">
        <f>SUM(D112:D113)</f>
        <v>407.98353859472178</v>
      </c>
      <c r="E111" s="154"/>
    </row>
    <row r="112" spans="1:5" x14ac:dyDescent="0.3">
      <c r="A112" s="67"/>
      <c r="B112" s="153" t="s">
        <v>262</v>
      </c>
      <c r="C112" s="167">
        <f>'ENCARREGADO '!C112</f>
        <v>0.12</v>
      </c>
      <c r="D112" s="137">
        <f>(D38+D72+D82+D98+D107)*C112</f>
        <v>407.98353859472178</v>
      </c>
      <c r="E112" s="154"/>
    </row>
    <row r="113" spans="1:5" ht="26.4" x14ac:dyDescent="0.3">
      <c r="A113" s="67"/>
      <c r="B113" s="153" t="s">
        <v>439</v>
      </c>
      <c r="C113" s="110"/>
      <c r="D113" s="169"/>
      <c r="E113" s="62" t="str">
        <f>'ENCARREGADO '!E113</f>
        <v>Memória de cálculo na C141</v>
      </c>
    </row>
    <row r="114" spans="1:5" x14ac:dyDescent="0.3">
      <c r="A114" s="67" t="s">
        <v>189</v>
      </c>
      <c r="B114" s="153" t="s">
        <v>32</v>
      </c>
      <c r="C114" s="167">
        <f>'ENCARREGADO '!C114</f>
        <v>0.1</v>
      </c>
      <c r="D114" s="137">
        <f>(D38+D72+D82+D98+D107+D111)*C114</f>
        <v>380.78463602174037</v>
      </c>
      <c r="E114" s="154"/>
    </row>
    <row r="115" spans="1:5" x14ac:dyDescent="0.3">
      <c r="A115" s="379" t="s">
        <v>199</v>
      </c>
      <c r="B115" s="117" t="s">
        <v>248</v>
      </c>
      <c r="C115" s="155">
        <f>C116+C117+C120</f>
        <v>0.14250000000000002</v>
      </c>
      <c r="D115" s="156"/>
    </row>
    <row r="116" spans="1:5" x14ac:dyDescent="0.3">
      <c r="A116" s="379"/>
      <c r="B116" s="157" t="s">
        <v>249</v>
      </c>
      <c r="C116" s="167">
        <f>'ENCARREGADO '!C116</f>
        <v>1.6500000000000001E-2</v>
      </c>
      <c r="D116" s="137">
        <f>((D38+D72+D82+D98+D107+D111+D114)/(1-C115))*C116</f>
        <v>80.597564359120554</v>
      </c>
    </row>
    <row r="117" spans="1:5" x14ac:dyDescent="0.3">
      <c r="A117" s="379"/>
      <c r="B117" s="157" t="s">
        <v>250</v>
      </c>
      <c r="C117" s="167">
        <f>'ENCARREGADO '!C117</f>
        <v>7.5999999999999998E-2</v>
      </c>
      <c r="D117" s="137">
        <f>((D38+D72+D82+D98+D107+D111+D114)/(1-C115))*C117</f>
        <v>371.23726613897952</v>
      </c>
    </row>
    <row r="118" spans="1:5" x14ac:dyDescent="0.3">
      <c r="A118" s="379"/>
      <c r="B118" s="117" t="s">
        <v>251</v>
      </c>
      <c r="C118" s="167">
        <f>'ENCARREGADO '!C118</f>
        <v>0</v>
      </c>
      <c r="D118" s="137"/>
    </row>
    <row r="119" spans="1:5" x14ac:dyDescent="0.3">
      <c r="A119" s="379"/>
      <c r="B119" s="117" t="s">
        <v>252</v>
      </c>
      <c r="C119" s="167">
        <f>'ENCARREGADO '!C119</f>
        <v>0</v>
      </c>
      <c r="D119" s="137"/>
    </row>
    <row r="120" spans="1:5" x14ac:dyDescent="0.3">
      <c r="A120" s="379"/>
      <c r="B120" s="157" t="s">
        <v>253</v>
      </c>
      <c r="C120" s="167">
        <f>'ENCARREGADO '!C120</f>
        <v>0.05</v>
      </c>
      <c r="D120" s="137">
        <f>((D38+D72+D82+D98+D107+D111+D114)/(1-C115))*C120</f>
        <v>244.23504351248653</v>
      </c>
    </row>
    <row r="121" spans="1:5" ht="13.8" thickBot="1" x14ac:dyDescent="0.35">
      <c r="A121" s="357" t="s">
        <v>37</v>
      </c>
      <c r="B121" s="364"/>
      <c r="C121" s="158">
        <f>C112+C114+C116+C117+C120</f>
        <v>0.36249999999999999</v>
      </c>
      <c r="D121" s="131">
        <f>SUM(D111,D114,D116:D117,D120)</f>
        <v>1484.8380486270487</v>
      </c>
    </row>
    <row r="122" spans="1:5" ht="13.8" thickBot="1" x14ac:dyDescent="0.35">
      <c r="A122" s="135"/>
      <c r="B122" s="135"/>
      <c r="C122" s="135"/>
      <c r="D122" s="135"/>
    </row>
    <row r="123" spans="1:5" x14ac:dyDescent="0.3">
      <c r="A123" s="344" t="s">
        <v>254</v>
      </c>
      <c r="B123" s="345"/>
      <c r="C123" s="345"/>
      <c r="D123" s="346"/>
    </row>
    <row r="124" spans="1:5" x14ac:dyDescent="0.3">
      <c r="A124" s="340" t="s">
        <v>255</v>
      </c>
      <c r="B124" s="341"/>
      <c r="C124" s="341"/>
      <c r="D124" s="159" t="s">
        <v>7</v>
      </c>
    </row>
    <row r="125" spans="1:5" x14ac:dyDescent="0.3">
      <c r="A125" s="67" t="s">
        <v>187</v>
      </c>
      <c r="B125" s="363" t="s">
        <v>256</v>
      </c>
      <c r="C125" s="380"/>
      <c r="D125" s="160">
        <f>(D38)</f>
        <v>1511.82</v>
      </c>
    </row>
    <row r="126" spans="1:5" x14ac:dyDescent="0.3">
      <c r="A126" s="67" t="s">
        <v>189</v>
      </c>
      <c r="B126" s="363" t="s">
        <v>12</v>
      </c>
      <c r="C126" s="380"/>
      <c r="D126" s="144">
        <f>(D72)</f>
        <v>1396.291138028</v>
      </c>
    </row>
    <row r="127" spans="1:5" x14ac:dyDescent="0.3">
      <c r="A127" s="67" t="s">
        <v>199</v>
      </c>
      <c r="B127" s="363" t="s">
        <v>257</v>
      </c>
      <c r="C127" s="380"/>
      <c r="D127" s="144">
        <f>(D82)</f>
        <v>108.332788104</v>
      </c>
    </row>
    <row r="128" spans="1:5" x14ac:dyDescent="0.3">
      <c r="A128" s="67" t="s">
        <v>200</v>
      </c>
      <c r="B128" s="363" t="s">
        <v>22</v>
      </c>
      <c r="C128" s="380"/>
      <c r="D128" s="144">
        <f>(D98)</f>
        <v>26.243062157348398</v>
      </c>
    </row>
    <row r="129" spans="1:5" x14ac:dyDescent="0.3">
      <c r="A129" s="67" t="s">
        <v>201</v>
      </c>
      <c r="B129" s="363" t="s">
        <v>258</v>
      </c>
      <c r="C129" s="380"/>
      <c r="D129" s="144">
        <f>D102</f>
        <v>3.09</v>
      </c>
    </row>
    <row r="130" spans="1:5" x14ac:dyDescent="0.3">
      <c r="A130" s="381" t="s">
        <v>259</v>
      </c>
      <c r="B130" s="382"/>
      <c r="C130" s="383"/>
      <c r="D130" s="161">
        <f>SUM(D125:D129)</f>
        <v>3045.7769882893485</v>
      </c>
      <c r="E130" s="105"/>
    </row>
    <row r="131" spans="1:5" ht="13.8" thickBot="1" x14ac:dyDescent="0.35">
      <c r="A131" s="162" t="s">
        <v>202</v>
      </c>
      <c r="B131" s="384" t="s">
        <v>260</v>
      </c>
      <c r="C131" s="384"/>
      <c r="D131" s="163">
        <f>(D121)</f>
        <v>1484.8380486270487</v>
      </c>
    </row>
    <row r="132" spans="1:5" ht="13.8" thickBot="1" x14ac:dyDescent="0.35">
      <c r="A132" s="377" t="s">
        <v>261</v>
      </c>
      <c r="B132" s="378"/>
      <c r="C132" s="378"/>
      <c r="D132" s="164">
        <f>SUM(D130:D131)</f>
        <v>4530.615036916397</v>
      </c>
    </row>
    <row r="133" spans="1:5" x14ac:dyDescent="0.3">
      <c r="A133" s="62"/>
      <c r="D133" s="78"/>
    </row>
    <row r="134" spans="1:5" x14ac:dyDescent="0.3">
      <c r="D134" s="78"/>
    </row>
    <row r="135" spans="1:5" x14ac:dyDescent="0.3">
      <c r="D135" s="78"/>
    </row>
    <row r="136" spans="1:5" x14ac:dyDescent="0.3">
      <c r="D136" s="78"/>
    </row>
    <row r="137" spans="1:5" x14ac:dyDescent="0.3">
      <c r="C137" s="165"/>
    </row>
  </sheetData>
  <mergeCells count="67">
    <mergeCell ref="A132:C132"/>
    <mergeCell ref="A115:A120"/>
    <mergeCell ref="A121:B121"/>
    <mergeCell ref="A123:D123"/>
    <mergeCell ref="A124:C124"/>
    <mergeCell ref="B125:C125"/>
    <mergeCell ref="B126:C126"/>
    <mergeCell ref="B127:C127"/>
    <mergeCell ref="B128:C128"/>
    <mergeCell ref="B129:C129"/>
    <mergeCell ref="A130:C130"/>
    <mergeCell ref="B131:C131"/>
    <mergeCell ref="A110:B110"/>
    <mergeCell ref="A91:B91"/>
    <mergeCell ref="A92:B92"/>
    <mergeCell ref="A94:B94"/>
    <mergeCell ref="A95:D95"/>
    <mergeCell ref="B96:C96"/>
    <mergeCell ref="B97:C97"/>
    <mergeCell ref="A98:C98"/>
    <mergeCell ref="A100:D100"/>
    <mergeCell ref="A101:C101"/>
    <mergeCell ref="A107:B107"/>
    <mergeCell ref="A109:D109"/>
    <mergeCell ref="A85:B85"/>
    <mergeCell ref="A66:B66"/>
    <mergeCell ref="A67:D67"/>
    <mergeCell ref="B68:C68"/>
    <mergeCell ref="B69:C69"/>
    <mergeCell ref="B70:C70"/>
    <mergeCell ref="B71:C71"/>
    <mergeCell ref="A72:C72"/>
    <mergeCell ref="A74:D74"/>
    <mergeCell ref="A75:B75"/>
    <mergeCell ref="A82:B82"/>
    <mergeCell ref="A84:D84"/>
    <mergeCell ref="A64:B64"/>
    <mergeCell ref="A33:D33"/>
    <mergeCell ref="A34:C34"/>
    <mergeCell ref="B35:C35"/>
    <mergeCell ref="A38:C38"/>
    <mergeCell ref="A40:D40"/>
    <mergeCell ref="A41:B41"/>
    <mergeCell ref="A44:B44"/>
    <mergeCell ref="A45:B45"/>
    <mergeCell ref="A54:B54"/>
    <mergeCell ref="A55:B55"/>
    <mergeCell ref="A63:B63"/>
    <mergeCell ref="B31:C31"/>
    <mergeCell ref="C17:D17"/>
    <mergeCell ref="A21:D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13:D13"/>
    <mergeCell ref="A1:D1"/>
    <mergeCell ref="A2:D2"/>
    <mergeCell ref="A3:D3"/>
    <mergeCell ref="A6:D6"/>
    <mergeCell ref="A7:D7"/>
    <mergeCell ref="A5:D5"/>
  </mergeCells>
  <pageMargins left="0.511811024" right="0.511811024" top="0.78740157499999996" bottom="0.78740157499999996" header="0.31496062000000002" footer="0.3149606200000000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69F5-A7A9-418E-9900-6901F48B32EA}">
  <dimension ref="A1:J47"/>
  <sheetViews>
    <sheetView showGridLines="0" topLeftCell="A16" workbookViewId="0">
      <selection activeCell="A39" sqref="A39:XFD40"/>
    </sheetView>
  </sheetViews>
  <sheetFormatPr defaultRowHeight="13.2" x14ac:dyDescent="0.25"/>
  <cols>
    <col min="1" max="1" width="10.21875" style="1" bestFit="1" customWidth="1"/>
    <col min="2" max="2" width="12" style="1" customWidth="1"/>
    <col min="3" max="3" width="17.5546875" style="1" customWidth="1"/>
    <col min="4" max="4" width="16.6640625" style="1" customWidth="1"/>
    <col min="5" max="5" width="14.109375" style="1" customWidth="1"/>
    <col min="6" max="6" width="25.5546875" style="1" customWidth="1"/>
    <col min="7" max="7" width="15.33203125" style="1" customWidth="1"/>
    <col min="8" max="8" width="18.33203125" style="1" bestFit="1" customWidth="1"/>
    <col min="9" max="9" width="16" style="1" bestFit="1" customWidth="1"/>
    <col min="10" max="10" width="19.33203125" style="1" customWidth="1"/>
    <col min="11" max="252" width="8.88671875" style="1"/>
    <col min="253" max="253" width="10" style="1" bestFit="1" customWidth="1"/>
    <col min="254" max="254" width="8.88671875" style="1"/>
    <col min="255" max="255" width="15" style="1" bestFit="1" customWidth="1"/>
    <col min="256" max="256" width="14.44140625" style="1" customWidth="1"/>
    <col min="257" max="257" width="10.88671875" style="1" bestFit="1" customWidth="1"/>
    <col min="258" max="258" width="8.88671875" style="1"/>
    <col min="259" max="259" width="19.109375" style="1" customWidth="1"/>
    <col min="260" max="260" width="8.88671875" style="1"/>
    <col min="261" max="261" width="14.5546875" style="1" customWidth="1"/>
    <col min="262" max="262" width="14.109375" style="1" bestFit="1" customWidth="1"/>
    <col min="263" max="263" width="10.5546875" style="1" bestFit="1" customWidth="1"/>
    <col min="264" max="264" width="8.88671875" style="1"/>
    <col min="265" max="265" width="9.5546875" style="1" bestFit="1" customWidth="1"/>
    <col min="266" max="508" width="8.88671875" style="1"/>
    <col min="509" max="509" width="10" style="1" bestFit="1" customWidth="1"/>
    <col min="510" max="510" width="8.88671875" style="1"/>
    <col min="511" max="511" width="15" style="1" bestFit="1" customWidth="1"/>
    <col min="512" max="512" width="14.44140625" style="1" customWidth="1"/>
    <col min="513" max="513" width="10.88671875" style="1" bestFit="1" customWidth="1"/>
    <col min="514" max="514" width="8.88671875" style="1"/>
    <col min="515" max="515" width="19.109375" style="1" customWidth="1"/>
    <col min="516" max="516" width="8.88671875" style="1"/>
    <col min="517" max="517" width="14.5546875" style="1" customWidth="1"/>
    <col min="518" max="518" width="14.109375" style="1" bestFit="1" customWidth="1"/>
    <col min="519" max="519" width="10.5546875" style="1" bestFit="1" customWidth="1"/>
    <col min="520" max="520" width="8.88671875" style="1"/>
    <col min="521" max="521" width="9.5546875" style="1" bestFit="1" customWidth="1"/>
    <col min="522" max="764" width="8.88671875" style="1"/>
    <col min="765" max="765" width="10" style="1" bestFit="1" customWidth="1"/>
    <col min="766" max="766" width="8.88671875" style="1"/>
    <col min="767" max="767" width="15" style="1" bestFit="1" customWidth="1"/>
    <col min="768" max="768" width="14.44140625" style="1" customWidth="1"/>
    <col min="769" max="769" width="10.88671875" style="1" bestFit="1" customWidth="1"/>
    <col min="770" max="770" width="8.88671875" style="1"/>
    <col min="771" max="771" width="19.109375" style="1" customWidth="1"/>
    <col min="772" max="772" width="8.88671875" style="1"/>
    <col min="773" max="773" width="14.5546875" style="1" customWidth="1"/>
    <col min="774" max="774" width="14.109375" style="1" bestFit="1" customWidth="1"/>
    <col min="775" max="775" width="10.5546875" style="1" bestFit="1" customWidth="1"/>
    <col min="776" max="776" width="8.88671875" style="1"/>
    <col min="777" max="777" width="9.5546875" style="1" bestFit="1" customWidth="1"/>
    <col min="778" max="1020" width="8.88671875" style="1"/>
    <col min="1021" max="1021" width="10" style="1" bestFit="1" customWidth="1"/>
    <col min="1022" max="1022" width="8.88671875" style="1"/>
    <col min="1023" max="1023" width="15" style="1" bestFit="1" customWidth="1"/>
    <col min="1024" max="1024" width="14.44140625" style="1" customWidth="1"/>
    <col min="1025" max="1025" width="10.88671875" style="1" bestFit="1" customWidth="1"/>
    <col min="1026" max="1026" width="8.88671875" style="1"/>
    <col min="1027" max="1027" width="19.109375" style="1" customWidth="1"/>
    <col min="1028" max="1028" width="8.88671875" style="1"/>
    <col min="1029" max="1029" width="14.5546875" style="1" customWidth="1"/>
    <col min="1030" max="1030" width="14.109375" style="1" bestFit="1" customWidth="1"/>
    <col min="1031" max="1031" width="10.5546875" style="1" bestFit="1" customWidth="1"/>
    <col min="1032" max="1032" width="8.88671875" style="1"/>
    <col min="1033" max="1033" width="9.5546875" style="1" bestFit="1" customWidth="1"/>
    <col min="1034" max="1276" width="8.88671875" style="1"/>
    <col min="1277" max="1277" width="10" style="1" bestFit="1" customWidth="1"/>
    <col min="1278" max="1278" width="8.88671875" style="1"/>
    <col min="1279" max="1279" width="15" style="1" bestFit="1" customWidth="1"/>
    <col min="1280" max="1280" width="14.44140625" style="1" customWidth="1"/>
    <col min="1281" max="1281" width="10.88671875" style="1" bestFit="1" customWidth="1"/>
    <col min="1282" max="1282" width="8.88671875" style="1"/>
    <col min="1283" max="1283" width="19.109375" style="1" customWidth="1"/>
    <col min="1284" max="1284" width="8.88671875" style="1"/>
    <col min="1285" max="1285" width="14.5546875" style="1" customWidth="1"/>
    <col min="1286" max="1286" width="14.109375" style="1" bestFit="1" customWidth="1"/>
    <col min="1287" max="1287" width="10.5546875" style="1" bestFit="1" customWidth="1"/>
    <col min="1288" max="1288" width="8.88671875" style="1"/>
    <col min="1289" max="1289" width="9.5546875" style="1" bestFit="1" customWidth="1"/>
    <col min="1290" max="1532" width="8.88671875" style="1"/>
    <col min="1533" max="1533" width="10" style="1" bestFit="1" customWidth="1"/>
    <col min="1534" max="1534" width="8.88671875" style="1"/>
    <col min="1535" max="1535" width="15" style="1" bestFit="1" customWidth="1"/>
    <col min="1536" max="1536" width="14.44140625" style="1" customWidth="1"/>
    <col min="1537" max="1537" width="10.88671875" style="1" bestFit="1" customWidth="1"/>
    <col min="1538" max="1538" width="8.88671875" style="1"/>
    <col min="1539" max="1539" width="19.109375" style="1" customWidth="1"/>
    <col min="1540" max="1540" width="8.88671875" style="1"/>
    <col min="1541" max="1541" width="14.5546875" style="1" customWidth="1"/>
    <col min="1542" max="1542" width="14.109375" style="1" bestFit="1" customWidth="1"/>
    <col min="1543" max="1543" width="10.5546875" style="1" bestFit="1" customWidth="1"/>
    <col min="1544" max="1544" width="8.88671875" style="1"/>
    <col min="1545" max="1545" width="9.5546875" style="1" bestFit="1" customWidth="1"/>
    <col min="1546" max="1788" width="8.88671875" style="1"/>
    <col min="1789" max="1789" width="10" style="1" bestFit="1" customWidth="1"/>
    <col min="1790" max="1790" width="8.88671875" style="1"/>
    <col min="1791" max="1791" width="15" style="1" bestFit="1" customWidth="1"/>
    <col min="1792" max="1792" width="14.44140625" style="1" customWidth="1"/>
    <col min="1793" max="1793" width="10.88671875" style="1" bestFit="1" customWidth="1"/>
    <col min="1794" max="1794" width="8.88671875" style="1"/>
    <col min="1795" max="1795" width="19.109375" style="1" customWidth="1"/>
    <col min="1796" max="1796" width="8.88671875" style="1"/>
    <col min="1797" max="1797" width="14.5546875" style="1" customWidth="1"/>
    <col min="1798" max="1798" width="14.109375" style="1" bestFit="1" customWidth="1"/>
    <col min="1799" max="1799" width="10.5546875" style="1" bestFit="1" customWidth="1"/>
    <col min="1800" max="1800" width="8.88671875" style="1"/>
    <col min="1801" max="1801" width="9.5546875" style="1" bestFit="1" customWidth="1"/>
    <col min="1802" max="2044" width="8.88671875" style="1"/>
    <col min="2045" max="2045" width="10" style="1" bestFit="1" customWidth="1"/>
    <col min="2046" max="2046" width="8.88671875" style="1"/>
    <col min="2047" max="2047" width="15" style="1" bestFit="1" customWidth="1"/>
    <col min="2048" max="2048" width="14.44140625" style="1" customWidth="1"/>
    <col min="2049" max="2049" width="10.88671875" style="1" bestFit="1" customWidth="1"/>
    <col min="2050" max="2050" width="8.88671875" style="1"/>
    <col min="2051" max="2051" width="19.109375" style="1" customWidth="1"/>
    <col min="2052" max="2052" width="8.88671875" style="1"/>
    <col min="2053" max="2053" width="14.5546875" style="1" customWidth="1"/>
    <col min="2054" max="2054" width="14.109375" style="1" bestFit="1" customWidth="1"/>
    <col min="2055" max="2055" width="10.5546875" style="1" bestFit="1" customWidth="1"/>
    <col min="2056" max="2056" width="8.88671875" style="1"/>
    <col min="2057" max="2057" width="9.5546875" style="1" bestFit="1" customWidth="1"/>
    <col min="2058" max="2300" width="8.88671875" style="1"/>
    <col min="2301" max="2301" width="10" style="1" bestFit="1" customWidth="1"/>
    <col min="2302" max="2302" width="8.88671875" style="1"/>
    <col min="2303" max="2303" width="15" style="1" bestFit="1" customWidth="1"/>
    <col min="2304" max="2304" width="14.44140625" style="1" customWidth="1"/>
    <col min="2305" max="2305" width="10.88671875" style="1" bestFit="1" customWidth="1"/>
    <col min="2306" max="2306" width="8.88671875" style="1"/>
    <col min="2307" max="2307" width="19.109375" style="1" customWidth="1"/>
    <col min="2308" max="2308" width="8.88671875" style="1"/>
    <col min="2309" max="2309" width="14.5546875" style="1" customWidth="1"/>
    <col min="2310" max="2310" width="14.109375" style="1" bestFit="1" customWidth="1"/>
    <col min="2311" max="2311" width="10.5546875" style="1" bestFit="1" customWidth="1"/>
    <col min="2312" max="2312" width="8.88671875" style="1"/>
    <col min="2313" max="2313" width="9.5546875" style="1" bestFit="1" customWidth="1"/>
    <col min="2314" max="2556" width="8.88671875" style="1"/>
    <col min="2557" max="2557" width="10" style="1" bestFit="1" customWidth="1"/>
    <col min="2558" max="2558" width="8.88671875" style="1"/>
    <col min="2559" max="2559" width="15" style="1" bestFit="1" customWidth="1"/>
    <col min="2560" max="2560" width="14.44140625" style="1" customWidth="1"/>
    <col min="2561" max="2561" width="10.88671875" style="1" bestFit="1" customWidth="1"/>
    <col min="2562" max="2562" width="8.88671875" style="1"/>
    <col min="2563" max="2563" width="19.109375" style="1" customWidth="1"/>
    <col min="2564" max="2564" width="8.88671875" style="1"/>
    <col min="2565" max="2565" width="14.5546875" style="1" customWidth="1"/>
    <col min="2566" max="2566" width="14.109375" style="1" bestFit="1" customWidth="1"/>
    <col min="2567" max="2567" width="10.5546875" style="1" bestFit="1" customWidth="1"/>
    <col min="2568" max="2568" width="8.88671875" style="1"/>
    <col min="2569" max="2569" width="9.5546875" style="1" bestFit="1" customWidth="1"/>
    <col min="2570" max="2812" width="8.88671875" style="1"/>
    <col min="2813" max="2813" width="10" style="1" bestFit="1" customWidth="1"/>
    <col min="2814" max="2814" width="8.88671875" style="1"/>
    <col min="2815" max="2815" width="15" style="1" bestFit="1" customWidth="1"/>
    <col min="2816" max="2816" width="14.44140625" style="1" customWidth="1"/>
    <col min="2817" max="2817" width="10.88671875" style="1" bestFit="1" customWidth="1"/>
    <col min="2818" max="2818" width="8.88671875" style="1"/>
    <col min="2819" max="2819" width="19.109375" style="1" customWidth="1"/>
    <col min="2820" max="2820" width="8.88671875" style="1"/>
    <col min="2821" max="2821" width="14.5546875" style="1" customWidth="1"/>
    <col min="2822" max="2822" width="14.109375" style="1" bestFit="1" customWidth="1"/>
    <col min="2823" max="2823" width="10.5546875" style="1" bestFit="1" customWidth="1"/>
    <col min="2824" max="2824" width="8.88671875" style="1"/>
    <col min="2825" max="2825" width="9.5546875" style="1" bestFit="1" customWidth="1"/>
    <col min="2826" max="3068" width="8.88671875" style="1"/>
    <col min="3069" max="3069" width="10" style="1" bestFit="1" customWidth="1"/>
    <col min="3070" max="3070" width="8.88671875" style="1"/>
    <col min="3071" max="3071" width="15" style="1" bestFit="1" customWidth="1"/>
    <col min="3072" max="3072" width="14.44140625" style="1" customWidth="1"/>
    <col min="3073" max="3073" width="10.88671875" style="1" bestFit="1" customWidth="1"/>
    <col min="3074" max="3074" width="8.88671875" style="1"/>
    <col min="3075" max="3075" width="19.109375" style="1" customWidth="1"/>
    <col min="3076" max="3076" width="8.88671875" style="1"/>
    <col min="3077" max="3077" width="14.5546875" style="1" customWidth="1"/>
    <col min="3078" max="3078" width="14.109375" style="1" bestFit="1" customWidth="1"/>
    <col min="3079" max="3079" width="10.5546875" style="1" bestFit="1" customWidth="1"/>
    <col min="3080" max="3080" width="8.88671875" style="1"/>
    <col min="3081" max="3081" width="9.5546875" style="1" bestFit="1" customWidth="1"/>
    <col min="3082" max="3324" width="8.88671875" style="1"/>
    <col min="3325" max="3325" width="10" style="1" bestFit="1" customWidth="1"/>
    <col min="3326" max="3326" width="8.88671875" style="1"/>
    <col min="3327" max="3327" width="15" style="1" bestFit="1" customWidth="1"/>
    <col min="3328" max="3328" width="14.44140625" style="1" customWidth="1"/>
    <col min="3329" max="3329" width="10.88671875" style="1" bestFit="1" customWidth="1"/>
    <col min="3330" max="3330" width="8.88671875" style="1"/>
    <col min="3331" max="3331" width="19.109375" style="1" customWidth="1"/>
    <col min="3332" max="3332" width="8.88671875" style="1"/>
    <col min="3333" max="3333" width="14.5546875" style="1" customWidth="1"/>
    <col min="3334" max="3334" width="14.109375" style="1" bestFit="1" customWidth="1"/>
    <col min="3335" max="3335" width="10.5546875" style="1" bestFit="1" customWidth="1"/>
    <col min="3336" max="3336" width="8.88671875" style="1"/>
    <col min="3337" max="3337" width="9.5546875" style="1" bestFit="1" customWidth="1"/>
    <col min="3338" max="3580" width="8.88671875" style="1"/>
    <col min="3581" max="3581" width="10" style="1" bestFit="1" customWidth="1"/>
    <col min="3582" max="3582" width="8.88671875" style="1"/>
    <col min="3583" max="3583" width="15" style="1" bestFit="1" customWidth="1"/>
    <col min="3584" max="3584" width="14.44140625" style="1" customWidth="1"/>
    <col min="3585" max="3585" width="10.88671875" style="1" bestFit="1" customWidth="1"/>
    <col min="3586" max="3586" width="8.88671875" style="1"/>
    <col min="3587" max="3587" width="19.109375" style="1" customWidth="1"/>
    <col min="3588" max="3588" width="8.88671875" style="1"/>
    <col min="3589" max="3589" width="14.5546875" style="1" customWidth="1"/>
    <col min="3590" max="3590" width="14.109375" style="1" bestFit="1" customWidth="1"/>
    <col min="3591" max="3591" width="10.5546875" style="1" bestFit="1" customWidth="1"/>
    <col min="3592" max="3592" width="8.88671875" style="1"/>
    <col min="3593" max="3593" width="9.5546875" style="1" bestFit="1" customWidth="1"/>
    <col min="3594" max="3836" width="8.88671875" style="1"/>
    <col min="3837" max="3837" width="10" style="1" bestFit="1" customWidth="1"/>
    <col min="3838" max="3838" width="8.88671875" style="1"/>
    <col min="3839" max="3839" width="15" style="1" bestFit="1" customWidth="1"/>
    <col min="3840" max="3840" width="14.44140625" style="1" customWidth="1"/>
    <col min="3841" max="3841" width="10.88671875" style="1" bestFit="1" customWidth="1"/>
    <col min="3842" max="3842" width="8.88671875" style="1"/>
    <col min="3843" max="3843" width="19.109375" style="1" customWidth="1"/>
    <col min="3844" max="3844" width="8.88671875" style="1"/>
    <col min="3845" max="3845" width="14.5546875" style="1" customWidth="1"/>
    <col min="3846" max="3846" width="14.109375" style="1" bestFit="1" customWidth="1"/>
    <col min="3847" max="3847" width="10.5546875" style="1" bestFit="1" customWidth="1"/>
    <col min="3848" max="3848" width="8.88671875" style="1"/>
    <col min="3849" max="3849" width="9.5546875" style="1" bestFit="1" customWidth="1"/>
    <col min="3850" max="4092" width="8.88671875" style="1"/>
    <col min="4093" max="4093" width="10" style="1" bestFit="1" customWidth="1"/>
    <col min="4094" max="4094" width="8.88671875" style="1"/>
    <col min="4095" max="4095" width="15" style="1" bestFit="1" customWidth="1"/>
    <col min="4096" max="4096" width="14.44140625" style="1" customWidth="1"/>
    <col min="4097" max="4097" width="10.88671875" style="1" bestFit="1" customWidth="1"/>
    <col min="4098" max="4098" width="8.88671875" style="1"/>
    <col min="4099" max="4099" width="19.109375" style="1" customWidth="1"/>
    <col min="4100" max="4100" width="8.88671875" style="1"/>
    <col min="4101" max="4101" width="14.5546875" style="1" customWidth="1"/>
    <col min="4102" max="4102" width="14.109375" style="1" bestFit="1" customWidth="1"/>
    <col min="4103" max="4103" width="10.5546875" style="1" bestFit="1" customWidth="1"/>
    <col min="4104" max="4104" width="8.88671875" style="1"/>
    <col min="4105" max="4105" width="9.5546875" style="1" bestFit="1" customWidth="1"/>
    <col min="4106" max="4348" width="8.88671875" style="1"/>
    <col min="4349" max="4349" width="10" style="1" bestFit="1" customWidth="1"/>
    <col min="4350" max="4350" width="8.88671875" style="1"/>
    <col min="4351" max="4351" width="15" style="1" bestFit="1" customWidth="1"/>
    <col min="4352" max="4352" width="14.44140625" style="1" customWidth="1"/>
    <col min="4353" max="4353" width="10.88671875" style="1" bestFit="1" customWidth="1"/>
    <col min="4354" max="4354" width="8.88671875" style="1"/>
    <col min="4355" max="4355" width="19.109375" style="1" customWidth="1"/>
    <col min="4356" max="4356" width="8.88671875" style="1"/>
    <col min="4357" max="4357" width="14.5546875" style="1" customWidth="1"/>
    <col min="4358" max="4358" width="14.109375" style="1" bestFit="1" customWidth="1"/>
    <col min="4359" max="4359" width="10.5546875" style="1" bestFit="1" customWidth="1"/>
    <col min="4360" max="4360" width="8.88671875" style="1"/>
    <col min="4361" max="4361" width="9.5546875" style="1" bestFit="1" customWidth="1"/>
    <col min="4362" max="4604" width="8.88671875" style="1"/>
    <col min="4605" max="4605" width="10" style="1" bestFit="1" customWidth="1"/>
    <col min="4606" max="4606" width="8.88671875" style="1"/>
    <col min="4607" max="4607" width="15" style="1" bestFit="1" customWidth="1"/>
    <col min="4608" max="4608" width="14.44140625" style="1" customWidth="1"/>
    <col min="4609" max="4609" width="10.88671875" style="1" bestFit="1" customWidth="1"/>
    <col min="4610" max="4610" width="8.88671875" style="1"/>
    <col min="4611" max="4611" width="19.109375" style="1" customWidth="1"/>
    <col min="4612" max="4612" width="8.88671875" style="1"/>
    <col min="4613" max="4613" width="14.5546875" style="1" customWidth="1"/>
    <col min="4614" max="4614" width="14.109375" style="1" bestFit="1" customWidth="1"/>
    <col min="4615" max="4615" width="10.5546875" style="1" bestFit="1" customWidth="1"/>
    <col min="4616" max="4616" width="8.88671875" style="1"/>
    <col min="4617" max="4617" width="9.5546875" style="1" bestFit="1" customWidth="1"/>
    <col min="4618" max="4860" width="8.88671875" style="1"/>
    <col min="4861" max="4861" width="10" style="1" bestFit="1" customWidth="1"/>
    <col min="4862" max="4862" width="8.88671875" style="1"/>
    <col min="4863" max="4863" width="15" style="1" bestFit="1" customWidth="1"/>
    <col min="4864" max="4864" width="14.44140625" style="1" customWidth="1"/>
    <col min="4865" max="4865" width="10.88671875" style="1" bestFit="1" customWidth="1"/>
    <col min="4866" max="4866" width="8.88671875" style="1"/>
    <col min="4867" max="4867" width="19.109375" style="1" customWidth="1"/>
    <col min="4868" max="4868" width="8.88671875" style="1"/>
    <col min="4869" max="4869" width="14.5546875" style="1" customWidth="1"/>
    <col min="4870" max="4870" width="14.109375" style="1" bestFit="1" customWidth="1"/>
    <col min="4871" max="4871" width="10.5546875" style="1" bestFit="1" customWidth="1"/>
    <col min="4872" max="4872" width="8.88671875" style="1"/>
    <col min="4873" max="4873" width="9.5546875" style="1" bestFit="1" customWidth="1"/>
    <col min="4874" max="5116" width="8.88671875" style="1"/>
    <col min="5117" max="5117" width="10" style="1" bestFit="1" customWidth="1"/>
    <col min="5118" max="5118" width="8.88671875" style="1"/>
    <col min="5119" max="5119" width="15" style="1" bestFit="1" customWidth="1"/>
    <col min="5120" max="5120" width="14.44140625" style="1" customWidth="1"/>
    <col min="5121" max="5121" width="10.88671875" style="1" bestFit="1" customWidth="1"/>
    <col min="5122" max="5122" width="8.88671875" style="1"/>
    <col min="5123" max="5123" width="19.109375" style="1" customWidth="1"/>
    <col min="5124" max="5124" width="8.88671875" style="1"/>
    <col min="5125" max="5125" width="14.5546875" style="1" customWidth="1"/>
    <col min="5126" max="5126" width="14.109375" style="1" bestFit="1" customWidth="1"/>
    <col min="5127" max="5127" width="10.5546875" style="1" bestFit="1" customWidth="1"/>
    <col min="5128" max="5128" width="8.88671875" style="1"/>
    <col min="5129" max="5129" width="9.5546875" style="1" bestFit="1" customWidth="1"/>
    <col min="5130" max="5372" width="8.88671875" style="1"/>
    <col min="5373" max="5373" width="10" style="1" bestFit="1" customWidth="1"/>
    <col min="5374" max="5374" width="8.88671875" style="1"/>
    <col min="5375" max="5375" width="15" style="1" bestFit="1" customWidth="1"/>
    <col min="5376" max="5376" width="14.44140625" style="1" customWidth="1"/>
    <col min="5377" max="5377" width="10.88671875" style="1" bestFit="1" customWidth="1"/>
    <col min="5378" max="5378" width="8.88671875" style="1"/>
    <col min="5379" max="5379" width="19.109375" style="1" customWidth="1"/>
    <col min="5380" max="5380" width="8.88671875" style="1"/>
    <col min="5381" max="5381" width="14.5546875" style="1" customWidth="1"/>
    <col min="5382" max="5382" width="14.109375" style="1" bestFit="1" customWidth="1"/>
    <col min="5383" max="5383" width="10.5546875" style="1" bestFit="1" customWidth="1"/>
    <col min="5384" max="5384" width="8.88671875" style="1"/>
    <col min="5385" max="5385" width="9.5546875" style="1" bestFit="1" customWidth="1"/>
    <col min="5386" max="5628" width="8.88671875" style="1"/>
    <col min="5629" max="5629" width="10" style="1" bestFit="1" customWidth="1"/>
    <col min="5630" max="5630" width="8.88671875" style="1"/>
    <col min="5631" max="5631" width="15" style="1" bestFit="1" customWidth="1"/>
    <col min="5632" max="5632" width="14.44140625" style="1" customWidth="1"/>
    <col min="5633" max="5633" width="10.88671875" style="1" bestFit="1" customWidth="1"/>
    <col min="5634" max="5634" width="8.88671875" style="1"/>
    <col min="5635" max="5635" width="19.109375" style="1" customWidth="1"/>
    <col min="5636" max="5636" width="8.88671875" style="1"/>
    <col min="5637" max="5637" width="14.5546875" style="1" customWidth="1"/>
    <col min="5638" max="5638" width="14.109375" style="1" bestFit="1" customWidth="1"/>
    <col min="5639" max="5639" width="10.5546875" style="1" bestFit="1" customWidth="1"/>
    <col min="5640" max="5640" width="8.88671875" style="1"/>
    <col min="5641" max="5641" width="9.5546875" style="1" bestFit="1" customWidth="1"/>
    <col min="5642" max="5884" width="8.88671875" style="1"/>
    <col min="5885" max="5885" width="10" style="1" bestFit="1" customWidth="1"/>
    <col min="5886" max="5886" width="8.88671875" style="1"/>
    <col min="5887" max="5887" width="15" style="1" bestFit="1" customWidth="1"/>
    <col min="5888" max="5888" width="14.44140625" style="1" customWidth="1"/>
    <col min="5889" max="5889" width="10.88671875" style="1" bestFit="1" customWidth="1"/>
    <col min="5890" max="5890" width="8.88671875" style="1"/>
    <col min="5891" max="5891" width="19.109375" style="1" customWidth="1"/>
    <col min="5892" max="5892" width="8.88671875" style="1"/>
    <col min="5893" max="5893" width="14.5546875" style="1" customWidth="1"/>
    <col min="5894" max="5894" width="14.109375" style="1" bestFit="1" customWidth="1"/>
    <col min="5895" max="5895" width="10.5546875" style="1" bestFit="1" customWidth="1"/>
    <col min="5896" max="5896" width="8.88671875" style="1"/>
    <col min="5897" max="5897" width="9.5546875" style="1" bestFit="1" customWidth="1"/>
    <col min="5898" max="6140" width="8.88671875" style="1"/>
    <col min="6141" max="6141" width="10" style="1" bestFit="1" customWidth="1"/>
    <col min="6142" max="6142" width="8.88671875" style="1"/>
    <col min="6143" max="6143" width="15" style="1" bestFit="1" customWidth="1"/>
    <col min="6144" max="6144" width="14.44140625" style="1" customWidth="1"/>
    <col min="6145" max="6145" width="10.88671875" style="1" bestFit="1" customWidth="1"/>
    <col min="6146" max="6146" width="8.88671875" style="1"/>
    <col min="6147" max="6147" width="19.109375" style="1" customWidth="1"/>
    <col min="6148" max="6148" width="8.88671875" style="1"/>
    <col min="6149" max="6149" width="14.5546875" style="1" customWidth="1"/>
    <col min="6150" max="6150" width="14.109375" style="1" bestFit="1" customWidth="1"/>
    <col min="6151" max="6151" width="10.5546875" style="1" bestFit="1" customWidth="1"/>
    <col min="6152" max="6152" width="8.88671875" style="1"/>
    <col min="6153" max="6153" width="9.5546875" style="1" bestFit="1" customWidth="1"/>
    <col min="6154" max="6396" width="8.88671875" style="1"/>
    <col min="6397" max="6397" width="10" style="1" bestFit="1" customWidth="1"/>
    <col min="6398" max="6398" width="8.88671875" style="1"/>
    <col min="6399" max="6399" width="15" style="1" bestFit="1" customWidth="1"/>
    <col min="6400" max="6400" width="14.44140625" style="1" customWidth="1"/>
    <col min="6401" max="6401" width="10.88671875" style="1" bestFit="1" customWidth="1"/>
    <col min="6402" max="6402" width="8.88671875" style="1"/>
    <col min="6403" max="6403" width="19.109375" style="1" customWidth="1"/>
    <col min="6404" max="6404" width="8.88671875" style="1"/>
    <col min="6405" max="6405" width="14.5546875" style="1" customWidth="1"/>
    <col min="6406" max="6406" width="14.109375" style="1" bestFit="1" customWidth="1"/>
    <col min="6407" max="6407" width="10.5546875" style="1" bestFit="1" customWidth="1"/>
    <col min="6408" max="6408" width="8.88671875" style="1"/>
    <col min="6409" max="6409" width="9.5546875" style="1" bestFit="1" customWidth="1"/>
    <col min="6410" max="6652" width="8.88671875" style="1"/>
    <col min="6653" max="6653" width="10" style="1" bestFit="1" customWidth="1"/>
    <col min="6654" max="6654" width="8.88671875" style="1"/>
    <col min="6655" max="6655" width="15" style="1" bestFit="1" customWidth="1"/>
    <col min="6656" max="6656" width="14.44140625" style="1" customWidth="1"/>
    <col min="6657" max="6657" width="10.88671875" style="1" bestFit="1" customWidth="1"/>
    <col min="6658" max="6658" width="8.88671875" style="1"/>
    <col min="6659" max="6659" width="19.109375" style="1" customWidth="1"/>
    <col min="6660" max="6660" width="8.88671875" style="1"/>
    <col min="6661" max="6661" width="14.5546875" style="1" customWidth="1"/>
    <col min="6662" max="6662" width="14.109375" style="1" bestFit="1" customWidth="1"/>
    <col min="6663" max="6663" width="10.5546875" style="1" bestFit="1" customWidth="1"/>
    <col min="6664" max="6664" width="8.88671875" style="1"/>
    <col min="6665" max="6665" width="9.5546875" style="1" bestFit="1" customWidth="1"/>
    <col min="6666" max="6908" width="8.88671875" style="1"/>
    <col min="6909" max="6909" width="10" style="1" bestFit="1" customWidth="1"/>
    <col min="6910" max="6910" width="8.88671875" style="1"/>
    <col min="6911" max="6911" width="15" style="1" bestFit="1" customWidth="1"/>
    <col min="6912" max="6912" width="14.44140625" style="1" customWidth="1"/>
    <col min="6913" max="6913" width="10.88671875" style="1" bestFit="1" customWidth="1"/>
    <col min="6914" max="6914" width="8.88671875" style="1"/>
    <col min="6915" max="6915" width="19.109375" style="1" customWidth="1"/>
    <col min="6916" max="6916" width="8.88671875" style="1"/>
    <col min="6917" max="6917" width="14.5546875" style="1" customWidth="1"/>
    <col min="6918" max="6918" width="14.109375" style="1" bestFit="1" customWidth="1"/>
    <col min="6919" max="6919" width="10.5546875" style="1" bestFit="1" customWidth="1"/>
    <col min="6920" max="6920" width="8.88671875" style="1"/>
    <col min="6921" max="6921" width="9.5546875" style="1" bestFit="1" customWidth="1"/>
    <col min="6922" max="7164" width="8.88671875" style="1"/>
    <col min="7165" max="7165" width="10" style="1" bestFit="1" customWidth="1"/>
    <col min="7166" max="7166" width="8.88671875" style="1"/>
    <col min="7167" max="7167" width="15" style="1" bestFit="1" customWidth="1"/>
    <col min="7168" max="7168" width="14.44140625" style="1" customWidth="1"/>
    <col min="7169" max="7169" width="10.88671875" style="1" bestFit="1" customWidth="1"/>
    <col min="7170" max="7170" width="8.88671875" style="1"/>
    <col min="7171" max="7171" width="19.109375" style="1" customWidth="1"/>
    <col min="7172" max="7172" width="8.88671875" style="1"/>
    <col min="7173" max="7173" width="14.5546875" style="1" customWidth="1"/>
    <col min="7174" max="7174" width="14.109375" style="1" bestFit="1" customWidth="1"/>
    <col min="7175" max="7175" width="10.5546875" style="1" bestFit="1" customWidth="1"/>
    <col min="7176" max="7176" width="8.88671875" style="1"/>
    <col min="7177" max="7177" width="9.5546875" style="1" bestFit="1" customWidth="1"/>
    <col min="7178" max="7420" width="8.88671875" style="1"/>
    <col min="7421" max="7421" width="10" style="1" bestFit="1" customWidth="1"/>
    <col min="7422" max="7422" width="8.88671875" style="1"/>
    <col min="7423" max="7423" width="15" style="1" bestFit="1" customWidth="1"/>
    <col min="7424" max="7424" width="14.44140625" style="1" customWidth="1"/>
    <col min="7425" max="7425" width="10.88671875" style="1" bestFit="1" customWidth="1"/>
    <col min="7426" max="7426" width="8.88671875" style="1"/>
    <col min="7427" max="7427" width="19.109375" style="1" customWidth="1"/>
    <col min="7428" max="7428" width="8.88671875" style="1"/>
    <col min="7429" max="7429" width="14.5546875" style="1" customWidth="1"/>
    <col min="7430" max="7430" width="14.109375" style="1" bestFit="1" customWidth="1"/>
    <col min="7431" max="7431" width="10.5546875" style="1" bestFit="1" customWidth="1"/>
    <col min="7432" max="7432" width="8.88671875" style="1"/>
    <col min="7433" max="7433" width="9.5546875" style="1" bestFit="1" customWidth="1"/>
    <col min="7434" max="7676" width="8.88671875" style="1"/>
    <col min="7677" max="7677" width="10" style="1" bestFit="1" customWidth="1"/>
    <col min="7678" max="7678" width="8.88671875" style="1"/>
    <col min="7679" max="7679" width="15" style="1" bestFit="1" customWidth="1"/>
    <col min="7680" max="7680" width="14.44140625" style="1" customWidth="1"/>
    <col min="7681" max="7681" width="10.88671875" style="1" bestFit="1" customWidth="1"/>
    <col min="7682" max="7682" width="8.88671875" style="1"/>
    <col min="7683" max="7683" width="19.109375" style="1" customWidth="1"/>
    <col min="7684" max="7684" width="8.88671875" style="1"/>
    <col min="7685" max="7685" width="14.5546875" style="1" customWidth="1"/>
    <col min="7686" max="7686" width="14.109375" style="1" bestFit="1" customWidth="1"/>
    <col min="7687" max="7687" width="10.5546875" style="1" bestFit="1" customWidth="1"/>
    <col min="7688" max="7688" width="8.88671875" style="1"/>
    <col min="7689" max="7689" width="9.5546875" style="1" bestFit="1" customWidth="1"/>
    <col min="7690" max="7932" width="8.88671875" style="1"/>
    <col min="7933" max="7933" width="10" style="1" bestFit="1" customWidth="1"/>
    <col min="7934" max="7934" width="8.88671875" style="1"/>
    <col min="7935" max="7935" width="15" style="1" bestFit="1" customWidth="1"/>
    <col min="7936" max="7936" width="14.44140625" style="1" customWidth="1"/>
    <col min="7937" max="7937" width="10.88671875" style="1" bestFit="1" customWidth="1"/>
    <col min="7938" max="7938" width="8.88671875" style="1"/>
    <col min="7939" max="7939" width="19.109375" style="1" customWidth="1"/>
    <col min="7940" max="7940" width="8.88671875" style="1"/>
    <col min="7941" max="7941" width="14.5546875" style="1" customWidth="1"/>
    <col min="7942" max="7942" width="14.109375" style="1" bestFit="1" customWidth="1"/>
    <col min="7943" max="7943" width="10.5546875" style="1" bestFit="1" customWidth="1"/>
    <col min="7944" max="7944" width="8.88671875" style="1"/>
    <col min="7945" max="7945" width="9.5546875" style="1" bestFit="1" customWidth="1"/>
    <col min="7946" max="8188" width="8.88671875" style="1"/>
    <col min="8189" max="8189" width="10" style="1" bestFit="1" customWidth="1"/>
    <col min="8190" max="8190" width="8.88671875" style="1"/>
    <col min="8191" max="8191" width="15" style="1" bestFit="1" customWidth="1"/>
    <col min="8192" max="8192" width="14.44140625" style="1" customWidth="1"/>
    <col min="8193" max="8193" width="10.88671875" style="1" bestFit="1" customWidth="1"/>
    <col min="8194" max="8194" width="8.88671875" style="1"/>
    <col min="8195" max="8195" width="19.109375" style="1" customWidth="1"/>
    <col min="8196" max="8196" width="8.88671875" style="1"/>
    <col min="8197" max="8197" width="14.5546875" style="1" customWidth="1"/>
    <col min="8198" max="8198" width="14.109375" style="1" bestFit="1" customWidth="1"/>
    <col min="8199" max="8199" width="10.5546875" style="1" bestFit="1" customWidth="1"/>
    <col min="8200" max="8200" width="8.88671875" style="1"/>
    <col min="8201" max="8201" width="9.5546875" style="1" bestFit="1" customWidth="1"/>
    <col min="8202" max="8444" width="8.88671875" style="1"/>
    <col min="8445" max="8445" width="10" style="1" bestFit="1" customWidth="1"/>
    <col min="8446" max="8446" width="8.88671875" style="1"/>
    <col min="8447" max="8447" width="15" style="1" bestFit="1" customWidth="1"/>
    <col min="8448" max="8448" width="14.44140625" style="1" customWidth="1"/>
    <col min="8449" max="8449" width="10.88671875" style="1" bestFit="1" customWidth="1"/>
    <col min="8450" max="8450" width="8.88671875" style="1"/>
    <col min="8451" max="8451" width="19.109375" style="1" customWidth="1"/>
    <col min="8452" max="8452" width="8.88671875" style="1"/>
    <col min="8453" max="8453" width="14.5546875" style="1" customWidth="1"/>
    <col min="8454" max="8454" width="14.109375" style="1" bestFit="1" customWidth="1"/>
    <col min="8455" max="8455" width="10.5546875" style="1" bestFit="1" customWidth="1"/>
    <col min="8456" max="8456" width="8.88671875" style="1"/>
    <col min="8457" max="8457" width="9.5546875" style="1" bestFit="1" customWidth="1"/>
    <col min="8458" max="8700" width="8.88671875" style="1"/>
    <col min="8701" max="8701" width="10" style="1" bestFit="1" customWidth="1"/>
    <col min="8702" max="8702" width="8.88671875" style="1"/>
    <col min="8703" max="8703" width="15" style="1" bestFit="1" customWidth="1"/>
    <col min="8704" max="8704" width="14.44140625" style="1" customWidth="1"/>
    <col min="8705" max="8705" width="10.88671875" style="1" bestFit="1" customWidth="1"/>
    <col min="8706" max="8706" width="8.88671875" style="1"/>
    <col min="8707" max="8707" width="19.109375" style="1" customWidth="1"/>
    <col min="8708" max="8708" width="8.88671875" style="1"/>
    <col min="8709" max="8709" width="14.5546875" style="1" customWidth="1"/>
    <col min="8710" max="8710" width="14.109375" style="1" bestFit="1" customWidth="1"/>
    <col min="8711" max="8711" width="10.5546875" style="1" bestFit="1" customWidth="1"/>
    <col min="8712" max="8712" width="8.88671875" style="1"/>
    <col min="8713" max="8713" width="9.5546875" style="1" bestFit="1" customWidth="1"/>
    <col min="8714" max="8956" width="8.88671875" style="1"/>
    <col min="8957" max="8957" width="10" style="1" bestFit="1" customWidth="1"/>
    <col min="8958" max="8958" width="8.88671875" style="1"/>
    <col min="8959" max="8959" width="15" style="1" bestFit="1" customWidth="1"/>
    <col min="8960" max="8960" width="14.44140625" style="1" customWidth="1"/>
    <col min="8961" max="8961" width="10.88671875" style="1" bestFit="1" customWidth="1"/>
    <col min="8962" max="8962" width="8.88671875" style="1"/>
    <col min="8963" max="8963" width="19.109375" style="1" customWidth="1"/>
    <col min="8964" max="8964" width="8.88671875" style="1"/>
    <col min="8965" max="8965" width="14.5546875" style="1" customWidth="1"/>
    <col min="8966" max="8966" width="14.109375" style="1" bestFit="1" customWidth="1"/>
    <col min="8967" max="8967" width="10.5546875" style="1" bestFit="1" customWidth="1"/>
    <col min="8968" max="8968" width="8.88671875" style="1"/>
    <col min="8969" max="8969" width="9.5546875" style="1" bestFit="1" customWidth="1"/>
    <col min="8970" max="9212" width="8.88671875" style="1"/>
    <col min="9213" max="9213" width="10" style="1" bestFit="1" customWidth="1"/>
    <col min="9214" max="9214" width="8.88671875" style="1"/>
    <col min="9215" max="9215" width="15" style="1" bestFit="1" customWidth="1"/>
    <col min="9216" max="9216" width="14.44140625" style="1" customWidth="1"/>
    <col min="9217" max="9217" width="10.88671875" style="1" bestFit="1" customWidth="1"/>
    <col min="9218" max="9218" width="8.88671875" style="1"/>
    <col min="9219" max="9219" width="19.109375" style="1" customWidth="1"/>
    <col min="9220" max="9220" width="8.88671875" style="1"/>
    <col min="9221" max="9221" width="14.5546875" style="1" customWidth="1"/>
    <col min="9222" max="9222" width="14.109375" style="1" bestFit="1" customWidth="1"/>
    <col min="9223" max="9223" width="10.5546875" style="1" bestFit="1" customWidth="1"/>
    <col min="9224" max="9224" width="8.88671875" style="1"/>
    <col min="9225" max="9225" width="9.5546875" style="1" bestFit="1" customWidth="1"/>
    <col min="9226" max="9468" width="8.88671875" style="1"/>
    <col min="9469" max="9469" width="10" style="1" bestFit="1" customWidth="1"/>
    <col min="9470" max="9470" width="8.88671875" style="1"/>
    <col min="9471" max="9471" width="15" style="1" bestFit="1" customWidth="1"/>
    <col min="9472" max="9472" width="14.44140625" style="1" customWidth="1"/>
    <col min="9473" max="9473" width="10.88671875" style="1" bestFit="1" customWidth="1"/>
    <col min="9474" max="9474" width="8.88671875" style="1"/>
    <col min="9475" max="9475" width="19.109375" style="1" customWidth="1"/>
    <col min="9476" max="9476" width="8.88671875" style="1"/>
    <col min="9477" max="9477" width="14.5546875" style="1" customWidth="1"/>
    <col min="9478" max="9478" width="14.109375" style="1" bestFit="1" customWidth="1"/>
    <col min="9479" max="9479" width="10.5546875" style="1" bestFit="1" customWidth="1"/>
    <col min="9480" max="9480" width="8.88671875" style="1"/>
    <col min="9481" max="9481" width="9.5546875" style="1" bestFit="1" customWidth="1"/>
    <col min="9482" max="9724" width="8.88671875" style="1"/>
    <col min="9725" max="9725" width="10" style="1" bestFit="1" customWidth="1"/>
    <col min="9726" max="9726" width="8.88671875" style="1"/>
    <col min="9727" max="9727" width="15" style="1" bestFit="1" customWidth="1"/>
    <col min="9728" max="9728" width="14.44140625" style="1" customWidth="1"/>
    <col min="9729" max="9729" width="10.88671875" style="1" bestFit="1" customWidth="1"/>
    <col min="9730" max="9730" width="8.88671875" style="1"/>
    <col min="9731" max="9731" width="19.109375" style="1" customWidth="1"/>
    <col min="9732" max="9732" width="8.88671875" style="1"/>
    <col min="9733" max="9733" width="14.5546875" style="1" customWidth="1"/>
    <col min="9734" max="9734" width="14.109375" style="1" bestFit="1" customWidth="1"/>
    <col min="9735" max="9735" width="10.5546875" style="1" bestFit="1" customWidth="1"/>
    <col min="9736" max="9736" width="8.88671875" style="1"/>
    <col min="9737" max="9737" width="9.5546875" style="1" bestFit="1" customWidth="1"/>
    <col min="9738" max="9980" width="8.88671875" style="1"/>
    <col min="9981" max="9981" width="10" style="1" bestFit="1" customWidth="1"/>
    <col min="9982" max="9982" width="8.88671875" style="1"/>
    <col min="9983" max="9983" width="15" style="1" bestFit="1" customWidth="1"/>
    <col min="9984" max="9984" width="14.44140625" style="1" customWidth="1"/>
    <col min="9985" max="9985" width="10.88671875" style="1" bestFit="1" customWidth="1"/>
    <col min="9986" max="9986" width="8.88671875" style="1"/>
    <col min="9987" max="9987" width="19.109375" style="1" customWidth="1"/>
    <col min="9988" max="9988" width="8.88671875" style="1"/>
    <col min="9989" max="9989" width="14.5546875" style="1" customWidth="1"/>
    <col min="9990" max="9990" width="14.109375" style="1" bestFit="1" customWidth="1"/>
    <col min="9991" max="9991" width="10.5546875" style="1" bestFit="1" customWidth="1"/>
    <col min="9992" max="9992" width="8.88671875" style="1"/>
    <col min="9993" max="9993" width="9.5546875" style="1" bestFit="1" customWidth="1"/>
    <col min="9994" max="10236" width="8.88671875" style="1"/>
    <col min="10237" max="10237" width="10" style="1" bestFit="1" customWidth="1"/>
    <col min="10238" max="10238" width="8.88671875" style="1"/>
    <col min="10239" max="10239" width="15" style="1" bestFit="1" customWidth="1"/>
    <col min="10240" max="10240" width="14.44140625" style="1" customWidth="1"/>
    <col min="10241" max="10241" width="10.88671875" style="1" bestFit="1" customWidth="1"/>
    <col min="10242" max="10242" width="8.88671875" style="1"/>
    <col min="10243" max="10243" width="19.109375" style="1" customWidth="1"/>
    <col min="10244" max="10244" width="8.88671875" style="1"/>
    <col min="10245" max="10245" width="14.5546875" style="1" customWidth="1"/>
    <col min="10246" max="10246" width="14.109375" style="1" bestFit="1" customWidth="1"/>
    <col min="10247" max="10247" width="10.5546875" style="1" bestFit="1" customWidth="1"/>
    <col min="10248" max="10248" width="8.88671875" style="1"/>
    <col min="10249" max="10249" width="9.5546875" style="1" bestFit="1" customWidth="1"/>
    <col min="10250" max="10492" width="8.88671875" style="1"/>
    <col min="10493" max="10493" width="10" style="1" bestFit="1" customWidth="1"/>
    <col min="10494" max="10494" width="8.88671875" style="1"/>
    <col min="10495" max="10495" width="15" style="1" bestFit="1" customWidth="1"/>
    <col min="10496" max="10496" width="14.44140625" style="1" customWidth="1"/>
    <col min="10497" max="10497" width="10.88671875" style="1" bestFit="1" customWidth="1"/>
    <col min="10498" max="10498" width="8.88671875" style="1"/>
    <col min="10499" max="10499" width="19.109375" style="1" customWidth="1"/>
    <col min="10500" max="10500" width="8.88671875" style="1"/>
    <col min="10501" max="10501" width="14.5546875" style="1" customWidth="1"/>
    <col min="10502" max="10502" width="14.109375" style="1" bestFit="1" customWidth="1"/>
    <col min="10503" max="10503" width="10.5546875" style="1" bestFit="1" customWidth="1"/>
    <col min="10504" max="10504" width="8.88671875" style="1"/>
    <col min="10505" max="10505" width="9.5546875" style="1" bestFit="1" customWidth="1"/>
    <col min="10506" max="10748" width="8.88671875" style="1"/>
    <col min="10749" max="10749" width="10" style="1" bestFit="1" customWidth="1"/>
    <col min="10750" max="10750" width="8.88671875" style="1"/>
    <col min="10751" max="10751" width="15" style="1" bestFit="1" customWidth="1"/>
    <col min="10752" max="10752" width="14.44140625" style="1" customWidth="1"/>
    <col min="10753" max="10753" width="10.88671875" style="1" bestFit="1" customWidth="1"/>
    <col min="10754" max="10754" width="8.88671875" style="1"/>
    <col min="10755" max="10755" width="19.109375" style="1" customWidth="1"/>
    <col min="10756" max="10756" width="8.88671875" style="1"/>
    <col min="10757" max="10757" width="14.5546875" style="1" customWidth="1"/>
    <col min="10758" max="10758" width="14.109375" style="1" bestFit="1" customWidth="1"/>
    <col min="10759" max="10759" width="10.5546875" style="1" bestFit="1" customWidth="1"/>
    <col min="10760" max="10760" width="8.88671875" style="1"/>
    <col min="10761" max="10761" width="9.5546875" style="1" bestFit="1" customWidth="1"/>
    <col min="10762" max="11004" width="8.88671875" style="1"/>
    <col min="11005" max="11005" width="10" style="1" bestFit="1" customWidth="1"/>
    <col min="11006" max="11006" width="8.88671875" style="1"/>
    <col min="11007" max="11007" width="15" style="1" bestFit="1" customWidth="1"/>
    <col min="11008" max="11008" width="14.44140625" style="1" customWidth="1"/>
    <col min="11009" max="11009" width="10.88671875" style="1" bestFit="1" customWidth="1"/>
    <col min="11010" max="11010" width="8.88671875" style="1"/>
    <col min="11011" max="11011" width="19.109375" style="1" customWidth="1"/>
    <col min="11012" max="11012" width="8.88671875" style="1"/>
    <col min="11013" max="11013" width="14.5546875" style="1" customWidth="1"/>
    <col min="11014" max="11014" width="14.109375" style="1" bestFit="1" customWidth="1"/>
    <col min="11015" max="11015" width="10.5546875" style="1" bestFit="1" customWidth="1"/>
    <col min="11016" max="11016" width="8.88671875" style="1"/>
    <col min="11017" max="11017" width="9.5546875" style="1" bestFit="1" customWidth="1"/>
    <col min="11018" max="11260" width="8.88671875" style="1"/>
    <col min="11261" max="11261" width="10" style="1" bestFit="1" customWidth="1"/>
    <col min="11262" max="11262" width="8.88671875" style="1"/>
    <col min="11263" max="11263" width="15" style="1" bestFit="1" customWidth="1"/>
    <col min="11264" max="11264" width="14.44140625" style="1" customWidth="1"/>
    <col min="11265" max="11265" width="10.88671875" style="1" bestFit="1" customWidth="1"/>
    <col min="11266" max="11266" width="8.88671875" style="1"/>
    <col min="11267" max="11267" width="19.109375" style="1" customWidth="1"/>
    <col min="11268" max="11268" width="8.88671875" style="1"/>
    <col min="11269" max="11269" width="14.5546875" style="1" customWidth="1"/>
    <col min="11270" max="11270" width="14.109375" style="1" bestFit="1" customWidth="1"/>
    <col min="11271" max="11271" width="10.5546875" style="1" bestFit="1" customWidth="1"/>
    <col min="11272" max="11272" width="8.88671875" style="1"/>
    <col min="11273" max="11273" width="9.5546875" style="1" bestFit="1" customWidth="1"/>
    <col min="11274" max="11516" width="8.88671875" style="1"/>
    <col min="11517" max="11517" width="10" style="1" bestFit="1" customWidth="1"/>
    <col min="11518" max="11518" width="8.88671875" style="1"/>
    <col min="11519" max="11519" width="15" style="1" bestFit="1" customWidth="1"/>
    <col min="11520" max="11520" width="14.44140625" style="1" customWidth="1"/>
    <col min="11521" max="11521" width="10.88671875" style="1" bestFit="1" customWidth="1"/>
    <col min="11522" max="11522" width="8.88671875" style="1"/>
    <col min="11523" max="11523" width="19.109375" style="1" customWidth="1"/>
    <col min="11524" max="11524" width="8.88671875" style="1"/>
    <col min="11525" max="11525" width="14.5546875" style="1" customWidth="1"/>
    <col min="11526" max="11526" width="14.109375" style="1" bestFit="1" customWidth="1"/>
    <col min="11527" max="11527" width="10.5546875" style="1" bestFit="1" customWidth="1"/>
    <col min="11528" max="11528" width="8.88671875" style="1"/>
    <col min="11529" max="11529" width="9.5546875" style="1" bestFit="1" customWidth="1"/>
    <col min="11530" max="11772" width="8.88671875" style="1"/>
    <col min="11773" max="11773" width="10" style="1" bestFit="1" customWidth="1"/>
    <col min="11774" max="11774" width="8.88671875" style="1"/>
    <col min="11775" max="11775" width="15" style="1" bestFit="1" customWidth="1"/>
    <col min="11776" max="11776" width="14.44140625" style="1" customWidth="1"/>
    <col min="11777" max="11777" width="10.88671875" style="1" bestFit="1" customWidth="1"/>
    <col min="11778" max="11778" width="8.88671875" style="1"/>
    <col min="11779" max="11779" width="19.109375" style="1" customWidth="1"/>
    <col min="11780" max="11780" width="8.88671875" style="1"/>
    <col min="11781" max="11781" width="14.5546875" style="1" customWidth="1"/>
    <col min="11782" max="11782" width="14.109375" style="1" bestFit="1" customWidth="1"/>
    <col min="11783" max="11783" width="10.5546875" style="1" bestFit="1" customWidth="1"/>
    <col min="11784" max="11784" width="8.88671875" style="1"/>
    <col min="11785" max="11785" width="9.5546875" style="1" bestFit="1" customWidth="1"/>
    <col min="11786" max="12028" width="8.88671875" style="1"/>
    <col min="12029" max="12029" width="10" style="1" bestFit="1" customWidth="1"/>
    <col min="12030" max="12030" width="8.88671875" style="1"/>
    <col min="12031" max="12031" width="15" style="1" bestFit="1" customWidth="1"/>
    <col min="12032" max="12032" width="14.44140625" style="1" customWidth="1"/>
    <col min="12033" max="12033" width="10.88671875" style="1" bestFit="1" customWidth="1"/>
    <col min="12034" max="12034" width="8.88671875" style="1"/>
    <col min="12035" max="12035" width="19.109375" style="1" customWidth="1"/>
    <col min="12036" max="12036" width="8.88671875" style="1"/>
    <col min="12037" max="12037" width="14.5546875" style="1" customWidth="1"/>
    <col min="12038" max="12038" width="14.109375" style="1" bestFit="1" customWidth="1"/>
    <col min="12039" max="12039" width="10.5546875" style="1" bestFit="1" customWidth="1"/>
    <col min="12040" max="12040" width="8.88671875" style="1"/>
    <col min="12041" max="12041" width="9.5546875" style="1" bestFit="1" customWidth="1"/>
    <col min="12042" max="12284" width="8.88671875" style="1"/>
    <col min="12285" max="12285" width="10" style="1" bestFit="1" customWidth="1"/>
    <col min="12286" max="12286" width="8.88671875" style="1"/>
    <col min="12287" max="12287" width="15" style="1" bestFit="1" customWidth="1"/>
    <col min="12288" max="12288" width="14.44140625" style="1" customWidth="1"/>
    <col min="12289" max="12289" width="10.88671875" style="1" bestFit="1" customWidth="1"/>
    <col min="12290" max="12290" width="8.88671875" style="1"/>
    <col min="12291" max="12291" width="19.109375" style="1" customWidth="1"/>
    <col min="12292" max="12292" width="8.88671875" style="1"/>
    <col min="12293" max="12293" width="14.5546875" style="1" customWidth="1"/>
    <col min="12294" max="12294" width="14.109375" style="1" bestFit="1" customWidth="1"/>
    <col min="12295" max="12295" width="10.5546875" style="1" bestFit="1" customWidth="1"/>
    <col min="12296" max="12296" width="8.88671875" style="1"/>
    <col min="12297" max="12297" width="9.5546875" style="1" bestFit="1" customWidth="1"/>
    <col min="12298" max="12540" width="8.88671875" style="1"/>
    <col min="12541" max="12541" width="10" style="1" bestFit="1" customWidth="1"/>
    <col min="12542" max="12542" width="8.88671875" style="1"/>
    <col min="12543" max="12543" width="15" style="1" bestFit="1" customWidth="1"/>
    <col min="12544" max="12544" width="14.44140625" style="1" customWidth="1"/>
    <col min="12545" max="12545" width="10.88671875" style="1" bestFit="1" customWidth="1"/>
    <col min="12546" max="12546" width="8.88671875" style="1"/>
    <col min="12547" max="12547" width="19.109375" style="1" customWidth="1"/>
    <col min="12548" max="12548" width="8.88671875" style="1"/>
    <col min="12549" max="12549" width="14.5546875" style="1" customWidth="1"/>
    <col min="12550" max="12550" width="14.109375" style="1" bestFit="1" customWidth="1"/>
    <col min="12551" max="12551" width="10.5546875" style="1" bestFit="1" customWidth="1"/>
    <col min="12552" max="12552" width="8.88671875" style="1"/>
    <col min="12553" max="12553" width="9.5546875" style="1" bestFit="1" customWidth="1"/>
    <col min="12554" max="12796" width="8.88671875" style="1"/>
    <col min="12797" max="12797" width="10" style="1" bestFit="1" customWidth="1"/>
    <col min="12798" max="12798" width="8.88671875" style="1"/>
    <col min="12799" max="12799" width="15" style="1" bestFit="1" customWidth="1"/>
    <col min="12800" max="12800" width="14.44140625" style="1" customWidth="1"/>
    <col min="12801" max="12801" width="10.88671875" style="1" bestFit="1" customWidth="1"/>
    <col min="12802" max="12802" width="8.88671875" style="1"/>
    <col min="12803" max="12803" width="19.109375" style="1" customWidth="1"/>
    <col min="12804" max="12804" width="8.88671875" style="1"/>
    <col min="12805" max="12805" width="14.5546875" style="1" customWidth="1"/>
    <col min="12806" max="12806" width="14.109375" style="1" bestFit="1" customWidth="1"/>
    <col min="12807" max="12807" width="10.5546875" style="1" bestFit="1" customWidth="1"/>
    <col min="12808" max="12808" width="8.88671875" style="1"/>
    <col min="12809" max="12809" width="9.5546875" style="1" bestFit="1" customWidth="1"/>
    <col min="12810" max="13052" width="8.88671875" style="1"/>
    <col min="13053" max="13053" width="10" style="1" bestFit="1" customWidth="1"/>
    <col min="13054" max="13054" width="8.88671875" style="1"/>
    <col min="13055" max="13055" width="15" style="1" bestFit="1" customWidth="1"/>
    <col min="13056" max="13056" width="14.44140625" style="1" customWidth="1"/>
    <col min="13057" max="13057" width="10.88671875" style="1" bestFit="1" customWidth="1"/>
    <col min="13058" max="13058" width="8.88671875" style="1"/>
    <col min="13059" max="13059" width="19.109375" style="1" customWidth="1"/>
    <col min="13060" max="13060" width="8.88671875" style="1"/>
    <col min="13061" max="13061" width="14.5546875" style="1" customWidth="1"/>
    <col min="13062" max="13062" width="14.109375" style="1" bestFit="1" customWidth="1"/>
    <col min="13063" max="13063" width="10.5546875" style="1" bestFit="1" customWidth="1"/>
    <col min="13064" max="13064" width="8.88671875" style="1"/>
    <col min="13065" max="13065" width="9.5546875" style="1" bestFit="1" customWidth="1"/>
    <col min="13066" max="13308" width="8.88671875" style="1"/>
    <col min="13309" max="13309" width="10" style="1" bestFit="1" customWidth="1"/>
    <col min="13310" max="13310" width="8.88671875" style="1"/>
    <col min="13311" max="13311" width="15" style="1" bestFit="1" customWidth="1"/>
    <col min="13312" max="13312" width="14.44140625" style="1" customWidth="1"/>
    <col min="13313" max="13313" width="10.88671875" style="1" bestFit="1" customWidth="1"/>
    <col min="13314" max="13314" width="8.88671875" style="1"/>
    <col min="13315" max="13315" width="19.109375" style="1" customWidth="1"/>
    <col min="13316" max="13316" width="8.88671875" style="1"/>
    <col min="13317" max="13317" width="14.5546875" style="1" customWidth="1"/>
    <col min="13318" max="13318" width="14.109375" style="1" bestFit="1" customWidth="1"/>
    <col min="13319" max="13319" width="10.5546875" style="1" bestFit="1" customWidth="1"/>
    <col min="13320" max="13320" width="8.88671875" style="1"/>
    <col min="13321" max="13321" width="9.5546875" style="1" bestFit="1" customWidth="1"/>
    <col min="13322" max="13564" width="8.88671875" style="1"/>
    <col min="13565" max="13565" width="10" style="1" bestFit="1" customWidth="1"/>
    <col min="13566" max="13566" width="8.88671875" style="1"/>
    <col min="13567" max="13567" width="15" style="1" bestFit="1" customWidth="1"/>
    <col min="13568" max="13568" width="14.44140625" style="1" customWidth="1"/>
    <col min="13569" max="13569" width="10.88671875" style="1" bestFit="1" customWidth="1"/>
    <col min="13570" max="13570" width="8.88671875" style="1"/>
    <col min="13571" max="13571" width="19.109375" style="1" customWidth="1"/>
    <col min="13572" max="13572" width="8.88671875" style="1"/>
    <col min="13573" max="13573" width="14.5546875" style="1" customWidth="1"/>
    <col min="13574" max="13574" width="14.109375" style="1" bestFit="1" customWidth="1"/>
    <col min="13575" max="13575" width="10.5546875" style="1" bestFit="1" customWidth="1"/>
    <col min="13576" max="13576" width="8.88671875" style="1"/>
    <col min="13577" max="13577" width="9.5546875" style="1" bestFit="1" customWidth="1"/>
    <col min="13578" max="13820" width="8.88671875" style="1"/>
    <col min="13821" max="13821" width="10" style="1" bestFit="1" customWidth="1"/>
    <col min="13822" max="13822" width="8.88671875" style="1"/>
    <col min="13823" max="13823" width="15" style="1" bestFit="1" customWidth="1"/>
    <col min="13824" max="13824" width="14.44140625" style="1" customWidth="1"/>
    <col min="13825" max="13825" width="10.88671875" style="1" bestFit="1" customWidth="1"/>
    <col min="13826" max="13826" width="8.88671875" style="1"/>
    <col min="13827" max="13827" width="19.109375" style="1" customWidth="1"/>
    <col min="13828" max="13828" width="8.88671875" style="1"/>
    <col min="13829" max="13829" width="14.5546875" style="1" customWidth="1"/>
    <col min="13830" max="13830" width="14.109375" style="1" bestFit="1" customWidth="1"/>
    <col min="13831" max="13831" width="10.5546875" style="1" bestFit="1" customWidth="1"/>
    <col min="13832" max="13832" width="8.88671875" style="1"/>
    <col min="13833" max="13833" width="9.5546875" style="1" bestFit="1" customWidth="1"/>
    <col min="13834" max="14076" width="8.88671875" style="1"/>
    <col min="14077" max="14077" width="10" style="1" bestFit="1" customWidth="1"/>
    <col min="14078" max="14078" width="8.88671875" style="1"/>
    <col min="14079" max="14079" width="15" style="1" bestFit="1" customWidth="1"/>
    <col min="14080" max="14080" width="14.44140625" style="1" customWidth="1"/>
    <col min="14081" max="14081" width="10.88671875" style="1" bestFit="1" customWidth="1"/>
    <col min="14082" max="14082" width="8.88671875" style="1"/>
    <col min="14083" max="14083" width="19.109375" style="1" customWidth="1"/>
    <col min="14084" max="14084" width="8.88671875" style="1"/>
    <col min="14085" max="14085" width="14.5546875" style="1" customWidth="1"/>
    <col min="14086" max="14086" width="14.109375" style="1" bestFit="1" customWidth="1"/>
    <col min="14087" max="14087" width="10.5546875" style="1" bestFit="1" customWidth="1"/>
    <col min="14088" max="14088" width="8.88671875" style="1"/>
    <col min="14089" max="14089" width="9.5546875" style="1" bestFit="1" customWidth="1"/>
    <col min="14090" max="14332" width="8.88671875" style="1"/>
    <col min="14333" max="14333" width="10" style="1" bestFit="1" customWidth="1"/>
    <col min="14334" max="14334" width="8.88671875" style="1"/>
    <col min="14335" max="14335" width="15" style="1" bestFit="1" customWidth="1"/>
    <col min="14336" max="14336" width="14.44140625" style="1" customWidth="1"/>
    <col min="14337" max="14337" width="10.88671875" style="1" bestFit="1" customWidth="1"/>
    <col min="14338" max="14338" width="8.88671875" style="1"/>
    <col min="14339" max="14339" width="19.109375" style="1" customWidth="1"/>
    <col min="14340" max="14340" width="8.88671875" style="1"/>
    <col min="14341" max="14341" width="14.5546875" style="1" customWidth="1"/>
    <col min="14342" max="14342" width="14.109375" style="1" bestFit="1" customWidth="1"/>
    <col min="14343" max="14343" width="10.5546875" style="1" bestFit="1" customWidth="1"/>
    <col min="14344" max="14344" width="8.88671875" style="1"/>
    <col min="14345" max="14345" width="9.5546875" style="1" bestFit="1" customWidth="1"/>
    <col min="14346" max="14588" width="8.88671875" style="1"/>
    <col min="14589" max="14589" width="10" style="1" bestFit="1" customWidth="1"/>
    <col min="14590" max="14590" width="8.88671875" style="1"/>
    <col min="14591" max="14591" width="15" style="1" bestFit="1" customWidth="1"/>
    <col min="14592" max="14592" width="14.44140625" style="1" customWidth="1"/>
    <col min="14593" max="14593" width="10.88671875" style="1" bestFit="1" customWidth="1"/>
    <col min="14594" max="14594" width="8.88671875" style="1"/>
    <col min="14595" max="14595" width="19.109375" style="1" customWidth="1"/>
    <col min="14596" max="14596" width="8.88671875" style="1"/>
    <col min="14597" max="14597" width="14.5546875" style="1" customWidth="1"/>
    <col min="14598" max="14598" width="14.109375" style="1" bestFit="1" customWidth="1"/>
    <col min="14599" max="14599" width="10.5546875" style="1" bestFit="1" customWidth="1"/>
    <col min="14600" max="14600" width="8.88671875" style="1"/>
    <col min="14601" max="14601" width="9.5546875" style="1" bestFit="1" customWidth="1"/>
    <col min="14602" max="14844" width="8.88671875" style="1"/>
    <col min="14845" max="14845" width="10" style="1" bestFit="1" customWidth="1"/>
    <col min="14846" max="14846" width="8.88671875" style="1"/>
    <col min="14847" max="14847" width="15" style="1" bestFit="1" customWidth="1"/>
    <col min="14848" max="14848" width="14.44140625" style="1" customWidth="1"/>
    <col min="14849" max="14849" width="10.88671875" style="1" bestFit="1" customWidth="1"/>
    <col min="14850" max="14850" width="8.88671875" style="1"/>
    <col min="14851" max="14851" width="19.109375" style="1" customWidth="1"/>
    <col min="14852" max="14852" width="8.88671875" style="1"/>
    <col min="14853" max="14853" width="14.5546875" style="1" customWidth="1"/>
    <col min="14854" max="14854" width="14.109375" style="1" bestFit="1" customWidth="1"/>
    <col min="14855" max="14855" width="10.5546875" style="1" bestFit="1" customWidth="1"/>
    <col min="14856" max="14856" width="8.88671875" style="1"/>
    <col min="14857" max="14857" width="9.5546875" style="1" bestFit="1" customWidth="1"/>
    <col min="14858" max="15100" width="8.88671875" style="1"/>
    <col min="15101" max="15101" width="10" style="1" bestFit="1" customWidth="1"/>
    <col min="15102" max="15102" width="8.88671875" style="1"/>
    <col min="15103" max="15103" width="15" style="1" bestFit="1" customWidth="1"/>
    <col min="15104" max="15104" width="14.44140625" style="1" customWidth="1"/>
    <col min="15105" max="15105" width="10.88671875" style="1" bestFit="1" customWidth="1"/>
    <col min="15106" max="15106" width="8.88671875" style="1"/>
    <col min="15107" max="15107" width="19.109375" style="1" customWidth="1"/>
    <col min="15108" max="15108" width="8.88671875" style="1"/>
    <col min="15109" max="15109" width="14.5546875" style="1" customWidth="1"/>
    <col min="15110" max="15110" width="14.109375" style="1" bestFit="1" customWidth="1"/>
    <col min="15111" max="15111" width="10.5546875" style="1" bestFit="1" customWidth="1"/>
    <col min="15112" max="15112" width="8.88671875" style="1"/>
    <col min="15113" max="15113" width="9.5546875" style="1" bestFit="1" customWidth="1"/>
    <col min="15114" max="15356" width="8.88671875" style="1"/>
    <col min="15357" max="15357" width="10" style="1" bestFit="1" customWidth="1"/>
    <col min="15358" max="15358" width="8.88671875" style="1"/>
    <col min="15359" max="15359" width="15" style="1" bestFit="1" customWidth="1"/>
    <col min="15360" max="15360" width="14.44140625" style="1" customWidth="1"/>
    <col min="15361" max="15361" width="10.88671875" style="1" bestFit="1" customWidth="1"/>
    <col min="15362" max="15362" width="8.88671875" style="1"/>
    <col min="15363" max="15363" width="19.109375" style="1" customWidth="1"/>
    <col min="15364" max="15364" width="8.88671875" style="1"/>
    <col min="15365" max="15365" width="14.5546875" style="1" customWidth="1"/>
    <col min="15366" max="15366" width="14.109375" style="1" bestFit="1" customWidth="1"/>
    <col min="15367" max="15367" width="10.5546875" style="1" bestFit="1" customWidth="1"/>
    <col min="15368" max="15368" width="8.88671875" style="1"/>
    <col min="15369" max="15369" width="9.5546875" style="1" bestFit="1" customWidth="1"/>
    <col min="15370" max="15612" width="8.88671875" style="1"/>
    <col min="15613" max="15613" width="10" style="1" bestFit="1" customWidth="1"/>
    <col min="15614" max="15614" width="8.88671875" style="1"/>
    <col min="15615" max="15615" width="15" style="1" bestFit="1" customWidth="1"/>
    <col min="15616" max="15616" width="14.44140625" style="1" customWidth="1"/>
    <col min="15617" max="15617" width="10.88671875" style="1" bestFit="1" customWidth="1"/>
    <col min="15618" max="15618" width="8.88671875" style="1"/>
    <col min="15619" max="15619" width="19.109375" style="1" customWidth="1"/>
    <col min="15620" max="15620" width="8.88671875" style="1"/>
    <col min="15621" max="15621" width="14.5546875" style="1" customWidth="1"/>
    <col min="15622" max="15622" width="14.109375" style="1" bestFit="1" customWidth="1"/>
    <col min="15623" max="15623" width="10.5546875" style="1" bestFit="1" customWidth="1"/>
    <col min="15624" max="15624" width="8.88671875" style="1"/>
    <col min="15625" max="15625" width="9.5546875" style="1" bestFit="1" customWidth="1"/>
    <col min="15626" max="15868" width="8.88671875" style="1"/>
    <col min="15869" max="15869" width="10" style="1" bestFit="1" customWidth="1"/>
    <col min="15870" max="15870" width="8.88671875" style="1"/>
    <col min="15871" max="15871" width="15" style="1" bestFit="1" customWidth="1"/>
    <col min="15872" max="15872" width="14.44140625" style="1" customWidth="1"/>
    <col min="15873" max="15873" width="10.88671875" style="1" bestFit="1" customWidth="1"/>
    <col min="15874" max="15874" width="8.88671875" style="1"/>
    <col min="15875" max="15875" width="19.109375" style="1" customWidth="1"/>
    <col min="15876" max="15876" width="8.88671875" style="1"/>
    <col min="15877" max="15877" width="14.5546875" style="1" customWidth="1"/>
    <col min="15878" max="15878" width="14.109375" style="1" bestFit="1" customWidth="1"/>
    <col min="15879" max="15879" width="10.5546875" style="1" bestFit="1" customWidth="1"/>
    <col min="15880" max="15880" width="8.88671875" style="1"/>
    <col min="15881" max="15881" width="9.5546875" style="1" bestFit="1" customWidth="1"/>
    <col min="15882" max="16124" width="8.88671875" style="1"/>
    <col min="16125" max="16125" width="10" style="1" bestFit="1" customWidth="1"/>
    <col min="16126" max="16126" width="8.88671875" style="1"/>
    <col min="16127" max="16127" width="15" style="1" bestFit="1" customWidth="1"/>
    <col min="16128" max="16128" width="14.44140625" style="1" customWidth="1"/>
    <col min="16129" max="16129" width="10.88671875" style="1" bestFit="1" customWidth="1"/>
    <col min="16130" max="16130" width="8.88671875" style="1"/>
    <col min="16131" max="16131" width="19.109375" style="1" customWidth="1"/>
    <col min="16132" max="16132" width="8.88671875" style="1"/>
    <col min="16133" max="16133" width="14.5546875" style="1" customWidth="1"/>
    <col min="16134" max="16134" width="14.109375" style="1" bestFit="1" customWidth="1"/>
    <col min="16135" max="16135" width="10.5546875" style="1" bestFit="1" customWidth="1"/>
    <col min="16136" max="16136" width="8.88671875" style="1"/>
    <col min="16137" max="16137" width="9.5546875" style="1" bestFit="1" customWidth="1"/>
    <col min="16138" max="16380" width="8.88671875" style="1"/>
    <col min="16381" max="16384" width="9.109375" style="1" customWidth="1"/>
  </cols>
  <sheetData>
    <row r="1" spans="1:10" ht="22.8" x14ac:dyDescent="0.25">
      <c r="A1" s="296" t="str">
        <f>Resumo!A1</f>
        <v>ANEXO K-2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0" ht="15.6" x14ac:dyDescent="0.25">
      <c r="A2" s="393" t="str">
        <f>Resumo!A2</f>
        <v>COMPOSIÇÃO DE CUSTO DA ADMINISTRAÇÃO</v>
      </c>
      <c r="B2" s="393"/>
      <c r="C2" s="393"/>
      <c r="D2" s="393"/>
      <c r="E2" s="393"/>
      <c r="F2" s="393"/>
      <c r="G2" s="393"/>
      <c r="H2" s="393"/>
      <c r="I2" s="393"/>
      <c r="J2" s="393"/>
    </row>
    <row r="3" spans="1:10" ht="15.6" x14ac:dyDescent="0.25">
      <c r="A3" s="393" t="s">
        <v>41</v>
      </c>
      <c r="B3" s="393"/>
      <c r="C3" s="393"/>
      <c r="D3" s="393"/>
      <c r="E3" s="393"/>
      <c r="F3" s="393"/>
      <c r="G3" s="393"/>
      <c r="H3" s="393"/>
      <c r="I3" s="393"/>
      <c r="J3" s="393"/>
    </row>
    <row r="4" spans="1:10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ht="15.6" x14ac:dyDescent="0.3">
      <c r="A6" s="405" t="s">
        <v>132</v>
      </c>
      <c r="B6" s="405"/>
      <c r="C6" s="405"/>
      <c r="D6" s="405"/>
      <c r="E6" s="405"/>
      <c r="F6" s="405"/>
      <c r="G6" s="405"/>
      <c r="H6" s="405"/>
      <c r="I6" s="405"/>
      <c r="J6" s="405"/>
    </row>
    <row r="7" spans="1:10" ht="14.4" x14ac:dyDescent="0.25">
      <c r="A7" s="394" t="s">
        <v>3</v>
      </c>
      <c r="B7" s="396" t="s">
        <v>38</v>
      </c>
      <c r="C7" s="397"/>
      <c r="D7" s="397"/>
      <c r="E7" s="398"/>
      <c r="F7" s="406" t="s">
        <v>559</v>
      </c>
      <c r="G7" s="402" t="s">
        <v>42</v>
      </c>
      <c r="H7" s="403" t="s">
        <v>43</v>
      </c>
      <c r="I7" s="188" t="s">
        <v>44</v>
      </c>
      <c r="J7" s="188" t="s">
        <v>46</v>
      </c>
    </row>
    <row r="8" spans="1:10" ht="14.4" x14ac:dyDescent="0.25">
      <c r="A8" s="395"/>
      <c r="B8" s="399"/>
      <c r="C8" s="400"/>
      <c r="D8" s="400"/>
      <c r="E8" s="401"/>
      <c r="F8" s="407"/>
      <c r="G8" s="395"/>
      <c r="H8" s="404"/>
      <c r="I8" s="189" t="s">
        <v>45</v>
      </c>
      <c r="J8" s="189" t="s">
        <v>45</v>
      </c>
    </row>
    <row r="9" spans="1:10" ht="14.4" customHeight="1" x14ac:dyDescent="0.25">
      <c r="A9" s="210">
        <v>1</v>
      </c>
      <c r="B9" s="217" t="s">
        <v>47</v>
      </c>
      <c r="C9" s="218"/>
      <c r="D9" s="218"/>
      <c r="E9" s="218"/>
      <c r="F9" s="219"/>
      <c r="G9" s="219"/>
      <c r="H9" s="219"/>
      <c r="I9" s="219"/>
      <c r="J9" s="220"/>
    </row>
    <row r="10" spans="1:10" ht="39.6" x14ac:dyDescent="0.25">
      <c r="A10" s="190" t="s">
        <v>48</v>
      </c>
      <c r="B10" s="392" t="s">
        <v>74</v>
      </c>
      <c r="C10" s="392"/>
      <c r="D10" s="392"/>
      <c r="E10" s="392"/>
      <c r="F10" s="202" t="s">
        <v>411</v>
      </c>
      <c r="G10" s="190" t="s">
        <v>49</v>
      </c>
      <c r="H10" s="190">
        <v>5</v>
      </c>
      <c r="I10" s="207">
        <v>432.32</v>
      </c>
      <c r="J10" s="223">
        <f>IF(I10="","Inserir Valor Unitário",H10*I10)</f>
        <v>2161.6</v>
      </c>
    </row>
    <row r="11" spans="1:10" ht="14.4" customHeight="1" x14ac:dyDescent="0.25">
      <c r="A11" s="221">
        <v>2</v>
      </c>
      <c r="B11" s="214" t="s">
        <v>50</v>
      </c>
      <c r="C11" s="215"/>
      <c r="D11" s="215"/>
      <c r="E11" s="215"/>
      <c r="F11" s="215"/>
      <c r="G11" s="215"/>
      <c r="H11" s="215"/>
      <c r="I11" s="215"/>
      <c r="J11" s="216"/>
    </row>
    <row r="12" spans="1:10" ht="30" customHeight="1" x14ac:dyDescent="0.25">
      <c r="A12" s="190" t="s">
        <v>10</v>
      </c>
      <c r="B12" s="392" t="s">
        <v>51</v>
      </c>
      <c r="C12" s="392"/>
      <c r="D12" s="392"/>
      <c r="E12" s="392"/>
      <c r="F12" s="201" t="s">
        <v>405</v>
      </c>
      <c r="G12" s="190" t="s">
        <v>52</v>
      </c>
      <c r="H12" s="190">
        <v>1020</v>
      </c>
      <c r="I12" s="207">
        <v>1.44</v>
      </c>
      <c r="J12" s="223">
        <f t="shared" ref="J12:J17" si="0">IF(I12="","Inserir Valor Unitário",H12*I12)</f>
        <v>1468.8</v>
      </c>
    </row>
    <row r="13" spans="1:10" ht="30" customHeight="1" x14ac:dyDescent="0.25">
      <c r="A13" s="190" t="s">
        <v>13</v>
      </c>
      <c r="B13" s="392" t="s">
        <v>53</v>
      </c>
      <c r="C13" s="392"/>
      <c r="D13" s="392"/>
      <c r="E13" s="392"/>
      <c r="F13" s="201" t="s">
        <v>406</v>
      </c>
      <c r="G13" s="190" t="s">
        <v>52</v>
      </c>
      <c r="H13" s="190">
        <v>650</v>
      </c>
      <c r="I13" s="207">
        <v>2.29</v>
      </c>
      <c r="J13" s="223">
        <f t="shared" si="0"/>
        <v>1488.5</v>
      </c>
    </row>
    <row r="14" spans="1:10" ht="30" customHeight="1" x14ac:dyDescent="0.25">
      <c r="A14" s="190" t="s">
        <v>54</v>
      </c>
      <c r="B14" s="392" t="s">
        <v>55</v>
      </c>
      <c r="C14" s="392"/>
      <c r="D14" s="392"/>
      <c r="E14" s="392"/>
      <c r="F14" s="201" t="s">
        <v>407</v>
      </c>
      <c r="G14" s="190" t="s">
        <v>52</v>
      </c>
      <c r="H14" s="190">
        <v>220</v>
      </c>
      <c r="I14" s="207">
        <v>22.86</v>
      </c>
      <c r="J14" s="223">
        <f t="shared" si="0"/>
        <v>5029.2</v>
      </c>
    </row>
    <row r="15" spans="1:10" ht="30" customHeight="1" x14ac:dyDescent="0.25">
      <c r="A15" s="190" t="s">
        <v>56</v>
      </c>
      <c r="B15" s="392" t="s">
        <v>57</v>
      </c>
      <c r="C15" s="392"/>
      <c r="D15" s="392"/>
      <c r="E15" s="392"/>
      <c r="F15" s="201" t="s">
        <v>408</v>
      </c>
      <c r="G15" s="190" t="s">
        <v>52</v>
      </c>
      <c r="H15" s="190">
        <v>650</v>
      </c>
      <c r="I15" s="207">
        <v>169.04</v>
      </c>
      <c r="J15" s="223">
        <f t="shared" si="0"/>
        <v>109876</v>
      </c>
    </row>
    <row r="16" spans="1:10" ht="30" customHeight="1" x14ac:dyDescent="0.25">
      <c r="A16" s="190" t="s">
        <v>58</v>
      </c>
      <c r="B16" s="392" t="s">
        <v>59</v>
      </c>
      <c r="C16" s="392"/>
      <c r="D16" s="392"/>
      <c r="E16" s="392"/>
      <c r="F16" s="201" t="s">
        <v>409</v>
      </c>
      <c r="G16" s="190" t="s">
        <v>52</v>
      </c>
      <c r="H16" s="190">
        <v>150</v>
      </c>
      <c r="I16" s="207">
        <v>31.08</v>
      </c>
      <c r="J16" s="223">
        <f t="shared" si="0"/>
        <v>4662</v>
      </c>
    </row>
    <row r="17" spans="1:10" ht="30" customHeight="1" x14ac:dyDescent="0.25">
      <c r="A17" s="190" t="s">
        <v>60</v>
      </c>
      <c r="B17" s="392" t="s">
        <v>61</v>
      </c>
      <c r="C17" s="392"/>
      <c r="D17" s="392"/>
      <c r="E17" s="392"/>
      <c r="F17" s="201" t="s">
        <v>410</v>
      </c>
      <c r="G17" s="190" t="s">
        <v>52</v>
      </c>
      <c r="H17" s="190">
        <v>650</v>
      </c>
      <c r="I17" s="207">
        <v>25.61</v>
      </c>
      <c r="J17" s="223">
        <f t="shared" si="0"/>
        <v>16646.5</v>
      </c>
    </row>
    <row r="18" spans="1:10" ht="18" x14ac:dyDescent="0.25">
      <c r="A18" s="210">
        <v>3</v>
      </c>
      <c r="B18" s="211" t="s">
        <v>62</v>
      </c>
      <c r="C18" s="212"/>
      <c r="D18" s="212"/>
      <c r="E18" s="212"/>
      <c r="F18" s="212"/>
      <c r="G18" s="212"/>
      <c r="H18" s="212"/>
      <c r="I18" s="212"/>
      <c r="J18" s="213"/>
    </row>
    <row r="19" spans="1:10" ht="14.4" x14ac:dyDescent="0.25">
      <c r="A19" s="190" t="s">
        <v>63</v>
      </c>
      <c r="B19" s="392" t="s">
        <v>64</v>
      </c>
      <c r="C19" s="392"/>
      <c r="D19" s="392"/>
      <c r="E19" s="392"/>
      <c r="F19" s="201" t="s">
        <v>412</v>
      </c>
      <c r="G19" s="190" t="s">
        <v>52</v>
      </c>
      <c r="H19" s="190">
        <v>50</v>
      </c>
      <c r="I19" s="207">
        <v>20.92</v>
      </c>
      <c r="J19" s="223">
        <f t="shared" ref="J19:J20" si="1">IF(I19="","Inserir Valor Unitário",H19*I19)</f>
        <v>1046</v>
      </c>
    </row>
    <row r="20" spans="1:10" ht="14.4" x14ac:dyDescent="0.25">
      <c r="A20" s="190" t="s">
        <v>65</v>
      </c>
      <c r="B20" s="392" t="s">
        <v>66</v>
      </c>
      <c r="C20" s="392"/>
      <c r="D20" s="392"/>
      <c r="E20" s="392"/>
      <c r="F20" s="201" t="s">
        <v>413</v>
      </c>
      <c r="G20" s="190" t="s">
        <v>52</v>
      </c>
      <c r="H20" s="190">
        <v>50</v>
      </c>
      <c r="I20" s="207">
        <v>12.36</v>
      </c>
      <c r="J20" s="223">
        <f t="shared" si="1"/>
        <v>618</v>
      </c>
    </row>
    <row r="21" spans="1:10" ht="18" x14ac:dyDescent="0.25">
      <c r="A21" s="222">
        <v>4</v>
      </c>
      <c r="B21" s="211" t="s">
        <v>404</v>
      </c>
      <c r="C21" s="212"/>
      <c r="D21" s="212"/>
      <c r="E21" s="212"/>
      <c r="F21" s="212"/>
      <c r="G21" s="212"/>
      <c r="H21" s="212"/>
      <c r="I21" s="212"/>
      <c r="J21" s="213"/>
    </row>
    <row r="22" spans="1:10" ht="30" customHeight="1" x14ac:dyDescent="0.25">
      <c r="A22" s="190" t="s">
        <v>23</v>
      </c>
      <c r="B22" s="392" t="s">
        <v>67</v>
      </c>
      <c r="C22" s="392"/>
      <c r="D22" s="392"/>
      <c r="E22" s="392"/>
      <c r="F22" s="203" t="s">
        <v>414</v>
      </c>
      <c r="G22" s="190" t="s">
        <v>68</v>
      </c>
      <c r="H22" s="190">
        <v>160</v>
      </c>
      <c r="I22" s="207">
        <v>185.5</v>
      </c>
      <c r="J22" s="223">
        <f t="shared" ref="J22:J25" si="2">IF(I22="","Inserir Valor Unitário",H22*I22)</f>
        <v>29680</v>
      </c>
    </row>
    <row r="23" spans="1:10" ht="30" customHeight="1" x14ac:dyDescent="0.25">
      <c r="A23" s="190" t="s">
        <v>24</v>
      </c>
      <c r="B23" s="392" t="s">
        <v>69</v>
      </c>
      <c r="C23" s="392"/>
      <c r="D23" s="392"/>
      <c r="E23" s="392"/>
      <c r="F23" s="204" t="s">
        <v>415</v>
      </c>
      <c r="G23" s="190" t="s">
        <v>68</v>
      </c>
      <c r="H23" s="190">
        <v>80</v>
      </c>
      <c r="I23" s="207">
        <v>469.83</v>
      </c>
      <c r="J23" s="223">
        <f t="shared" si="2"/>
        <v>37586.400000000001</v>
      </c>
    </row>
    <row r="24" spans="1:10" ht="30" customHeight="1" x14ac:dyDescent="0.25">
      <c r="A24" s="190" t="s">
        <v>70</v>
      </c>
      <c r="B24" s="392" t="s">
        <v>71</v>
      </c>
      <c r="C24" s="392"/>
      <c r="D24" s="392"/>
      <c r="E24" s="392"/>
      <c r="F24" s="201" t="s">
        <v>416</v>
      </c>
      <c r="G24" s="190" t="s">
        <v>68</v>
      </c>
      <c r="H24" s="190">
        <v>45</v>
      </c>
      <c r="I24" s="207">
        <v>436.26</v>
      </c>
      <c r="J24" s="223">
        <f t="shared" si="2"/>
        <v>19631.7</v>
      </c>
    </row>
    <row r="25" spans="1:10" ht="30" customHeight="1" x14ac:dyDescent="0.25">
      <c r="A25" s="190" t="s">
        <v>72</v>
      </c>
      <c r="B25" s="392" t="s">
        <v>73</v>
      </c>
      <c r="C25" s="392"/>
      <c r="D25" s="392"/>
      <c r="E25" s="392"/>
      <c r="F25" s="204" t="s">
        <v>413</v>
      </c>
      <c r="G25" s="190" t="s">
        <v>68</v>
      </c>
      <c r="H25" s="190">
        <v>250</v>
      </c>
      <c r="I25" s="207">
        <v>12.36</v>
      </c>
      <c r="J25" s="223">
        <f t="shared" si="2"/>
        <v>3090</v>
      </c>
    </row>
    <row r="26" spans="1:10" ht="18" x14ac:dyDescent="0.25">
      <c r="A26" s="209">
        <v>5</v>
      </c>
      <c r="B26" s="208" t="s">
        <v>116</v>
      </c>
      <c r="C26" s="205"/>
      <c r="D26" s="205"/>
      <c r="E26" s="205"/>
      <c r="F26" s="205"/>
      <c r="G26" s="205"/>
      <c r="H26" s="205"/>
      <c r="I26" s="205"/>
      <c r="J26" s="206"/>
    </row>
    <row r="27" spans="1:10" ht="14.4" x14ac:dyDescent="0.25">
      <c r="A27" s="6" t="s">
        <v>100</v>
      </c>
      <c r="B27" s="386" t="s">
        <v>111</v>
      </c>
      <c r="C27" s="387"/>
      <c r="D27" s="387"/>
      <c r="E27" s="388"/>
      <c r="F27" s="204" t="s">
        <v>419</v>
      </c>
      <c r="G27" s="20" t="s">
        <v>52</v>
      </c>
      <c r="H27" s="57">
        <f>H28</f>
        <v>6232</v>
      </c>
      <c r="I27" s="181">
        <v>10.47</v>
      </c>
      <c r="J27" s="223">
        <f t="shared" ref="J27:J35" si="3">IF(I27="","Inserir Valor Unitário",H27*I27)</f>
        <v>65249.04</v>
      </c>
    </row>
    <row r="28" spans="1:10" ht="30" customHeight="1" x14ac:dyDescent="0.25">
      <c r="A28" s="6" t="s">
        <v>101</v>
      </c>
      <c r="B28" s="386" t="s">
        <v>106</v>
      </c>
      <c r="C28" s="387"/>
      <c r="D28" s="387"/>
      <c r="E28" s="388"/>
      <c r="F28" s="204" t="s">
        <v>417</v>
      </c>
      <c r="G28" s="12" t="s">
        <v>68</v>
      </c>
      <c r="H28" s="58">
        <v>6232</v>
      </c>
      <c r="I28" s="182">
        <v>11.31</v>
      </c>
      <c r="J28" s="223">
        <f t="shared" si="3"/>
        <v>70483.92</v>
      </c>
    </row>
    <row r="29" spans="1:10" ht="14.4" x14ac:dyDescent="0.25">
      <c r="A29" s="6" t="s">
        <v>102</v>
      </c>
      <c r="B29" s="386" t="s">
        <v>113</v>
      </c>
      <c r="C29" s="387"/>
      <c r="D29" s="387"/>
      <c r="E29" s="388"/>
      <c r="F29" s="204" t="s">
        <v>420</v>
      </c>
      <c r="G29" s="12" t="s">
        <v>52</v>
      </c>
      <c r="H29" s="58">
        <f>H30</f>
        <v>2056</v>
      </c>
      <c r="I29" s="182">
        <v>19.73</v>
      </c>
      <c r="J29" s="223">
        <f t="shared" si="3"/>
        <v>40564.879999999997</v>
      </c>
    </row>
    <row r="30" spans="1:10" ht="30" customHeight="1" x14ac:dyDescent="0.25">
      <c r="A30" s="6" t="s">
        <v>103</v>
      </c>
      <c r="B30" s="386" t="s">
        <v>107</v>
      </c>
      <c r="C30" s="387"/>
      <c r="D30" s="387"/>
      <c r="E30" s="388"/>
      <c r="F30" s="204" t="s">
        <v>418</v>
      </c>
      <c r="G30" s="12" t="s">
        <v>68</v>
      </c>
      <c r="H30" s="58">
        <v>2056</v>
      </c>
      <c r="I30" s="182">
        <v>12.76</v>
      </c>
      <c r="J30" s="223">
        <f t="shared" si="3"/>
        <v>26234.560000000001</v>
      </c>
    </row>
    <row r="31" spans="1:10" ht="14.4" x14ac:dyDescent="0.25">
      <c r="A31" s="6" t="s">
        <v>104</v>
      </c>
      <c r="B31" s="386" t="s">
        <v>109</v>
      </c>
      <c r="C31" s="387"/>
      <c r="D31" s="387"/>
      <c r="E31" s="388"/>
      <c r="F31" s="190" t="s">
        <v>426</v>
      </c>
      <c r="G31" s="12" t="s">
        <v>52</v>
      </c>
      <c r="H31" s="58">
        <f>H32+H36</f>
        <v>1663</v>
      </c>
      <c r="I31" s="182">
        <v>6.52</v>
      </c>
      <c r="J31" s="223">
        <f t="shared" si="3"/>
        <v>10842.759999999998</v>
      </c>
    </row>
    <row r="32" spans="1:10" ht="45" customHeight="1" x14ac:dyDescent="0.25">
      <c r="A32" s="6" t="s">
        <v>110</v>
      </c>
      <c r="B32" s="386" t="s">
        <v>105</v>
      </c>
      <c r="C32" s="387"/>
      <c r="D32" s="387"/>
      <c r="E32" s="388"/>
      <c r="F32" s="190" t="s">
        <v>425</v>
      </c>
      <c r="G32" s="12" t="s">
        <v>68</v>
      </c>
      <c r="H32" s="58">
        <v>941</v>
      </c>
      <c r="I32" s="182">
        <v>18.2</v>
      </c>
      <c r="J32" s="223">
        <f t="shared" si="3"/>
        <v>17126.2</v>
      </c>
    </row>
    <row r="33" spans="1:10" ht="14.4" x14ac:dyDescent="0.25">
      <c r="A33" s="6" t="s">
        <v>112</v>
      </c>
      <c r="B33" s="386" t="s">
        <v>111</v>
      </c>
      <c r="C33" s="387"/>
      <c r="D33" s="387"/>
      <c r="E33" s="388"/>
      <c r="F33" s="190" t="s">
        <v>424</v>
      </c>
      <c r="G33" s="12" t="s">
        <v>52</v>
      </c>
      <c r="H33" s="58">
        <f>H34</f>
        <v>4179</v>
      </c>
      <c r="I33" s="181">
        <v>10.47</v>
      </c>
      <c r="J33" s="223">
        <f t="shared" si="3"/>
        <v>43754.130000000005</v>
      </c>
    </row>
    <row r="34" spans="1:10" ht="30" customHeight="1" x14ac:dyDescent="0.25">
      <c r="A34" s="6" t="s">
        <v>117</v>
      </c>
      <c r="B34" s="386" t="s">
        <v>114</v>
      </c>
      <c r="C34" s="387"/>
      <c r="D34" s="387"/>
      <c r="E34" s="388"/>
      <c r="F34" s="190" t="s">
        <v>423</v>
      </c>
      <c r="G34" s="12" t="s">
        <v>68</v>
      </c>
      <c r="H34" s="58">
        <v>4179</v>
      </c>
      <c r="I34" s="182">
        <v>19.18</v>
      </c>
      <c r="J34" s="223">
        <f t="shared" si="3"/>
        <v>80153.22</v>
      </c>
    </row>
    <row r="35" spans="1:10" ht="30" customHeight="1" x14ac:dyDescent="0.25">
      <c r="A35" s="6" t="s">
        <v>118</v>
      </c>
      <c r="B35" s="386" t="s">
        <v>115</v>
      </c>
      <c r="C35" s="387"/>
      <c r="D35" s="387"/>
      <c r="E35" s="388"/>
      <c r="F35" s="190" t="s">
        <v>422</v>
      </c>
      <c r="G35" s="12" t="s">
        <v>68</v>
      </c>
      <c r="H35" s="58">
        <f>0.8*2.1*10</f>
        <v>16.8</v>
      </c>
      <c r="I35" s="182">
        <v>14.57</v>
      </c>
      <c r="J35" s="223">
        <f t="shared" si="3"/>
        <v>244.77600000000001</v>
      </c>
    </row>
    <row r="36" spans="1:10" ht="30" customHeight="1" x14ac:dyDescent="0.25">
      <c r="A36" s="13" t="s">
        <v>119</v>
      </c>
      <c r="B36" s="386" t="s">
        <v>120</v>
      </c>
      <c r="C36" s="387"/>
      <c r="D36" s="387"/>
      <c r="E36" s="388"/>
      <c r="F36" s="190" t="s">
        <v>421</v>
      </c>
      <c r="G36" s="14" t="s">
        <v>68</v>
      </c>
      <c r="H36" s="59">
        <v>722</v>
      </c>
      <c r="I36" s="183">
        <v>9.9</v>
      </c>
      <c r="J36" s="223">
        <f>IF(I36="","Inserir Valor Unitário",H36*I36)</f>
        <v>7147.8</v>
      </c>
    </row>
    <row r="37" spans="1:10" ht="14.4" x14ac:dyDescent="0.25">
      <c r="A37" s="15"/>
      <c r="B37" s="16"/>
      <c r="C37" s="16"/>
      <c r="D37" s="16"/>
      <c r="E37" s="16"/>
      <c r="F37" s="16"/>
      <c r="G37" s="17"/>
      <c r="H37" s="17"/>
      <c r="I37" s="18"/>
      <c r="J37" s="19"/>
    </row>
    <row r="38" spans="1:10" ht="23.4" customHeight="1" x14ac:dyDescent="0.25">
      <c r="A38" s="389" t="s">
        <v>108</v>
      </c>
      <c r="B38" s="390"/>
      <c r="C38" s="390"/>
      <c r="D38" s="390"/>
      <c r="E38" s="390"/>
      <c r="F38" s="390"/>
      <c r="G38" s="390"/>
      <c r="H38" s="390"/>
      <c r="I38" s="391"/>
      <c r="J38" s="275">
        <f>SUM(J27:J36,J22:J25,J19:J20,J12:J17,J10)</f>
        <v>594785.98599999992</v>
      </c>
    </row>
    <row r="39" spans="1:10" ht="23.4" customHeight="1" x14ac:dyDescent="0.25">
      <c r="A39" s="389" t="s">
        <v>2</v>
      </c>
      <c r="B39" s="390"/>
      <c r="C39" s="390"/>
      <c r="D39" s="390"/>
      <c r="E39" s="390"/>
      <c r="F39" s="390"/>
      <c r="G39" s="390"/>
      <c r="H39" s="390"/>
      <c r="I39" s="391"/>
      <c r="J39" s="276">
        <f>BDI!C35</f>
        <v>0.15278047942916406</v>
      </c>
    </row>
    <row r="40" spans="1:10" ht="23.4" customHeight="1" x14ac:dyDescent="0.25">
      <c r="A40" s="389" t="s">
        <v>1</v>
      </c>
      <c r="B40" s="390"/>
      <c r="C40" s="390"/>
      <c r="D40" s="390"/>
      <c r="E40" s="390"/>
      <c r="F40" s="390"/>
      <c r="G40" s="390"/>
      <c r="H40" s="390"/>
      <c r="I40" s="391"/>
      <c r="J40" s="277">
        <f>J38*(1+J39)</f>
        <v>685657.67409882799</v>
      </c>
    </row>
    <row r="41" spans="1:10" ht="14.4" customHeight="1" x14ac:dyDescent="0.25">
      <c r="A41" s="273"/>
      <c r="B41" s="273"/>
      <c r="C41" s="273"/>
      <c r="D41" s="273"/>
      <c r="E41" s="273"/>
      <c r="F41" s="273"/>
      <c r="G41" s="273"/>
      <c r="H41" s="273"/>
      <c r="I41" s="273"/>
      <c r="J41" s="274"/>
    </row>
    <row r="42" spans="1:10" x14ac:dyDescent="0.25">
      <c r="A42" s="23"/>
      <c r="B42" s="23"/>
      <c r="C42" s="21"/>
      <c r="D42" s="21"/>
      <c r="E42" s="21"/>
      <c r="F42" s="21"/>
      <c r="G42" s="21"/>
      <c r="H42" s="21"/>
      <c r="I42" s="21"/>
      <c r="J42" s="21"/>
    </row>
    <row r="44" spans="1:10" x14ac:dyDescent="0.25">
      <c r="A44" s="1" t="s">
        <v>298</v>
      </c>
    </row>
    <row r="45" spans="1:10" x14ac:dyDescent="0.25">
      <c r="A45" s="1" t="s">
        <v>299</v>
      </c>
    </row>
    <row r="46" spans="1:10" x14ac:dyDescent="0.25">
      <c r="A46" s="1" t="s">
        <v>300</v>
      </c>
    </row>
    <row r="47" spans="1:10" x14ac:dyDescent="0.25">
      <c r="A47" s="1" t="s">
        <v>301</v>
      </c>
    </row>
  </sheetData>
  <mergeCells count="35">
    <mergeCell ref="A39:I39"/>
    <mergeCell ref="A40:I40"/>
    <mergeCell ref="A1:J1"/>
    <mergeCell ref="A2:J2"/>
    <mergeCell ref="A3:J3"/>
    <mergeCell ref="A7:A8"/>
    <mergeCell ref="B7:E8"/>
    <mergeCell ref="G7:G8"/>
    <mergeCell ref="H7:H8"/>
    <mergeCell ref="A6:J6"/>
    <mergeCell ref="F7:F8"/>
    <mergeCell ref="B20:E20"/>
    <mergeCell ref="B10:E10"/>
    <mergeCell ref="B12:E12"/>
    <mergeCell ref="B13:E13"/>
    <mergeCell ref="B14:E14"/>
    <mergeCell ref="B15:E15"/>
    <mergeCell ref="B16:E16"/>
    <mergeCell ref="B17:E17"/>
    <mergeCell ref="B19:E19"/>
    <mergeCell ref="B32:E32"/>
    <mergeCell ref="B22:E22"/>
    <mergeCell ref="B23:E23"/>
    <mergeCell ref="B24:E24"/>
    <mergeCell ref="B25:E25"/>
    <mergeCell ref="B27:E27"/>
    <mergeCell ref="B28:E28"/>
    <mergeCell ref="B29:E29"/>
    <mergeCell ref="B30:E30"/>
    <mergeCell ref="B31:E31"/>
    <mergeCell ref="B33:E33"/>
    <mergeCell ref="B34:E34"/>
    <mergeCell ref="B35:E35"/>
    <mergeCell ref="B36:E36"/>
    <mergeCell ref="A38:I3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Resumo</vt:lpstr>
      <vt:lpstr>BDI</vt:lpstr>
      <vt:lpstr>ENCARREGADO </vt:lpstr>
      <vt:lpstr>ELETRICISTA </vt:lpstr>
      <vt:lpstr>ENCANADOR </vt:lpstr>
      <vt:lpstr>PEDREIRO </vt:lpstr>
      <vt:lpstr>SERVENTE</vt:lpstr>
      <vt:lpstr>AUX.ELET.</vt:lpstr>
      <vt:lpstr>Serviço Eventual</vt:lpstr>
      <vt:lpstr>Equip e Ferramental</vt:lpstr>
      <vt:lpstr>ESPECIALIZADOS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Cardoso da Silva</dc:creator>
  <cp:lastModifiedBy>Joao Bulhoes de Lima Neto</cp:lastModifiedBy>
  <dcterms:created xsi:type="dcterms:W3CDTF">2019-09-16T15:09:36Z</dcterms:created>
  <dcterms:modified xsi:type="dcterms:W3CDTF">2021-12-03T17:01:23Z</dcterms:modified>
</cp:coreProperties>
</file>