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Users\07038549847\Desktop\"/>
    </mc:Choice>
  </mc:AlternateContent>
  <bookViews>
    <workbookView xWindow="0" yWindow="0" windowWidth="2150" windowHeight="0" tabRatio="956" firstSheet="4" activeTab="15"/>
  </bookViews>
  <sheets>
    <sheet name="INFORMAÇÕES RELEVANTES" sheetId="27" r:id="rId1"/>
    <sheet name="DADOS DO LICITANTE" sheetId="13" r:id="rId2"/>
    <sheet name="UNIFORMES" sheetId="11" r:id="rId3"/>
    <sheet name="Materiais de Higiene " sheetId="28" r:id="rId4"/>
    <sheet name="Outros Serviços " sheetId="20" r:id="rId5"/>
    <sheet name="Áreas, Produt. e Postos" sheetId="30" r:id="rId6"/>
    <sheet name="Líder" sheetId="15" r:id="rId7"/>
    <sheet name="Servente 40h" sheetId="16" r:id="rId8"/>
    <sheet name="Servente 20h" sheetId="29" r:id="rId9"/>
    <sheet name="Agente de Higienização" sheetId="24" r:id="rId10"/>
    <sheet name="Limp Vidros" sheetId="18" r:id="rId11"/>
    <sheet name="Limp Vidros c risco" sheetId="31" r:id="rId12"/>
    <sheet name="Valores por m²" sheetId="21" r:id="rId13"/>
    <sheet name="Preço por localidade - m2" sheetId="33" r:id="rId14"/>
    <sheet name="Preço por localidade - posto" sheetId="32" r:id="rId15"/>
    <sheet name="Valor Total do Contrato" sheetId="26" r:id="rId16"/>
  </sheets>
  <externalReferences>
    <externalReference r:id="rId17"/>
  </externalReferenc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26" l="1"/>
  <c r="D86" i="32"/>
  <c r="D80" i="32"/>
  <c r="F101" i="33"/>
  <c r="F99" i="33"/>
  <c r="F83" i="33"/>
  <c r="F65" i="33"/>
  <c r="F62" i="33"/>
  <c r="F42" i="33"/>
  <c r="F40" i="33"/>
  <c r="F39" i="33"/>
  <c r="F21" i="33"/>
  <c r="F18" i="33"/>
  <c r="F18" i="32" l="1"/>
  <c r="F2" i="32"/>
  <c r="H52" i="29"/>
  <c r="G52" i="29"/>
  <c r="G58" i="29"/>
  <c r="G57" i="29"/>
  <c r="G56" i="29"/>
  <c r="G55" i="29"/>
  <c r="G54" i="29"/>
  <c r="K90" i="16" l="1"/>
  <c r="BA28" i="30"/>
  <c r="AZ28" i="30"/>
  <c r="AY28" i="30"/>
  <c r="BE28" i="30"/>
  <c r="BJ5" i="30"/>
  <c r="BJ4" i="30"/>
  <c r="BJ3" i="30"/>
  <c r="BJ25" i="30"/>
  <c r="BJ24" i="30"/>
  <c r="BJ23" i="30"/>
  <c r="BJ22" i="30"/>
  <c r="BI25" i="30"/>
  <c r="BI24" i="30"/>
  <c r="BI23" i="30"/>
  <c r="BI22" i="30"/>
  <c r="BH25" i="30"/>
  <c r="BH24" i="30"/>
  <c r="BH23" i="30"/>
  <c r="BH22" i="30"/>
  <c r="BG25" i="30"/>
  <c r="BG24" i="30"/>
  <c r="BG23" i="30"/>
  <c r="BG22" i="30"/>
  <c r="BF25" i="30"/>
  <c r="BF24" i="30"/>
  <c r="BF23" i="30"/>
  <c r="BF22" i="30"/>
  <c r="BE25" i="30"/>
  <c r="BE24" i="30"/>
  <c r="BE23" i="30"/>
  <c r="BE22" i="30"/>
  <c r="BD25" i="30"/>
  <c r="BD24" i="30"/>
  <c r="BD23" i="30"/>
  <c r="BD22" i="30"/>
  <c r="BC25" i="30"/>
  <c r="BC24" i="30"/>
  <c r="BC23" i="30"/>
  <c r="BC22" i="30"/>
  <c r="BB25" i="30"/>
  <c r="BB24" i="30"/>
  <c r="BB23" i="30"/>
  <c r="BB22" i="30"/>
  <c r="BA25" i="30"/>
  <c r="BA24" i="30"/>
  <c r="BA23" i="30"/>
  <c r="BA22" i="30"/>
  <c r="AZ25" i="30"/>
  <c r="AZ24" i="30"/>
  <c r="AZ23" i="30"/>
  <c r="AZ22" i="30"/>
  <c r="AY25" i="30"/>
  <c r="AY24" i="30"/>
  <c r="AY23" i="30"/>
  <c r="AY22" i="30"/>
  <c r="I26" i="30"/>
  <c r="E26" i="30"/>
  <c r="AS13" i="30"/>
  <c r="AO13" i="30"/>
  <c r="AK13" i="30"/>
  <c r="AG13" i="30"/>
  <c r="AC13" i="30"/>
  <c r="Y13" i="30"/>
  <c r="U13" i="30"/>
  <c r="Q13" i="30"/>
  <c r="M13" i="30"/>
  <c r="AV24" i="30"/>
  <c r="AV23" i="30"/>
  <c r="AR24" i="30"/>
  <c r="AR23" i="30"/>
  <c r="AN24" i="30"/>
  <c r="AN23" i="30"/>
  <c r="AJ24" i="30"/>
  <c r="AJ23" i="30"/>
  <c r="AF24" i="30"/>
  <c r="AF23" i="30"/>
  <c r="AB24" i="30"/>
  <c r="AB23" i="30"/>
  <c r="X24" i="30"/>
  <c r="X23" i="30"/>
  <c r="T24" i="30"/>
  <c r="T23" i="30"/>
  <c r="P24" i="30"/>
  <c r="P23" i="30"/>
  <c r="L24" i="30"/>
  <c r="L23" i="30"/>
  <c r="G85" i="24" l="1"/>
  <c r="G84" i="24"/>
  <c r="H84" i="18"/>
  <c r="I84" i="18"/>
  <c r="J84" i="18"/>
  <c r="K84" i="18"/>
  <c r="L84" i="18"/>
  <c r="M84" i="18"/>
  <c r="N84" i="18"/>
  <c r="O84" i="18"/>
  <c r="P84" i="18"/>
  <c r="Q84" i="18"/>
  <c r="G84" i="18"/>
  <c r="G85" i="31"/>
  <c r="H84" i="31"/>
  <c r="I84" i="31"/>
  <c r="G84" i="31"/>
  <c r="H83" i="31"/>
  <c r="I83" i="31"/>
  <c r="G83" i="31"/>
  <c r="H81" i="31"/>
  <c r="I81" i="31"/>
  <c r="G81" i="31"/>
  <c r="G81" i="18"/>
  <c r="H79" i="31"/>
  <c r="I79" i="31"/>
  <c r="G79" i="31"/>
  <c r="H77" i="31"/>
  <c r="I77" i="31"/>
  <c r="G77" i="31"/>
  <c r="H75" i="31"/>
  <c r="I75" i="31"/>
  <c r="G75" i="31"/>
  <c r="H74" i="31"/>
  <c r="I74" i="31"/>
  <c r="G74" i="31"/>
  <c r="G74" i="18"/>
  <c r="H67" i="31"/>
  <c r="I67" i="31"/>
  <c r="G67" i="31"/>
  <c r="H66" i="31"/>
  <c r="I66" i="31"/>
  <c r="G66" i="31"/>
  <c r="H65" i="31"/>
  <c r="I65" i="31"/>
  <c r="G65" i="31"/>
  <c r="D65" i="31"/>
  <c r="H83" i="18"/>
  <c r="I83" i="18"/>
  <c r="J83" i="18"/>
  <c r="K83" i="18"/>
  <c r="L83" i="18"/>
  <c r="M83" i="18"/>
  <c r="N83" i="18"/>
  <c r="O83" i="18"/>
  <c r="P83" i="18"/>
  <c r="Q83" i="18"/>
  <c r="G83" i="18"/>
  <c r="H81" i="18"/>
  <c r="I81" i="18"/>
  <c r="J81" i="18"/>
  <c r="K81" i="18"/>
  <c r="L81" i="18"/>
  <c r="M81" i="18"/>
  <c r="N81" i="18"/>
  <c r="O81" i="18"/>
  <c r="P81" i="18"/>
  <c r="Q81" i="18"/>
  <c r="G81" i="24"/>
  <c r="H79" i="18"/>
  <c r="I79" i="18"/>
  <c r="J79" i="18"/>
  <c r="K79" i="18"/>
  <c r="L79" i="18"/>
  <c r="M79" i="18"/>
  <c r="N79" i="18"/>
  <c r="O79" i="18"/>
  <c r="P79" i="18"/>
  <c r="Q79" i="18"/>
  <c r="G79" i="18"/>
  <c r="H77" i="18"/>
  <c r="I77" i="18"/>
  <c r="J77" i="18"/>
  <c r="K77" i="18"/>
  <c r="L77" i="18"/>
  <c r="M77" i="18"/>
  <c r="N77" i="18"/>
  <c r="O77" i="18"/>
  <c r="P77" i="18"/>
  <c r="Q77" i="18"/>
  <c r="G77" i="18"/>
  <c r="H75" i="18"/>
  <c r="I75" i="18"/>
  <c r="J75" i="18"/>
  <c r="K75" i="18"/>
  <c r="L75" i="18"/>
  <c r="M75" i="18"/>
  <c r="N75" i="18"/>
  <c r="O75" i="18"/>
  <c r="P75" i="18"/>
  <c r="Q75" i="18"/>
  <c r="G75" i="18"/>
  <c r="H74" i="18"/>
  <c r="I74" i="18"/>
  <c r="J74" i="18"/>
  <c r="K74" i="18"/>
  <c r="L74" i="18"/>
  <c r="M74" i="18"/>
  <c r="N74" i="18"/>
  <c r="O74" i="18"/>
  <c r="P74" i="18"/>
  <c r="Q74" i="18"/>
  <c r="G74" i="24"/>
  <c r="H67" i="18"/>
  <c r="I67" i="18"/>
  <c r="J67" i="18"/>
  <c r="K67" i="18"/>
  <c r="L67" i="18"/>
  <c r="M67" i="18"/>
  <c r="N67" i="18"/>
  <c r="O67" i="18"/>
  <c r="P67" i="18"/>
  <c r="Q67" i="18"/>
  <c r="G67" i="18"/>
  <c r="G85" i="18" l="1"/>
  <c r="H66" i="18"/>
  <c r="I66" i="18"/>
  <c r="J66" i="18"/>
  <c r="K66" i="18"/>
  <c r="L66" i="18"/>
  <c r="M66" i="18"/>
  <c r="N66" i="18"/>
  <c r="O66" i="18"/>
  <c r="P66" i="18"/>
  <c r="Q66" i="18"/>
  <c r="G66" i="18"/>
  <c r="H65" i="18"/>
  <c r="I65" i="18"/>
  <c r="J65" i="18"/>
  <c r="K65" i="18"/>
  <c r="L65" i="18"/>
  <c r="M65" i="18"/>
  <c r="N65" i="18"/>
  <c r="O65" i="18"/>
  <c r="P65" i="18"/>
  <c r="Q65" i="18"/>
  <c r="G65" i="18"/>
  <c r="H64" i="18"/>
  <c r="I64" i="18"/>
  <c r="J64" i="18"/>
  <c r="K64" i="18"/>
  <c r="L64" i="18"/>
  <c r="M64" i="18"/>
  <c r="N64" i="18"/>
  <c r="O64" i="18"/>
  <c r="P64" i="18"/>
  <c r="Q64" i="18"/>
  <c r="G64" i="18"/>
  <c r="H62" i="18"/>
  <c r="I62" i="18"/>
  <c r="J62" i="18"/>
  <c r="K62" i="18"/>
  <c r="L62" i="18"/>
  <c r="M62" i="18"/>
  <c r="N62" i="18"/>
  <c r="O62" i="18"/>
  <c r="P62" i="18"/>
  <c r="Q62" i="18"/>
  <c r="G62" i="18"/>
  <c r="D65" i="18"/>
  <c r="G83" i="24" l="1"/>
  <c r="G79" i="24"/>
  <c r="G77" i="24"/>
  <c r="G75" i="24"/>
  <c r="G67" i="24"/>
  <c r="G66" i="24"/>
  <c r="G65" i="24"/>
  <c r="G64" i="24"/>
  <c r="G62" i="24"/>
  <c r="D65" i="24"/>
  <c r="D65" i="29"/>
  <c r="E83" i="16"/>
  <c r="E83" i="15"/>
  <c r="G74" i="15"/>
  <c r="H74" i="15"/>
  <c r="I74" i="15"/>
  <c r="H67" i="15" l="1"/>
  <c r="I67" i="15"/>
  <c r="G67" i="15"/>
  <c r="D65" i="15"/>
  <c r="D65" i="16" l="1"/>
  <c r="AW26" i="30" l="1"/>
  <c r="AW23" i="30"/>
  <c r="AW24" i="30"/>
  <c r="AW25" i="30"/>
  <c r="AW22" i="30"/>
  <c r="AW15" i="30"/>
  <c r="AW16" i="30"/>
  <c r="AW17" i="30"/>
  <c r="AW18" i="30"/>
  <c r="AW19" i="30"/>
  <c r="AW14" i="30"/>
  <c r="AW4" i="30"/>
  <c r="AW5" i="30"/>
  <c r="AW6" i="30"/>
  <c r="AW7" i="30"/>
  <c r="AW8" i="30"/>
  <c r="AW9" i="30"/>
  <c r="AW10" i="30"/>
  <c r="AW11" i="30"/>
  <c r="AW3" i="30"/>
  <c r="A20" i="26" l="1"/>
  <c r="A19" i="26"/>
  <c r="AE5" i="28"/>
  <c r="AE6" i="28"/>
  <c r="AE7" i="28"/>
  <c r="AE8" i="28"/>
  <c r="AE9" i="28"/>
  <c r="AE10" i="28"/>
  <c r="AE11" i="28"/>
  <c r="AE12" i="28"/>
  <c r="AE13" i="28"/>
  <c r="AE14" i="28"/>
  <c r="AE15" i="28"/>
  <c r="AE4" i="28"/>
  <c r="AB18" i="28"/>
  <c r="Z18" i="28"/>
  <c r="X18" i="28"/>
  <c r="V18" i="28"/>
  <c r="T18" i="28"/>
  <c r="E78" i="13"/>
  <c r="L18" i="28" s="1"/>
  <c r="R18" i="28"/>
  <c r="P18" i="28"/>
  <c r="N18" i="28"/>
  <c r="H18" i="28"/>
  <c r="Q12" i="28"/>
  <c r="M12" i="28"/>
  <c r="AA5" i="28"/>
  <c r="Y5" i="28"/>
  <c r="W5" i="28"/>
  <c r="O5" i="28"/>
  <c r="G5" i="28"/>
  <c r="U5" i="28" s="1"/>
  <c r="G6" i="28"/>
  <c r="Q6" i="28" s="1"/>
  <c r="G7" i="28"/>
  <c r="U7" i="28" s="1"/>
  <c r="G8" i="28"/>
  <c r="O8" i="28" s="1"/>
  <c r="G9" i="28"/>
  <c r="AC9" i="28" s="1"/>
  <c r="G10" i="28"/>
  <c r="W10" i="28" s="1"/>
  <c r="G11" i="28"/>
  <c r="Y11" i="28" s="1"/>
  <c r="G12" i="28"/>
  <c r="U12" i="28" s="1"/>
  <c r="G13" i="28"/>
  <c r="U13" i="28" s="1"/>
  <c r="G14" i="28"/>
  <c r="Y14" i="28" s="1"/>
  <c r="G15" i="28"/>
  <c r="I15" i="28" s="1"/>
  <c r="G4" i="28"/>
  <c r="W4" i="28" s="1"/>
  <c r="O15" i="28" l="1"/>
  <c r="O14" i="28"/>
  <c r="S14" i="28"/>
  <c r="U14" i="28"/>
  <c r="K13" i="28"/>
  <c r="Y13" i="28"/>
  <c r="I13" i="28"/>
  <c r="S13" i="28"/>
  <c r="W13" i="28"/>
  <c r="AA13" i="28"/>
  <c r="K12" i="28"/>
  <c r="O12" i="28"/>
  <c r="W12" i="28"/>
  <c r="Y12" i="28"/>
  <c r="I12" i="28"/>
  <c r="AA12" i="28"/>
  <c r="AC12" i="28"/>
  <c r="M11" i="28"/>
  <c r="S11" i="28"/>
  <c r="I11" i="28"/>
  <c r="U11" i="28"/>
  <c r="W11" i="28"/>
  <c r="AA11" i="28"/>
  <c r="O11" i="28"/>
  <c r="Q11" i="28"/>
  <c r="K11" i="28"/>
  <c r="AC11" i="28"/>
  <c r="S10" i="28"/>
  <c r="S9" i="28"/>
  <c r="W9" i="28"/>
  <c r="Y9" i="28"/>
  <c r="AA9" i="28"/>
  <c r="K9" i="28"/>
  <c r="O7" i="28"/>
  <c r="U6" i="28"/>
  <c r="O6" i="28"/>
  <c r="S6" i="28"/>
  <c r="I5" i="28"/>
  <c r="K5" i="28"/>
  <c r="AC5" i="28"/>
  <c r="M5" i="28"/>
  <c r="AA8" i="28"/>
  <c r="Q7" i="28"/>
  <c r="AC8" i="28"/>
  <c r="Q15" i="28"/>
  <c r="U4" i="28"/>
  <c r="I6" i="28"/>
  <c r="W6" i="28"/>
  <c r="S7" i="28"/>
  <c r="W14" i="28"/>
  <c r="Q5" i="28"/>
  <c r="I7" i="28"/>
  <c r="Y6" i="28"/>
  <c r="Q8" i="28"/>
  <c r="M9" i="28"/>
  <c r="Y10" i="28"/>
  <c r="M13" i="28"/>
  <c r="AC13" i="28"/>
  <c r="U15" i="28"/>
  <c r="I4" i="28"/>
  <c r="Y4" i="28"/>
  <c r="S5" i="28"/>
  <c r="I8" i="28"/>
  <c r="K6" i="28"/>
  <c r="AA6" i="28"/>
  <c r="W7" i="28"/>
  <c r="S8" i="28"/>
  <c r="O9" i="28"/>
  <c r="K10" i="28"/>
  <c r="AA10" i="28"/>
  <c r="S12" i="28"/>
  <c r="O13" i="28"/>
  <c r="K14" i="28"/>
  <c r="AA14" i="28"/>
  <c r="W15" i="28"/>
  <c r="K4" i="28"/>
  <c r="AA4" i="28"/>
  <c r="I9" i="28"/>
  <c r="M6" i="28"/>
  <c r="AC6" i="28"/>
  <c r="Y7" i="28"/>
  <c r="U8" i="28"/>
  <c r="Q9" i="28"/>
  <c r="M10" i="28"/>
  <c r="AC10" i="28"/>
  <c r="Q13" i="28"/>
  <c r="M14" i="28"/>
  <c r="AC14" i="28"/>
  <c r="Y15" i="28"/>
  <c r="Q4" i="28"/>
  <c r="M4" i="28"/>
  <c r="AC4" i="28"/>
  <c r="I10" i="28"/>
  <c r="K7" i="28"/>
  <c r="AA7" i="28"/>
  <c r="W8" i="28"/>
  <c r="O10" i="28"/>
  <c r="K15" i="28"/>
  <c r="AA15" i="28"/>
  <c r="O4" i="28"/>
  <c r="M7" i="28"/>
  <c r="AC7" i="28"/>
  <c r="Y8" i="28"/>
  <c r="U9" i="28"/>
  <c r="Q10" i="28"/>
  <c r="Q14" i="28"/>
  <c r="M15" i="28"/>
  <c r="AC15" i="28"/>
  <c r="K8" i="28"/>
  <c r="S4" i="28"/>
  <c r="M8" i="28"/>
  <c r="U10" i="28"/>
  <c r="I14" i="28"/>
  <c r="S15" i="28"/>
  <c r="J18" i="28"/>
  <c r="AF15" i="28"/>
  <c r="AF14" i="28"/>
  <c r="AF13" i="28"/>
  <c r="AF12" i="28"/>
  <c r="AF11" i="28"/>
  <c r="AF10" i="28"/>
  <c r="AF9" i="28"/>
  <c r="AF8" i="28"/>
  <c r="AF7" i="28"/>
  <c r="AF6" i="28"/>
  <c r="AF5" i="28"/>
  <c r="AF4" i="28"/>
  <c r="O16" i="28" l="1"/>
  <c r="O19" i="28" s="1"/>
  <c r="O17" i="28" s="1"/>
  <c r="AF16" i="28"/>
  <c r="W16" i="28"/>
  <c r="W19" i="28" s="1"/>
  <c r="W17" i="28" s="1"/>
  <c r="H53" i="32"/>
  <c r="C14" i="26" s="1"/>
  <c r="S16" i="28"/>
  <c r="S19" i="28" s="1"/>
  <c r="U16" i="28"/>
  <c r="U19" i="28" s="1"/>
  <c r="F85" i="33" s="1"/>
  <c r="C13" i="26" s="1"/>
  <c r="AA16" i="28"/>
  <c r="AA19" i="28" s="1"/>
  <c r="Y16" i="28"/>
  <c r="Y19" i="28" s="1"/>
  <c r="AC16" i="28"/>
  <c r="AC19" i="28" s="1"/>
  <c r="K16" i="28"/>
  <c r="K19" i="28" s="1"/>
  <c r="I16" i="28"/>
  <c r="I19" i="28" s="1"/>
  <c r="F20" i="33" s="1"/>
  <c r="C2" i="26" s="1"/>
  <c r="M16" i="28"/>
  <c r="M19" i="28" s="1"/>
  <c r="Q16" i="28"/>
  <c r="Q19" i="28" s="1"/>
  <c r="H14" i="32" l="1"/>
  <c r="C5" i="26" s="1"/>
  <c r="Y17" i="28"/>
  <c r="H67" i="32"/>
  <c r="C15" i="26" s="1"/>
  <c r="M17" i="28"/>
  <c r="F64" i="33"/>
  <c r="C4" i="26" s="1"/>
  <c r="AA17" i="28"/>
  <c r="H81" i="32"/>
  <c r="C16" i="26" s="1"/>
  <c r="S17" i="28"/>
  <c r="H41" i="32"/>
  <c r="C12" i="26" s="1"/>
  <c r="K17" i="28"/>
  <c r="F41" i="33"/>
  <c r="C3" i="26" s="1"/>
  <c r="U17" i="28"/>
  <c r="Q17" i="28"/>
  <c r="H28" i="32"/>
  <c r="C11" i="26" s="1"/>
  <c r="AC17" i="28"/>
  <c r="F100" i="33"/>
  <c r="C17" i="26" s="1"/>
  <c r="AS26" i="30"/>
  <c r="AO26" i="30"/>
  <c r="AK26" i="30"/>
  <c r="AG26" i="30"/>
  <c r="AC26" i="30"/>
  <c r="Y26" i="30"/>
  <c r="U26" i="30"/>
  <c r="Q26" i="30"/>
  <c r="M26" i="30"/>
  <c r="C10" i="26"/>
  <c r="A10" i="26"/>
  <c r="C9" i="26"/>
  <c r="A9" i="26"/>
  <c r="C8" i="26"/>
  <c r="A8" i="26"/>
  <c r="C7" i="26"/>
  <c r="A7" i="26"/>
  <c r="C6" i="26"/>
  <c r="A6" i="26"/>
  <c r="C1" i="26"/>
  <c r="C21" i="26" l="1"/>
  <c r="B8" i="26"/>
  <c r="D8" i="26" s="1"/>
  <c r="B7" i="26" l="1"/>
  <c r="D7" i="26" s="1"/>
  <c r="B9" i="26"/>
  <c r="D9" i="26" s="1"/>
  <c r="B10" i="26"/>
  <c r="D10" i="26" s="1"/>
  <c r="B6" i="26" l="1"/>
  <c r="D6" i="26" s="1"/>
  <c r="E99" i="33" l="1"/>
  <c r="C94" i="33"/>
  <c r="C93" i="33"/>
  <c r="C97" i="33"/>
  <c r="C96" i="33"/>
  <c r="C91" i="33"/>
  <c r="C90" i="33"/>
  <c r="C89" i="33"/>
  <c r="C81" i="33"/>
  <c r="C80" i="33"/>
  <c r="C79" i="33"/>
  <c r="C78" i="33"/>
  <c r="C76" i="33"/>
  <c r="C75" i="33"/>
  <c r="C74" i="33"/>
  <c r="C73" i="33"/>
  <c r="C70" i="33"/>
  <c r="C69" i="33"/>
  <c r="C68" i="33"/>
  <c r="C60" i="33"/>
  <c r="C59" i="33"/>
  <c r="C57" i="33"/>
  <c r="C55" i="33"/>
  <c r="C53" i="33"/>
  <c r="C52" i="33"/>
  <c r="C50" i="33"/>
  <c r="C49" i="33"/>
  <c r="C48" i="33"/>
  <c r="C47" i="33"/>
  <c r="C46" i="33"/>
  <c r="C45" i="33"/>
  <c r="C16" i="33"/>
  <c r="C15" i="33"/>
  <c r="C14" i="33"/>
  <c r="C13" i="33"/>
  <c r="C11" i="33"/>
  <c r="C10" i="33"/>
  <c r="C8" i="33"/>
  <c r="C7" i="33"/>
  <c r="C5" i="33"/>
  <c r="C3" i="33"/>
  <c r="C2" i="33"/>
  <c r="H87" i="32"/>
  <c r="C12" i="32"/>
  <c r="C11" i="32"/>
  <c r="D8" i="32" l="1"/>
  <c r="D7" i="32"/>
  <c r="D5" i="32"/>
  <c r="D4" i="32"/>
  <c r="D3" i="32"/>
  <c r="C2" i="32"/>
  <c r="D2" i="32"/>
  <c r="D12" i="32"/>
  <c r="D11" i="32"/>
  <c r="D9" i="32"/>
  <c r="C9" i="32"/>
  <c r="C8" i="32"/>
  <c r="C7" i="32"/>
  <c r="C5" i="32"/>
  <c r="C4" i="32"/>
  <c r="C3" i="32"/>
  <c r="G71" i="32"/>
  <c r="D78" i="32"/>
  <c r="D77" i="32"/>
  <c r="D74" i="32"/>
  <c r="D72" i="32"/>
  <c r="D71" i="32"/>
  <c r="C78" i="32"/>
  <c r="C77" i="32"/>
  <c r="C75" i="32"/>
  <c r="D75" i="32"/>
  <c r="C74" i="32"/>
  <c r="C72" i="32"/>
  <c r="C71" i="32"/>
  <c r="H76" i="32"/>
  <c r="D76" i="32"/>
  <c r="G57" i="32"/>
  <c r="D64" i="32"/>
  <c r="D63" i="32"/>
  <c r="D61" i="32"/>
  <c r="D60" i="32"/>
  <c r="D62" i="30"/>
  <c r="D57" i="32"/>
  <c r="C64" i="32"/>
  <c r="C63" i="32"/>
  <c r="C61" i="32"/>
  <c r="C60" i="32"/>
  <c r="C58" i="32"/>
  <c r="D58" i="32"/>
  <c r="C57" i="32"/>
  <c r="H62" i="32"/>
  <c r="D62" i="32"/>
  <c r="G45" i="32"/>
  <c r="D50" i="32"/>
  <c r="D48" i="32"/>
  <c r="D46" i="32"/>
  <c r="D45" i="32"/>
  <c r="D52" i="32" s="1"/>
  <c r="C50" i="32"/>
  <c r="C48" i="32"/>
  <c r="C35" i="32"/>
  <c r="C46" i="32"/>
  <c r="C45" i="32"/>
  <c r="H49" i="32"/>
  <c r="D49" i="32"/>
  <c r="C32" i="32"/>
  <c r="D32" i="32"/>
  <c r="G32" i="32"/>
  <c r="C33" i="32"/>
  <c r="D33" i="32"/>
  <c r="D35" i="32"/>
  <c r="D36" i="32"/>
  <c r="H36" i="32"/>
  <c r="C37" i="32"/>
  <c r="D37" i="32"/>
  <c r="C38" i="32"/>
  <c r="D38" i="32"/>
  <c r="D25" i="32"/>
  <c r="D24" i="32"/>
  <c r="D22" i="32"/>
  <c r="D21" i="32"/>
  <c r="D19" i="32"/>
  <c r="D18" i="32"/>
  <c r="G18" i="32"/>
  <c r="C25" i="32"/>
  <c r="C24" i="32"/>
  <c r="C22" i="32"/>
  <c r="C21" i="32"/>
  <c r="C19" i="32"/>
  <c r="C18" i="32"/>
  <c r="E18" i="32"/>
  <c r="E32" i="32" s="1"/>
  <c r="E45" i="32" s="1"/>
  <c r="E57" i="32" s="1"/>
  <c r="E71" i="32" s="1"/>
  <c r="G2" i="32"/>
  <c r="E87" i="32"/>
  <c r="D43" i="32"/>
  <c r="E24" i="32"/>
  <c r="E37" i="32" s="1"/>
  <c r="E50" i="32" s="1"/>
  <c r="E63" i="32" s="1"/>
  <c r="E77" i="32" s="1"/>
  <c r="B24" i="32"/>
  <c r="F106" i="33"/>
  <c r="E97" i="33"/>
  <c r="E96" i="33"/>
  <c r="E94" i="33"/>
  <c r="E93" i="33"/>
  <c r="E91" i="33"/>
  <c r="E90" i="33"/>
  <c r="E89" i="33"/>
  <c r="B93" i="33"/>
  <c r="B89" i="33"/>
  <c r="E81" i="33"/>
  <c r="E79" i="33"/>
  <c r="E80" i="33"/>
  <c r="E78" i="33"/>
  <c r="E76" i="33"/>
  <c r="E75" i="33"/>
  <c r="E74" i="33"/>
  <c r="E73" i="33"/>
  <c r="E71" i="33"/>
  <c r="E70" i="33"/>
  <c r="E69" i="33"/>
  <c r="E68" i="33"/>
  <c r="B78" i="33"/>
  <c r="B96" i="33" s="1"/>
  <c r="C71" i="33"/>
  <c r="E83" i="33" l="1"/>
  <c r="D66" i="32"/>
  <c r="D40" i="32"/>
  <c r="D27" i="32"/>
  <c r="H43" i="32"/>
  <c r="D23" i="32"/>
  <c r="D10" i="32"/>
  <c r="H23" i="32"/>
  <c r="D13" i="32"/>
  <c r="H10" i="32"/>
  <c r="D87" i="32" l="1"/>
  <c r="B73" i="33" l="1"/>
  <c r="B68" i="33"/>
  <c r="E60" i="33"/>
  <c r="E59" i="33"/>
  <c r="E57" i="33"/>
  <c r="E56" i="33"/>
  <c r="E55" i="33"/>
  <c r="E54" i="33"/>
  <c r="E53" i="33"/>
  <c r="E52" i="33"/>
  <c r="E50" i="33"/>
  <c r="E49" i="33"/>
  <c r="E48" i="33"/>
  <c r="E47" i="33"/>
  <c r="E46" i="33"/>
  <c r="E45" i="33"/>
  <c r="C56" i="33"/>
  <c r="C54" i="33"/>
  <c r="C6" i="33"/>
  <c r="E37" i="33"/>
  <c r="E36" i="33"/>
  <c r="E35" i="33"/>
  <c r="E33" i="33"/>
  <c r="E32" i="33"/>
  <c r="E31" i="33"/>
  <c r="E30" i="33"/>
  <c r="E28" i="33"/>
  <c r="E27" i="33"/>
  <c r="E26" i="33"/>
  <c r="E25" i="33"/>
  <c r="E24" i="33"/>
  <c r="C37" i="33"/>
  <c r="C36" i="33"/>
  <c r="C35" i="33"/>
  <c r="C33" i="33"/>
  <c r="C32" i="33"/>
  <c r="C31" i="33"/>
  <c r="C30" i="33"/>
  <c r="C28" i="33"/>
  <c r="C27" i="33"/>
  <c r="C26" i="33"/>
  <c r="C25" i="33"/>
  <c r="C24" i="33"/>
  <c r="B41" i="33"/>
  <c r="E16" i="33"/>
  <c r="E15" i="33"/>
  <c r="E14" i="33"/>
  <c r="E13" i="33"/>
  <c r="E11" i="33"/>
  <c r="E10" i="33"/>
  <c r="E8" i="33"/>
  <c r="E7" i="33"/>
  <c r="E6" i="33"/>
  <c r="E5" i="33"/>
  <c r="E3" i="33"/>
  <c r="E2" i="33"/>
  <c r="B106" i="33"/>
  <c r="B59" i="33"/>
  <c r="B52" i="33"/>
  <c r="B45" i="33"/>
  <c r="F63" i="33"/>
  <c r="D4" i="33"/>
  <c r="C4" i="33"/>
  <c r="E62" i="33" l="1"/>
  <c r="E39" i="33"/>
  <c r="E4" i="33"/>
  <c r="F4" i="33" s="1"/>
  <c r="E18" i="33" l="1"/>
  <c r="AV25" i="30" l="1"/>
  <c r="AU13" i="30"/>
  <c r="AQ13" i="30"/>
  <c r="AM13" i="30"/>
  <c r="AI13" i="30"/>
  <c r="AE13" i="30"/>
  <c r="AA13" i="30"/>
  <c r="W13" i="30"/>
  <c r="S13" i="30"/>
  <c r="O13" i="30"/>
  <c r="I52" i="31" l="1"/>
  <c r="D114" i="31"/>
  <c r="D113" i="31"/>
  <c r="D112" i="31"/>
  <c r="D111" i="31"/>
  <c r="E110" i="31"/>
  <c r="F106" i="31"/>
  <c r="F105" i="31"/>
  <c r="I91" i="31"/>
  <c r="H91" i="31"/>
  <c r="G91" i="31"/>
  <c r="B91" i="31"/>
  <c r="F84" i="31"/>
  <c r="B84" i="31"/>
  <c r="F81" i="31"/>
  <c r="E81" i="31"/>
  <c r="E80" i="31"/>
  <c r="E79" i="31"/>
  <c r="E78" i="31"/>
  <c r="F77" i="31"/>
  <c r="E77" i="31"/>
  <c r="E76" i="31"/>
  <c r="F65" i="31"/>
  <c r="D63" i="31"/>
  <c r="F62" i="31" s="1"/>
  <c r="I58" i="31"/>
  <c r="H58" i="31"/>
  <c r="G58" i="31"/>
  <c r="B58" i="31"/>
  <c r="I57" i="31"/>
  <c r="H57" i="31"/>
  <c r="G57" i="31"/>
  <c r="I56" i="31"/>
  <c r="H56" i="31"/>
  <c r="G56" i="31"/>
  <c r="I55" i="31"/>
  <c r="H55" i="31"/>
  <c r="G55" i="31"/>
  <c r="I54" i="31"/>
  <c r="H54" i="31"/>
  <c r="G54" i="31"/>
  <c r="I53" i="31"/>
  <c r="H53" i="31"/>
  <c r="G53" i="31"/>
  <c r="H52" i="31"/>
  <c r="G52" i="31"/>
  <c r="E44" i="31"/>
  <c r="C44" i="31"/>
  <c r="F34" i="31"/>
  <c r="F19" i="31"/>
  <c r="F17" i="31"/>
  <c r="G23" i="31" s="1"/>
  <c r="F10" i="31"/>
  <c r="F8" i="31"/>
  <c r="F5" i="31"/>
  <c r="C5" i="31"/>
  <c r="G4" i="31"/>
  <c r="F4" i="31"/>
  <c r="C4" i="31"/>
  <c r="E3" i="31"/>
  <c r="F44" i="31" l="1"/>
  <c r="F46" i="31" s="1"/>
  <c r="H59" i="31"/>
  <c r="G59" i="31"/>
  <c r="I59" i="31"/>
  <c r="G25" i="31"/>
  <c r="G27" i="31" s="1"/>
  <c r="D17" i="20"/>
  <c r="D16" i="20"/>
  <c r="D15" i="20"/>
  <c r="D12" i="20"/>
  <c r="D11" i="20"/>
  <c r="D10" i="20"/>
  <c r="D8" i="20"/>
  <c r="D4" i="20"/>
  <c r="D2" i="20"/>
  <c r="I96" i="31" l="1"/>
  <c r="H96" i="31"/>
  <c r="G96" i="31"/>
  <c r="G32" i="31"/>
  <c r="G33" i="31"/>
  <c r="BJ36" i="30"/>
  <c r="BJ35" i="30"/>
  <c r="BH33" i="30"/>
  <c r="BF33" i="30"/>
  <c r="BC33" i="30"/>
  <c r="BB33" i="30"/>
  <c r="BE33" i="30"/>
  <c r="BG33" i="30"/>
  <c r="BI33" i="30"/>
  <c r="AZ32" i="30"/>
  <c r="BA32" i="30"/>
  <c r="BB32" i="30"/>
  <c r="BD32" i="30"/>
  <c r="BE32" i="30"/>
  <c r="BG32" i="30"/>
  <c r="BH32" i="30"/>
  <c r="BC29" i="30"/>
  <c r="BH29" i="30"/>
  <c r="AY29" i="30"/>
  <c r="BI32" i="30"/>
  <c r="BJ17" i="30"/>
  <c r="BI15" i="30"/>
  <c r="BI16" i="30"/>
  <c r="BI17" i="30"/>
  <c r="BI18" i="30"/>
  <c r="BI19" i="30"/>
  <c r="BI14" i="30"/>
  <c r="BH15" i="30"/>
  <c r="BH16" i="30"/>
  <c r="BH17" i="30"/>
  <c r="BH18" i="30"/>
  <c r="BH19" i="30"/>
  <c r="BH14" i="30"/>
  <c r="BG15" i="30"/>
  <c r="BG16" i="30"/>
  <c r="BG17" i="30"/>
  <c r="BG18" i="30"/>
  <c r="BG19" i="30"/>
  <c r="BG14" i="30"/>
  <c r="BF15" i="30"/>
  <c r="BF16" i="30"/>
  <c r="BF17" i="30"/>
  <c r="BF18" i="30"/>
  <c r="BF19" i="30"/>
  <c r="BF14" i="30"/>
  <c r="BE15" i="30"/>
  <c r="BE16" i="30"/>
  <c r="BE17" i="30"/>
  <c r="BE18" i="30"/>
  <c r="BE19" i="30"/>
  <c r="BE14" i="30"/>
  <c r="BD15" i="30"/>
  <c r="BD16" i="30"/>
  <c r="BD17" i="30"/>
  <c r="BD18" i="30"/>
  <c r="BD19" i="30"/>
  <c r="BD14" i="30"/>
  <c r="BC15" i="30"/>
  <c r="BC16" i="30"/>
  <c r="BC17" i="30"/>
  <c r="BC18" i="30"/>
  <c r="BC19" i="30"/>
  <c r="BC14" i="30"/>
  <c r="BB15" i="30"/>
  <c r="BB16" i="30"/>
  <c r="BB17" i="30"/>
  <c r="BB18" i="30"/>
  <c r="BB19" i="30"/>
  <c r="BB14" i="30"/>
  <c r="BA15" i="30"/>
  <c r="BA16" i="30"/>
  <c r="BA17" i="30"/>
  <c r="BA18" i="30"/>
  <c r="BA19" i="30"/>
  <c r="BA14" i="30"/>
  <c r="AZ15" i="30"/>
  <c r="AZ16" i="30"/>
  <c r="AZ17" i="30"/>
  <c r="AZ18" i="30"/>
  <c r="AZ19" i="30"/>
  <c r="AZ14" i="30"/>
  <c r="AY15" i="30"/>
  <c r="AY16" i="30"/>
  <c r="AY17" i="30"/>
  <c r="AY18" i="30"/>
  <c r="AY14" i="30"/>
  <c r="BI4" i="30"/>
  <c r="BI5" i="30"/>
  <c r="BI6" i="30"/>
  <c r="BI7" i="30"/>
  <c r="BI28" i="30" s="1"/>
  <c r="BI8" i="30"/>
  <c r="BI9" i="30"/>
  <c r="BI10" i="30"/>
  <c r="BI11" i="30"/>
  <c r="BI29" i="30" s="1"/>
  <c r="BI3" i="30"/>
  <c r="BH4" i="30"/>
  <c r="BH5" i="30"/>
  <c r="BH6" i="30"/>
  <c r="BH7" i="30"/>
  <c r="BH8" i="30"/>
  <c r="BH9" i="30"/>
  <c r="BH10" i="30"/>
  <c r="BH11" i="30"/>
  <c r="BH3" i="30"/>
  <c r="BH28" i="30" s="1"/>
  <c r="BG4" i="30"/>
  <c r="BG5" i="30"/>
  <c r="BG6" i="30"/>
  <c r="BG7" i="30"/>
  <c r="BG8" i="30"/>
  <c r="BG9" i="30"/>
  <c r="BG10" i="30"/>
  <c r="BG11" i="30"/>
  <c r="BG29" i="30" s="1"/>
  <c r="BG3" i="30"/>
  <c r="BG28" i="30" s="1"/>
  <c r="BF4" i="30"/>
  <c r="BF5" i="30"/>
  <c r="BF6" i="30"/>
  <c r="BF7" i="30"/>
  <c r="BF8" i="30"/>
  <c r="BF9" i="30"/>
  <c r="BF10" i="30"/>
  <c r="BF11" i="30"/>
  <c r="BF29" i="30" s="1"/>
  <c r="BF3" i="30"/>
  <c r="BF28" i="30" s="1"/>
  <c r="BE4" i="30"/>
  <c r="BE5" i="30"/>
  <c r="BE6" i="30"/>
  <c r="BE7" i="30"/>
  <c r="BE8" i="30"/>
  <c r="BE9" i="30"/>
  <c r="BE10" i="30"/>
  <c r="BE11" i="30"/>
  <c r="BE29" i="30" s="1"/>
  <c r="BE3" i="30"/>
  <c r="BD4" i="30"/>
  <c r="BD5" i="30"/>
  <c r="BD6" i="30"/>
  <c r="BD7" i="30"/>
  <c r="BD8" i="30"/>
  <c r="BD9" i="30"/>
  <c r="BD10" i="30"/>
  <c r="BD11" i="30"/>
  <c r="BD29" i="30" s="1"/>
  <c r="BD3" i="30"/>
  <c r="BD28" i="30" s="1"/>
  <c r="BD33" i="30" s="1"/>
  <c r="BC4" i="30"/>
  <c r="BC5" i="30"/>
  <c r="BC6" i="30"/>
  <c r="BC7" i="30"/>
  <c r="BC8" i="30"/>
  <c r="BC9" i="30"/>
  <c r="BC10" i="30"/>
  <c r="BC11" i="30"/>
  <c r="BC3" i="30"/>
  <c r="BC28" i="30" s="1"/>
  <c r="BB4" i="30"/>
  <c r="BB5" i="30"/>
  <c r="BB6" i="30"/>
  <c r="BB7" i="30"/>
  <c r="BB8" i="30"/>
  <c r="BB9" i="30"/>
  <c r="BB10" i="30"/>
  <c r="BB11" i="30"/>
  <c r="BB29" i="30" s="1"/>
  <c r="BB3" i="30"/>
  <c r="BB28" i="30" s="1"/>
  <c r="BA5" i="30"/>
  <c r="BA6" i="30"/>
  <c r="BA7" i="30"/>
  <c r="BA8" i="30"/>
  <c r="BA9" i="30"/>
  <c r="BA10" i="30"/>
  <c r="BA11" i="30"/>
  <c r="BA29" i="30" s="1"/>
  <c r="BA4" i="30"/>
  <c r="BA3" i="30"/>
  <c r="AY4" i="30"/>
  <c r="AY5" i="30"/>
  <c r="AY6" i="30"/>
  <c r="AY7" i="30"/>
  <c r="AY8" i="30"/>
  <c r="AY9" i="30"/>
  <c r="AY10" i="30"/>
  <c r="AY11" i="30"/>
  <c r="AY3" i="30"/>
  <c r="AY2" i="30"/>
  <c r="AZ11" i="30"/>
  <c r="AZ29" i="30" s="1"/>
  <c r="AZ10" i="30"/>
  <c r="AZ9" i="30"/>
  <c r="AZ8" i="30"/>
  <c r="AZ7" i="30"/>
  <c r="AZ6" i="30"/>
  <c r="AZ5" i="30"/>
  <c r="AZ4" i="30"/>
  <c r="AZ3" i="30"/>
  <c r="BI2" i="30"/>
  <c r="BH2" i="30"/>
  <c r="BG2" i="30"/>
  <c r="BF2" i="30"/>
  <c r="BE2" i="30"/>
  <c r="BD2" i="30"/>
  <c r="BC2" i="30"/>
  <c r="BB2" i="30"/>
  <c r="BA2" i="30"/>
  <c r="AZ2" i="30"/>
  <c r="G34" i="31" l="1"/>
  <c r="I119" i="31"/>
  <c r="G119" i="31"/>
  <c r="H119" i="31"/>
  <c r="BJ8" i="30"/>
  <c r="BA33" i="30"/>
  <c r="AZ33" i="30"/>
  <c r="BJ29" i="30"/>
  <c r="BJ15" i="30"/>
  <c r="BJ11" i="30"/>
  <c r="BJ14" i="30"/>
  <c r="BJ7" i="30"/>
  <c r="BJ6" i="30"/>
  <c r="BJ16" i="30"/>
  <c r="BJ10" i="30"/>
  <c r="BJ9" i="30"/>
  <c r="BJ18" i="30"/>
  <c r="H62" i="31" l="1"/>
  <c r="H64" i="31" s="1"/>
  <c r="I62" i="31"/>
  <c r="I64" i="31" s="1"/>
  <c r="G62" i="31"/>
  <c r="G64" i="31" s="1"/>
  <c r="G46" i="31"/>
  <c r="I97" i="31" s="1"/>
  <c r="G41" i="31"/>
  <c r="G43" i="31"/>
  <c r="G45" i="31"/>
  <c r="G42" i="31"/>
  <c r="G44" i="31"/>
  <c r="G38" i="31"/>
  <c r="G40" i="31"/>
  <c r="G39" i="31"/>
  <c r="AV22" i="30"/>
  <c r="AR25" i="30"/>
  <c r="AR22" i="30"/>
  <c r="AN25" i="30"/>
  <c r="AN22" i="30"/>
  <c r="D9" i="20"/>
  <c r="AJ25" i="30"/>
  <c r="BF32" i="30" s="1"/>
  <c r="AJ22" i="30"/>
  <c r="AF25" i="30"/>
  <c r="AF22" i="30"/>
  <c r="D7" i="20"/>
  <c r="AB25" i="30"/>
  <c r="AB22" i="30"/>
  <c r="X25" i="30"/>
  <c r="BC32" i="30" s="1"/>
  <c r="X22" i="30"/>
  <c r="D6" i="20"/>
  <c r="D5" i="20"/>
  <c r="T25" i="30"/>
  <c r="T22" i="30"/>
  <c r="P25" i="30"/>
  <c r="P22" i="30"/>
  <c r="D3" i="20"/>
  <c r="L25" i="30"/>
  <c r="L22" i="30"/>
  <c r="H97" i="31" l="1"/>
  <c r="H120" i="31" s="1"/>
  <c r="G68" i="31"/>
  <c r="I68" i="31"/>
  <c r="H68" i="31"/>
  <c r="I120" i="31"/>
  <c r="G97" i="31"/>
  <c r="H23" i="30"/>
  <c r="H24" i="30"/>
  <c r="H25" i="30"/>
  <c r="H22" i="30"/>
  <c r="AY32" i="30" s="1"/>
  <c r="AW12" i="30"/>
  <c r="AW20" i="30"/>
  <c r="AG21" i="30"/>
  <c r="AC21" i="30"/>
  <c r="Y21" i="30"/>
  <c r="U21" i="30"/>
  <c r="Q21" i="30"/>
  <c r="M21" i="30"/>
  <c r="I21" i="30"/>
  <c r="I20" i="30"/>
  <c r="AZ21" i="30" s="1"/>
  <c r="G19" i="30"/>
  <c r="AY19" i="30" s="1"/>
  <c r="K13" i="30"/>
  <c r="J21" i="30" s="1"/>
  <c r="I13" i="30"/>
  <c r="AG12" i="30"/>
  <c r="BF13" i="30" s="1"/>
  <c r="BF27" i="30" s="1"/>
  <c r="AK12" i="30"/>
  <c r="BG13" i="30" s="1"/>
  <c r="BG27" i="30" s="1"/>
  <c r="AO12" i="30"/>
  <c r="BH13" i="30" s="1"/>
  <c r="BH27" i="30" s="1"/>
  <c r="AS12" i="30"/>
  <c r="BI13" i="30" s="1"/>
  <c r="BI27" i="30" s="1"/>
  <c r="U12" i="30"/>
  <c r="BC13" i="30" s="1"/>
  <c r="BC27" i="30" s="1"/>
  <c r="Y12" i="30"/>
  <c r="BD13" i="30" s="1"/>
  <c r="BD27" i="30" s="1"/>
  <c r="AC12" i="30"/>
  <c r="BE13" i="30" s="1"/>
  <c r="BE27" i="30" s="1"/>
  <c r="I12" i="30"/>
  <c r="AZ13" i="30" s="1"/>
  <c r="AZ27" i="30" s="1"/>
  <c r="M12" i="30"/>
  <c r="BA13" i="30" s="1"/>
  <c r="BA27" i="30" s="1"/>
  <c r="Q12" i="30"/>
  <c r="BB13" i="30" s="1"/>
  <c r="BB27" i="30" s="1"/>
  <c r="G13" i="30"/>
  <c r="F21" i="30" s="1"/>
  <c r="R21" i="30" s="1"/>
  <c r="V21" i="30" s="1"/>
  <c r="Z21" i="30" s="1"/>
  <c r="AD21" i="30" s="1"/>
  <c r="AH21" i="30" s="1"/>
  <c r="AL21" i="30" s="1"/>
  <c r="AP21" i="30" s="1"/>
  <c r="AT21" i="30" s="1"/>
  <c r="E13" i="30"/>
  <c r="E21" i="30" s="1"/>
  <c r="E12" i="30"/>
  <c r="G98" i="31" l="1"/>
  <c r="G121" i="31" s="1"/>
  <c r="H98" i="31"/>
  <c r="I98" i="31"/>
  <c r="G120" i="31"/>
  <c r="BJ32" i="30"/>
  <c r="AY31" i="30"/>
  <c r="AY33" i="30"/>
  <c r="BJ33" i="30" s="1"/>
  <c r="BJ28" i="30"/>
  <c r="BJ19" i="30"/>
  <c r="E20" i="30"/>
  <c r="AY21" i="30" s="1"/>
  <c r="AY13" i="30"/>
  <c r="AY27" i="30" s="1"/>
  <c r="N21" i="30"/>
  <c r="AS20" i="30"/>
  <c r="AS21" i="30"/>
  <c r="BH31" i="30"/>
  <c r="G77" i="32" s="1"/>
  <c r="G80" i="32" s="1"/>
  <c r="G82" i="32" s="1"/>
  <c r="BF31" i="30"/>
  <c r="G50" i="32" s="1"/>
  <c r="G52" i="32" s="1"/>
  <c r="G54" i="32" s="1"/>
  <c r="AO21" i="30"/>
  <c r="AK21" i="30"/>
  <c r="AO20" i="30"/>
  <c r="BH21" i="30" s="1"/>
  <c r="AK20" i="30"/>
  <c r="BG21" i="30" s="1"/>
  <c r="AG20" i="30"/>
  <c r="BF21" i="30" s="1"/>
  <c r="AC20" i="30"/>
  <c r="BE21" i="30" s="1"/>
  <c r="Y20" i="30"/>
  <c r="BD21" i="30" s="1"/>
  <c r="U20" i="30"/>
  <c r="BC21" i="30" s="1"/>
  <c r="Q20" i="30"/>
  <c r="BB21" i="30" s="1"/>
  <c r="M20" i="30"/>
  <c r="BA21" i="30" s="1"/>
  <c r="BG31" i="30" l="1"/>
  <c r="G63" i="32" s="1"/>
  <c r="G66" i="32" s="1"/>
  <c r="G68" i="32" s="1"/>
  <c r="BD31" i="30"/>
  <c r="G37" i="32" s="1"/>
  <c r="G40" i="32" s="1"/>
  <c r="G42" i="32" s="1"/>
  <c r="BI31" i="30"/>
  <c r="BC31" i="30"/>
  <c r="G24" i="32" s="1"/>
  <c r="G27" i="32" s="1"/>
  <c r="G29" i="32" s="1"/>
  <c r="BE31" i="30"/>
  <c r="BB31" i="30"/>
  <c r="G11" i="32" s="1"/>
  <c r="G13" i="32" s="1"/>
  <c r="G15" i="32" s="1"/>
  <c r="BA31" i="30"/>
  <c r="I121" i="31"/>
  <c r="H121" i="31"/>
  <c r="BI21" i="30"/>
  <c r="AZ31" i="30" l="1"/>
  <c r="BJ31" i="30" s="1"/>
  <c r="D112" i="18" l="1"/>
  <c r="D113" i="29"/>
  <c r="D113" i="16"/>
  <c r="D81" i="13"/>
  <c r="E112" i="31" s="1"/>
  <c r="D80" i="13"/>
  <c r="E111" i="31" s="1"/>
  <c r="D82" i="13"/>
  <c r="E113" i="31" s="1"/>
  <c r="D83" i="13"/>
  <c r="E114" i="31" s="1"/>
  <c r="E113" i="16" l="1"/>
  <c r="E113" i="29"/>
  <c r="E112" i="18"/>
  <c r="Q52" i="18"/>
  <c r="P52" i="18"/>
  <c r="O52" i="18"/>
  <c r="N52" i="18"/>
  <c r="M52" i="18"/>
  <c r="L52" i="18"/>
  <c r="K52" i="18"/>
  <c r="J52" i="18"/>
  <c r="I52" i="18"/>
  <c r="Q91" i="18"/>
  <c r="Q58" i="18"/>
  <c r="Q57" i="18"/>
  <c r="Q56" i="18"/>
  <c r="Q55" i="18"/>
  <c r="Q54" i="18"/>
  <c r="Q53" i="18"/>
  <c r="F10" i="18"/>
  <c r="Q59" i="18" l="1"/>
  <c r="G52" i="24"/>
  <c r="L91" i="29" l="1"/>
  <c r="D115" i="29"/>
  <c r="D114" i="29"/>
  <c r="D112" i="29"/>
  <c r="E111" i="29"/>
  <c r="F107" i="29"/>
  <c r="F106" i="29"/>
  <c r="K91" i="29"/>
  <c r="J91" i="29"/>
  <c r="I91" i="29"/>
  <c r="H91" i="29"/>
  <c r="G91" i="29"/>
  <c r="B91" i="29"/>
  <c r="B84" i="29"/>
  <c r="E81" i="29"/>
  <c r="E80" i="29"/>
  <c r="E79" i="29"/>
  <c r="E78" i="29"/>
  <c r="E77" i="29"/>
  <c r="E76" i="29"/>
  <c r="F65" i="29"/>
  <c r="D63" i="29"/>
  <c r="B58" i="29"/>
  <c r="E44" i="29"/>
  <c r="C44" i="29"/>
  <c r="F34" i="29"/>
  <c r="F19" i="29"/>
  <c r="F17" i="29"/>
  <c r="F8" i="29"/>
  <c r="F5" i="29"/>
  <c r="C5" i="29"/>
  <c r="G4" i="29"/>
  <c r="F4" i="29"/>
  <c r="C4" i="29"/>
  <c r="E3" i="29"/>
  <c r="F62" i="29" l="1"/>
  <c r="F44" i="29"/>
  <c r="F46" i="29" s="1"/>
  <c r="G25" i="29"/>
  <c r="E8" i="11"/>
  <c r="E9" i="11"/>
  <c r="D30" i="13"/>
  <c r="G27" i="29" l="1"/>
  <c r="G26" i="13"/>
  <c r="K74" i="29" l="1"/>
  <c r="G67" i="29"/>
  <c r="I65" i="29"/>
  <c r="I66" i="29" s="1"/>
  <c r="L74" i="29"/>
  <c r="J65" i="29"/>
  <c r="J66" i="29" s="1"/>
  <c r="G74" i="29"/>
  <c r="K65" i="29"/>
  <c r="K66" i="29" s="1"/>
  <c r="H67" i="29"/>
  <c r="L65" i="29"/>
  <c r="L66" i="29" s="1"/>
  <c r="L67" i="29"/>
  <c r="I67" i="29"/>
  <c r="G65" i="29"/>
  <c r="G66" i="29" s="1"/>
  <c r="J67" i="29"/>
  <c r="I74" i="29"/>
  <c r="J74" i="29"/>
  <c r="H74" i="29"/>
  <c r="K67" i="29"/>
  <c r="H65" i="29"/>
  <c r="H66" i="29" s="1"/>
  <c r="I96" i="29"/>
  <c r="I120" i="29" s="1"/>
  <c r="J96" i="29"/>
  <c r="J120" i="29" s="1"/>
  <c r="L96" i="29"/>
  <c r="L120" i="29" s="1"/>
  <c r="K96" i="29"/>
  <c r="K120" i="29"/>
  <c r="G96" i="29"/>
  <c r="G33" i="29"/>
  <c r="G32" i="29"/>
  <c r="G34" i="29" s="1"/>
  <c r="I62" i="29" s="1"/>
  <c r="I64" i="29" s="1"/>
  <c r="H96" i="29"/>
  <c r="G62" i="29" l="1"/>
  <c r="G64" i="29" s="1"/>
  <c r="L62" i="29"/>
  <c r="L64" i="29" s="1"/>
  <c r="J62" i="29"/>
  <c r="J64" i="29" s="1"/>
  <c r="H62" i="29"/>
  <c r="H64" i="29" s="1"/>
  <c r="I68" i="29"/>
  <c r="K62" i="29"/>
  <c r="K64" i="29" s="1"/>
  <c r="G43" i="29"/>
  <c r="G39" i="29"/>
  <c r="G41" i="29"/>
  <c r="G42" i="29"/>
  <c r="G40" i="29"/>
  <c r="G120" i="29"/>
  <c r="H120" i="29"/>
  <c r="G45" i="29"/>
  <c r="G44" i="29"/>
  <c r="G46" i="29"/>
  <c r="G38" i="29"/>
  <c r="P91" i="18"/>
  <c r="O91" i="18"/>
  <c r="L68" i="29" l="1"/>
  <c r="L98" i="29" s="1"/>
  <c r="L122" i="29" s="1"/>
  <c r="K68" i="29"/>
  <c r="K98" i="29" s="1"/>
  <c r="K122" i="29" s="1"/>
  <c r="J68" i="29"/>
  <c r="J98" i="29" s="1"/>
  <c r="G68" i="29"/>
  <c r="H68" i="29"/>
  <c r="I98" i="29"/>
  <c r="G98" i="29" l="1"/>
  <c r="G122" i="29" s="1"/>
  <c r="H98" i="29"/>
  <c r="H122" i="29" s="1"/>
  <c r="J122" i="29"/>
  <c r="I122" i="29"/>
  <c r="I33" i="13"/>
  <c r="G61" i="13"/>
  <c r="F81" i="29" s="1"/>
  <c r="F17" i="24"/>
  <c r="F65" i="18"/>
  <c r="D63" i="18"/>
  <c r="F62" i="18" s="1"/>
  <c r="F65" i="24"/>
  <c r="D63" i="24"/>
  <c r="F62" i="24" s="1"/>
  <c r="G4" i="24"/>
  <c r="G25" i="24"/>
  <c r="G91" i="24"/>
  <c r="F65" i="16"/>
  <c r="D63" i="16"/>
  <c r="F62" i="16" s="1"/>
  <c r="F65" i="15"/>
  <c r="B58" i="18"/>
  <c r="B58" i="24"/>
  <c r="B58" i="16"/>
  <c r="B58" i="15"/>
  <c r="I35" i="13"/>
  <c r="G58" i="13"/>
  <c r="F75" i="29" l="1"/>
  <c r="F75" i="31"/>
  <c r="K54" i="29"/>
  <c r="H54" i="29"/>
  <c r="I54" i="29"/>
  <c r="L54" i="29"/>
  <c r="J54" i="29"/>
  <c r="J58" i="29"/>
  <c r="K58" i="29"/>
  <c r="L58" i="29"/>
  <c r="I58" i="29"/>
  <c r="H58" i="29"/>
  <c r="G58" i="24"/>
  <c r="P58" i="18"/>
  <c r="O58" i="18"/>
  <c r="O54" i="18"/>
  <c r="P54" i="18"/>
  <c r="N91" i="18"/>
  <c r="M91" i="18"/>
  <c r="L91" i="18"/>
  <c r="K91" i="18"/>
  <c r="J91" i="18"/>
  <c r="I91" i="18"/>
  <c r="H91" i="18"/>
  <c r="G91" i="18"/>
  <c r="B91" i="18"/>
  <c r="B91" i="24"/>
  <c r="K91" i="16"/>
  <c r="J91" i="16"/>
  <c r="I91" i="16"/>
  <c r="H91" i="16"/>
  <c r="G91" i="16"/>
  <c r="B91" i="16"/>
  <c r="I91" i="15"/>
  <c r="H91" i="15"/>
  <c r="G91" i="15"/>
  <c r="G62" i="13"/>
  <c r="F83" i="31" s="1"/>
  <c r="F83" i="18" l="1"/>
  <c r="F83" i="29"/>
  <c r="F83" i="15"/>
  <c r="F83" i="16"/>
  <c r="F83" i="24"/>
  <c r="E110" i="18"/>
  <c r="D111" i="18"/>
  <c r="D113" i="18"/>
  <c r="D114" i="18"/>
  <c r="B84" i="18"/>
  <c r="B84" i="24"/>
  <c r="B84" i="16"/>
  <c r="B84" i="15"/>
  <c r="G63" i="13"/>
  <c r="E81" i="18"/>
  <c r="E80" i="18"/>
  <c r="E79" i="18"/>
  <c r="E78" i="18"/>
  <c r="E77" i="18"/>
  <c r="E76" i="18"/>
  <c r="E81" i="24"/>
  <c r="E80" i="24"/>
  <c r="E79" i="24"/>
  <c r="E78" i="24"/>
  <c r="E77" i="24"/>
  <c r="E76" i="24"/>
  <c r="E81" i="16"/>
  <c r="E80" i="16"/>
  <c r="E79" i="16"/>
  <c r="E78" i="16"/>
  <c r="E77" i="16"/>
  <c r="E76" i="16"/>
  <c r="D63" i="15"/>
  <c r="F19" i="18"/>
  <c r="F19" i="24"/>
  <c r="F19" i="16"/>
  <c r="F19" i="15"/>
  <c r="G4" i="18"/>
  <c r="F4" i="18"/>
  <c r="E3" i="18"/>
  <c r="F4" i="24"/>
  <c r="E3" i="24"/>
  <c r="G4" i="16"/>
  <c r="F4" i="16"/>
  <c r="E3" i="16"/>
  <c r="E3" i="15"/>
  <c r="G4" i="15"/>
  <c r="F4" i="15"/>
  <c r="F8" i="15"/>
  <c r="F8" i="16"/>
  <c r="F8" i="24"/>
  <c r="F8" i="18"/>
  <c r="E110" i="24"/>
  <c r="E111" i="16"/>
  <c r="E110" i="15"/>
  <c r="C44" i="18"/>
  <c r="C44" i="24"/>
  <c r="C44" i="16"/>
  <c r="C44" i="15"/>
  <c r="F5" i="18"/>
  <c r="C5" i="18"/>
  <c r="C4" i="18"/>
  <c r="F5" i="24"/>
  <c r="C5" i="24"/>
  <c r="C4" i="24"/>
  <c r="F5" i="16"/>
  <c r="C5" i="16"/>
  <c r="C4" i="16"/>
  <c r="F5" i="15"/>
  <c r="C5" i="15"/>
  <c r="C4" i="15"/>
  <c r="D111" i="24"/>
  <c r="F106" i="24"/>
  <c r="F105" i="24"/>
  <c r="E44" i="24"/>
  <c r="G23" i="24"/>
  <c r="G27" i="24" s="1"/>
  <c r="F106" i="18"/>
  <c r="F105" i="18"/>
  <c r="F107" i="16"/>
  <c r="F106" i="16"/>
  <c r="F106" i="15"/>
  <c r="F105" i="15"/>
  <c r="F16" i="20"/>
  <c r="H16" i="20" s="1"/>
  <c r="F17" i="20"/>
  <c r="H17" i="20" s="1"/>
  <c r="F15" i="20"/>
  <c r="H15" i="20" s="1"/>
  <c r="D115" i="16"/>
  <c r="D114" i="16"/>
  <c r="D112" i="16"/>
  <c r="F3" i="20"/>
  <c r="H3" i="20" s="1"/>
  <c r="F4" i="20"/>
  <c r="H4" i="20" s="1"/>
  <c r="F5" i="20"/>
  <c r="H5" i="20" s="1"/>
  <c r="F6" i="20"/>
  <c r="H6" i="20" s="1"/>
  <c r="F7" i="20"/>
  <c r="H7" i="20" s="1"/>
  <c r="F8" i="20"/>
  <c r="H8" i="20" s="1"/>
  <c r="F9" i="20"/>
  <c r="H9" i="20" s="1"/>
  <c r="F10" i="20"/>
  <c r="H10" i="20" s="1"/>
  <c r="F11" i="20"/>
  <c r="H11" i="20" s="1"/>
  <c r="F12" i="20"/>
  <c r="H12" i="20" s="1"/>
  <c r="F2" i="20"/>
  <c r="H2" i="20" s="1"/>
  <c r="E4" i="11"/>
  <c r="E5" i="11"/>
  <c r="E6" i="11"/>
  <c r="E7" i="11"/>
  <c r="E10" i="11"/>
  <c r="E3" i="11"/>
  <c r="I41" i="13"/>
  <c r="I42" i="13"/>
  <c r="I43" i="13"/>
  <c r="I44" i="13"/>
  <c r="I45" i="13"/>
  <c r="I46" i="13"/>
  <c r="I47" i="13"/>
  <c r="I48" i="13"/>
  <c r="I49" i="13"/>
  <c r="I40" i="13"/>
  <c r="H41" i="13"/>
  <c r="H42" i="13"/>
  <c r="H43" i="13"/>
  <c r="H44" i="13"/>
  <c r="H45" i="13"/>
  <c r="H46" i="13"/>
  <c r="H47" i="13"/>
  <c r="H48" i="13"/>
  <c r="H49" i="13"/>
  <c r="H40" i="13"/>
  <c r="F41" i="13"/>
  <c r="F42" i="13"/>
  <c r="F43" i="13"/>
  <c r="F44" i="13"/>
  <c r="F45" i="13"/>
  <c r="F46" i="13"/>
  <c r="F47" i="13"/>
  <c r="F48" i="13"/>
  <c r="F49" i="13"/>
  <c r="F40" i="13"/>
  <c r="F17" i="18"/>
  <c r="F17" i="16"/>
  <c r="F17" i="15"/>
  <c r="D15" i="13"/>
  <c r="H18" i="20" l="1"/>
  <c r="B20" i="26" s="1"/>
  <c r="D20" i="26" s="1"/>
  <c r="H13" i="20"/>
  <c r="B19" i="26" s="1"/>
  <c r="D19" i="26" s="1"/>
  <c r="E11" i="11"/>
  <c r="F84" i="18"/>
  <c r="F84" i="29"/>
  <c r="G42" i="13"/>
  <c r="G96" i="24"/>
  <c r="G32" i="24"/>
  <c r="G33" i="24"/>
  <c r="F84" i="15"/>
  <c r="F84" i="16"/>
  <c r="F84" i="24"/>
  <c r="F44" i="24"/>
  <c r="G40" i="13"/>
  <c r="G47" i="13"/>
  <c r="G41" i="13"/>
  <c r="G46" i="13"/>
  <c r="G45" i="13"/>
  <c r="F34" i="24"/>
  <c r="G44" i="13"/>
  <c r="G49" i="13"/>
  <c r="G43" i="13"/>
  <c r="G48" i="13"/>
  <c r="F32" i="15"/>
  <c r="E81" i="15"/>
  <c r="E80" i="15"/>
  <c r="E79" i="15"/>
  <c r="E78" i="15"/>
  <c r="E77" i="15"/>
  <c r="E76" i="15"/>
  <c r="F62" i="15"/>
  <c r="E44" i="18"/>
  <c r="F44" i="18" s="1"/>
  <c r="F46" i="18" s="1"/>
  <c r="F34" i="18"/>
  <c r="G23" i="18"/>
  <c r="E44" i="16"/>
  <c r="F44" i="16" s="1"/>
  <c r="G23" i="16"/>
  <c r="E44" i="15"/>
  <c r="F44" i="15" s="1"/>
  <c r="F46" i="15" s="1"/>
  <c r="G23" i="15"/>
  <c r="G84" i="13"/>
  <c r="G60" i="13"/>
  <c r="G59" i="13"/>
  <c r="F77" i="29" s="1"/>
  <c r="E49" i="13"/>
  <c r="E48" i="13"/>
  <c r="E47" i="13"/>
  <c r="E46" i="13"/>
  <c r="E45" i="13"/>
  <c r="E44" i="13"/>
  <c r="E43" i="13"/>
  <c r="E42" i="13"/>
  <c r="E41" i="13"/>
  <c r="E40" i="13"/>
  <c r="G54" i="24"/>
  <c r="I32" i="13"/>
  <c r="I30" i="13"/>
  <c r="F28" i="13"/>
  <c r="I28" i="13" s="1"/>
  <c r="I26" i="13"/>
  <c r="O89" i="18" l="1"/>
  <c r="N89" i="18"/>
  <c r="P89" i="18"/>
  <c r="Q89" i="18"/>
  <c r="L89" i="18"/>
  <c r="M89" i="18"/>
  <c r="G89" i="31"/>
  <c r="I89" i="31"/>
  <c r="H89" i="31"/>
  <c r="I89" i="29"/>
  <c r="K89" i="29"/>
  <c r="H89" i="29"/>
  <c r="G89" i="29"/>
  <c r="L89" i="29"/>
  <c r="J89" i="29"/>
  <c r="F79" i="29"/>
  <c r="F79" i="31"/>
  <c r="I56" i="29"/>
  <c r="K56" i="29"/>
  <c r="J56" i="29"/>
  <c r="L56" i="29"/>
  <c r="H56" i="29"/>
  <c r="L55" i="29"/>
  <c r="J55" i="29"/>
  <c r="I55" i="29"/>
  <c r="H55" i="29"/>
  <c r="K55" i="29"/>
  <c r="J57" i="29"/>
  <c r="I57" i="29"/>
  <c r="L57" i="29"/>
  <c r="H57" i="29"/>
  <c r="K57" i="29"/>
  <c r="K47" i="13"/>
  <c r="J47" i="13"/>
  <c r="L47" i="13"/>
  <c r="M47" i="13"/>
  <c r="H89" i="18"/>
  <c r="J89" i="16"/>
  <c r="I89" i="16"/>
  <c r="G89" i="24"/>
  <c r="H89" i="16"/>
  <c r="G89" i="16"/>
  <c r="K89" i="16"/>
  <c r="G55" i="24"/>
  <c r="O55" i="18"/>
  <c r="P55" i="18"/>
  <c r="G57" i="24"/>
  <c r="O57" i="18"/>
  <c r="P57" i="18"/>
  <c r="G53" i="24"/>
  <c r="P53" i="18"/>
  <c r="O53" i="18"/>
  <c r="G56" i="24"/>
  <c r="P56" i="18"/>
  <c r="O56" i="18"/>
  <c r="G34" i="24"/>
  <c r="G116" i="24"/>
  <c r="F46" i="24"/>
  <c r="I89" i="18"/>
  <c r="I89" i="15"/>
  <c r="J89" i="18"/>
  <c r="K89" i="18"/>
  <c r="G89" i="18"/>
  <c r="F81" i="16"/>
  <c r="F81" i="15"/>
  <c r="F81" i="18"/>
  <c r="F81" i="24"/>
  <c r="F75" i="18"/>
  <c r="F75" i="15"/>
  <c r="F75" i="16"/>
  <c r="F75" i="24"/>
  <c r="F79" i="16"/>
  <c r="F79" i="15"/>
  <c r="F79" i="18"/>
  <c r="F79" i="24"/>
  <c r="F77" i="16"/>
  <c r="F77" i="15"/>
  <c r="F77" i="18"/>
  <c r="F77" i="24"/>
  <c r="N57" i="18"/>
  <c r="L57" i="18"/>
  <c r="M57" i="18"/>
  <c r="M55" i="18"/>
  <c r="N55" i="18"/>
  <c r="L55" i="18"/>
  <c r="L53" i="18"/>
  <c r="M53" i="18"/>
  <c r="N53" i="18"/>
  <c r="N56" i="18"/>
  <c r="L56" i="18"/>
  <c r="M56" i="18"/>
  <c r="M54" i="18"/>
  <c r="N54" i="18"/>
  <c r="L54" i="18"/>
  <c r="L58" i="18"/>
  <c r="M58" i="18"/>
  <c r="N58" i="18"/>
  <c r="G53" i="15"/>
  <c r="J53" i="16"/>
  <c r="H89" i="15"/>
  <c r="M44" i="13"/>
  <c r="L44" i="13"/>
  <c r="K44" i="13"/>
  <c r="J44" i="13"/>
  <c r="L49" i="13"/>
  <c r="M49" i="13"/>
  <c r="K49" i="13"/>
  <c r="L52" i="29" s="1"/>
  <c r="J49" i="13"/>
  <c r="M45" i="13"/>
  <c r="L45" i="13"/>
  <c r="K45" i="13"/>
  <c r="I52" i="29" s="1"/>
  <c r="J45" i="13"/>
  <c r="J40" i="13"/>
  <c r="M40" i="13"/>
  <c r="G52" i="15" s="1"/>
  <c r="L40" i="13"/>
  <c r="G52" i="18" s="1"/>
  <c r="K40" i="13"/>
  <c r="M46" i="13"/>
  <c r="I52" i="15" s="1"/>
  <c r="L46" i="13"/>
  <c r="K46" i="13"/>
  <c r="J46" i="13"/>
  <c r="J43" i="13"/>
  <c r="M43" i="13"/>
  <c r="L43" i="13"/>
  <c r="K43" i="13"/>
  <c r="K41" i="13"/>
  <c r="L41" i="13"/>
  <c r="H52" i="18" s="1"/>
  <c r="J41" i="13"/>
  <c r="M41" i="13"/>
  <c r="H52" i="15" s="1"/>
  <c r="M42" i="13"/>
  <c r="J42" i="13"/>
  <c r="K42" i="13"/>
  <c r="L42" i="13"/>
  <c r="M48" i="13"/>
  <c r="K48" i="13"/>
  <c r="L48" i="13"/>
  <c r="J48" i="13"/>
  <c r="G89" i="15"/>
  <c r="B25" i="21"/>
  <c r="F34" i="15"/>
  <c r="H84" i="13"/>
  <c r="J84" i="13"/>
  <c r="D79" i="13" s="1"/>
  <c r="E109" i="31" s="1"/>
  <c r="I84" i="13"/>
  <c r="D78" i="13" s="1"/>
  <c r="K55" i="18"/>
  <c r="J55" i="18"/>
  <c r="H55" i="18"/>
  <c r="I55" i="16"/>
  <c r="G55" i="15"/>
  <c r="G55" i="18"/>
  <c r="H55" i="16"/>
  <c r="K55" i="16"/>
  <c r="G55" i="16"/>
  <c r="J55" i="16"/>
  <c r="H55" i="15"/>
  <c r="I55" i="15"/>
  <c r="I55" i="18"/>
  <c r="K56" i="18"/>
  <c r="H56" i="15"/>
  <c r="I56" i="16"/>
  <c r="I56" i="15"/>
  <c r="J56" i="18"/>
  <c r="H56" i="16"/>
  <c r="I56" i="18"/>
  <c r="K56" i="16"/>
  <c r="G56" i="16"/>
  <c r="H56" i="18"/>
  <c r="J56" i="16"/>
  <c r="G56" i="18"/>
  <c r="G56" i="15"/>
  <c r="I57" i="18"/>
  <c r="G57" i="18"/>
  <c r="J57" i="18"/>
  <c r="H57" i="18"/>
  <c r="I57" i="16"/>
  <c r="H57" i="16"/>
  <c r="H57" i="15"/>
  <c r="K57" i="16"/>
  <c r="G57" i="16"/>
  <c r="I57" i="15"/>
  <c r="G57" i="15"/>
  <c r="K57" i="18"/>
  <c r="J57" i="16"/>
  <c r="K54" i="18"/>
  <c r="J54" i="18"/>
  <c r="H54" i="18"/>
  <c r="I54" i="18"/>
  <c r="G54" i="18"/>
  <c r="H54" i="16"/>
  <c r="H54" i="15"/>
  <c r="K54" i="16"/>
  <c r="G54" i="16"/>
  <c r="I54" i="15"/>
  <c r="J54" i="16"/>
  <c r="I54" i="16"/>
  <c r="J58" i="18"/>
  <c r="H58" i="18"/>
  <c r="I58" i="18"/>
  <c r="G58" i="18"/>
  <c r="K58" i="16"/>
  <c r="J58" i="16"/>
  <c r="H58" i="15"/>
  <c r="I58" i="15"/>
  <c r="K58" i="18"/>
  <c r="I58" i="16"/>
  <c r="G58" i="15"/>
  <c r="H58" i="16"/>
  <c r="G58" i="16"/>
  <c r="G54" i="15"/>
  <c r="K53" i="18"/>
  <c r="J53" i="18"/>
  <c r="H53" i="18"/>
  <c r="I53" i="18"/>
  <c r="G53" i="18"/>
  <c r="K53" i="16"/>
  <c r="G53" i="16"/>
  <c r="H53" i="15"/>
  <c r="I53" i="16"/>
  <c r="I53" i="15"/>
  <c r="H53" i="16"/>
  <c r="G25" i="18"/>
  <c r="G27" i="18" s="1"/>
  <c r="G25" i="16"/>
  <c r="F46" i="16"/>
  <c r="F34" i="16"/>
  <c r="G25" i="15"/>
  <c r="G27" i="15" s="1"/>
  <c r="I65" i="15" l="1"/>
  <c r="I66" i="15" s="1"/>
  <c r="G65" i="15"/>
  <c r="G66" i="15" s="1"/>
  <c r="H65" i="15"/>
  <c r="H66" i="15" s="1"/>
  <c r="E108" i="31"/>
  <c r="E83" i="13"/>
  <c r="E82" i="13"/>
  <c r="E81" i="13"/>
  <c r="I85" i="31"/>
  <c r="H85" i="31"/>
  <c r="I59" i="29"/>
  <c r="Q96" i="18"/>
  <c r="G45" i="24"/>
  <c r="J52" i="29"/>
  <c r="J59" i="29" s="1"/>
  <c r="J79" i="29" s="1"/>
  <c r="H59" i="15"/>
  <c r="G59" i="29"/>
  <c r="J52" i="16"/>
  <c r="J59" i="16" s="1"/>
  <c r="K52" i="29"/>
  <c r="K59" i="29" s="1"/>
  <c r="H59" i="29"/>
  <c r="E109" i="18"/>
  <c r="E110" i="29"/>
  <c r="L59" i="29"/>
  <c r="L79" i="29" s="1"/>
  <c r="E108" i="18"/>
  <c r="E109" i="29"/>
  <c r="G59" i="15"/>
  <c r="I59" i="15"/>
  <c r="E115" i="29"/>
  <c r="G59" i="24"/>
  <c r="P59" i="18"/>
  <c r="O59" i="18"/>
  <c r="G43" i="24"/>
  <c r="G39" i="24"/>
  <c r="P96" i="18"/>
  <c r="P119" i="18" s="1"/>
  <c r="O96" i="18"/>
  <c r="O119" i="18" s="1"/>
  <c r="G40" i="24"/>
  <c r="G44" i="24"/>
  <c r="G38" i="24"/>
  <c r="G42" i="24"/>
  <c r="G41" i="24"/>
  <c r="G46" i="24"/>
  <c r="G96" i="15"/>
  <c r="H59" i="18"/>
  <c r="G59" i="18"/>
  <c r="N59" i="18"/>
  <c r="J59" i="18"/>
  <c r="K59" i="18"/>
  <c r="M59" i="18"/>
  <c r="L59" i="18"/>
  <c r="I59" i="18"/>
  <c r="M96" i="18"/>
  <c r="M119" i="18" s="1"/>
  <c r="L96" i="18"/>
  <c r="L119" i="18" s="1"/>
  <c r="N96" i="18"/>
  <c r="N119" i="18" s="1"/>
  <c r="E108" i="15"/>
  <c r="E108" i="24"/>
  <c r="E109" i="16"/>
  <c r="E109" i="15"/>
  <c r="E109" i="24"/>
  <c r="E110" i="16"/>
  <c r="H52" i="16"/>
  <c r="H59" i="16" s="1"/>
  <c r="G52" i="16"/>
  <c r="G59" i="16" s="1"/>
  <c r="K52" i="16"/>
  <c r="K59" i="16" s="1"/>
  <c r="I52" i="16"/>
  <c r="I59" i="16" s="1"/>
  <c r="G27" i="16"/>
  <c r="J96" i="18"/>
  <c r="H96" i="18"/>
  <c r="I96" i="18"/>
  <c r="G96" i="18"/>
  <c r="G33" i="18"/>
  <c r="K96" i="18"/>
  <c r="G32" i="18"/>
  <c r="H96" i="15"/>
  <c r="I96" i="15"/>
  <c r="G32" i="15"/>
  <c r="G33" i="15"/>
  <c r="K81" i="29" l="1"/>
  <c r="K75" i="29"/>
  <c r="K83" i="29"/>
  <c r="K77" i="29"/>
  <c r="K84" i="29"/>
  <c r="J81" i="29"/>
  <c r="J75" i="29"/>
  <c r="J83" i="29"/>
  <c r="J77" i="29"/>
  <c r="J84" i="29"/>
  <c r="K79" i="29"/>
  <c r="I81" i="29"/>
  <c r="I75" i="29"/>
  <c r="I83" i="29"/>
  <c r="I77" i="29"/>
  <c r="I84" i="29"/>
  <c r="L81" i="29"/>
  <c r="L75" i="29"/>
  <c r="L83" i="29"/>
  <c r="L77" i="29"/>
  <c r="L84" i="29"/>
  <c r="I97" i="29"/>
  <c r="I121" i="29" s="1"/>
  <c r="I79" i="29"/>
  <c r="H84" i="29"/>
  <c r="H81" i="29"/>
  <c r="H77" i="29"/>
  <c r="H83" i="29"/>
  <c r="H79" i="29"/>
  <c r="H75" i="29"/>
  <c r="G84" i="29"/>
  <c r="G79" i="29"/>
  <c r="G81" i="29"/>
  <c r="G83" i="29"/>
  <c r="G77" i="29"/>
  <c r="G75" i="29"/>
  <c r="G74" i="16"/>
  <c r="H74" i="16"/>
  <c r="I74" i="16"/>
  <c r="J74" i="16"/>
  <c r="K74" i="16"/>
  <c r="G67" i="16"/>
  <c r="H65" i="16"/>
  <c r="H66" i="16" s="1"/>
  <c r="J67" i="16"/>
  <c r="I67" i="16"/>
  <c r="I65" i="16"/>
  <c r="I66" i="16" s="1"/>
  <c r="K67" i="16"/>
  <c r="J65" i="16"/>
  <c r="J66" i="16" s="1"/>
  <c r="G65" i="16"/>
  <c r="G66" i="16" s="1"/>
  <c r="K65" i="16"/>
  <c r="K66" i="16" s="1"/>
  <c r="H67" i="16"/>
  <c r="F112" i="31"/>
  <c r="F112" i="18"/>
  <c r="F113" i="29"/>
  <c r="F113" i="16"/>
  <c r="F107" i="31"/>
  <c r="F114" i="31"/>
  <c r="F113" i="31"/>
  <c r="G90" i="31"/>
  <c r="G99" i="31"/>
  <c r="H90" i="31"/>
  <c r="H92" i="31" s="1"/>
  <c r="H100" i="31" s="1"/>
  <c r="H99" i="31"/>
  <c r="I90" i="31"/>
  <c r="I92" i="31" s="1"/>
  <c r="I100" i="31" s="1"/>
  <c r="I99" i="31"/>
  <c r="L97" i="29"/>
  <c r="K97" i="29"/>
  <c r="K121" i="29" s="1"/>
  <c r="J97" i="29"/>
  <c r="Q119" i="18"/>
  <c r="H97" i="29"/>
  <c r="E111" i="18"/>
  <c r="F107" i="18" s="1"/>
  <c r="E112" i="29"/>
  <c r="F108" i="29" s="1"/>
  <c r="F115" i="29"/>
  <c r="E114" i="29"/>
  <c r="F114" i="29" s="1"/>
  <c r="G97" i="29"/>
  <c r="I96" i="16"/>
  <c r="I120" i="16" s="1"/>
  <c r="J96" i="16"/>
  <c r="J120" i="16" s="1"/>
  <c r="K96" i="16"/>
  <c r="K120" i="16" s="1"/>
  <c r="E113" i="18"/>
  <c r="F113" i="18" s="1"/>
  <c r="E114" i="16"/>
  <c r="F114" i="16" s="1"/>
  <c r="E114" i="18"/>
  <c r="F114" i="18" s="1"/>
  <c r="E115" i="16"/>
  <c r="F115" i="16" s="1"/>
  <c r="E112" i="15"/>
  <c r="F112" i="15" s="1"/>
  <c r="G34" i="15"/>
  <c r="G68" i="24"/>
  <c r="G34" i="18"/>
  <c r="G97" i="24"/>
  <c r="G117" i="24" s="1"/>
  <c r="E111" i="15"/>
  <c r="F107" i="15" s="1"/>
  <c r="E111" i="24"/>
  <c r="F107" i="24" s="1"/>
  <c r="E112" i="16"/>
  <c r="F108" i="16" s="1"/>
  <c r="G33" i="16"/>
  <c r="G96" i="16"/>
  <c r="G120" i="16" s="1"/>
  <c r="H96" i="16"/>
  <c r="H120" i="16" s="1"/>
  <c r="G32" i="16"/>
  <c r="K119" i="18"/>
  <c r="H119" i="18"/>
  <c r="J119" i="18"/>
  <c r="G119" i="18"/>
  <c r="I119" i="18"/>
  <c r="I117" i="15"/>
  <c r="G117" i="15"/>
  <c r="H117" i="15"/>
  <c r="I123" i="31" l="1"/>
  <c r="I101" i="31"/>
  <c r="H123" i="31"/>
  <c r="H101" i="31"/>
  <c r="G92" i="31"/>
  <c r="G100" i="31" s="1"/>
  <c r="G43" i="15"/>
  <c r="G62" i="15"/>
  <c r="G64" i="15" s="1"/>
  <c r="H62" i="15"/>
  <c r="I62" i="15"/>
  <c r="G38" i="15"/>
  <c r="G45" i="15"/>
  <c r="I85" i="29"/>
  <c r="I90" i="29" s="1"/>
  <c r="I92" i="29" s="1"/>
  <c r="I100" i="29" s="1"/>
  <c r="I124" i="29" s="1"/>
  <c r="G41" i="15"/>
  <c r="I122" i="31"/>
  <c r="H122" i="31"/>
  <c r="G122" i="31"/>
  <c r="L85" i="29"/>
  <c r="L99" i="29" s="1"/>
  <c r="L123" i="29" s="1"/>
  <c r="J85" i="29"/>
  <c r="J99" i="29" s="1"/>
  <c r="J123" i="29" s="1"/>
  <c r="K85" i="29"/>
  <c r="K99" i="29" s="1"/>
  <c r="J121" i="29"/>
  <c r="G46" i="15"/>
  <c r="I97" i="15" s="1"/>
  <c r="L121" i="29"/>
  <c r="G121" i="29"/>
  <c r="H85" i="29"/>
  <c r="G40" i="15"/>
  <c r="G42" i="15"/>
  <c r="G85" i="29"/>
  <c r="H121" i="29"/>
  <c r="G45" i="18"/>
  <c r="G44" i="15"/>
  <c r="G39" i="15"/>
  <c r="G34" i="16"/>
  <c r="G40" i="18"/>
  <c r="G43" i="18"/>
  <c r="G98" i="24"/>
  <c r="G118" i="24" s="1"/>
  <c r="G46" i="18"/>
  <c r="G97" i="18" s="1"/>
  <c r="G120" i="18" s="1"/>
  <c r="G41" i="18"/>
  <c r="G39" i="18"/>
  <c r="G38" i="18"/>
  <c r="G42" i="18"/>
  <c r="G44" i="18"/>
  <c r="I64" i="15"/>
  <c r="H64" i="15"/>
  <c r="K62" i="16" l="1"/>
  <c r="K64" i="16" s="1"/>
  <c r="H62" i="16"/>
  <c r="H64" i="16" s="1"/>
  <c r="J62" i="16"/>
  <c r="J64" i="16" s="1"/>
  <c r="I62" i="16"/>
  <c r="I64" i="16" s="1"/>
  <c r="G62" i="16"/>
  <c r="G64" i="16" s="1"/>
  <c r="G123" i="31"/>
  <c r="G101" i="31"/>
  <c r="G97" i="15"/>
  <c r="G118" i="15" s="1"/>
  <c r="I99" i="29"/>
  <c r="I123" i="29" s="1"/>
  <c r="L90" i="29"/>
  <c r="L92" i="29" s="1"/>
  <c r="L100" i="29" s="1"/>
  <c r="L124" i="29" s="1"/>
  <c r="H105" i="31"/>
  <c r="H106" i="31" s="1"/>
  <c r="H107" i="31" s="1"/>
  <c r="H115" i="31" s="1"/>
  <c r="H124" i="31" s="1"/>
  <c r="H125" i="31" s="1"/>
  <c r="C47" i="21" s="1"/>
  <c r="D35" i="33" s="1"/>
  <c r="F35" i="33" s="1"/>
  <c r="G105" i="31"/>
  <c r="G106" i="31" s="1"/>
  <c r="G114" i="31" s="1"/>
  <c r="G115" i="31" s="1"/>
  <c r="G124" i="31" s="1"/>
  <c r="G125" i="31" s="1"/>
  <c r="I105" i="31"/>
  <c r="I106" i="31" s="1"/>
  <c r="I107" i="31" s="1"/>
  <c r="I101" i="29"/>
  <c r="K90" i="29"/>
  <c r="K92" i="29" s="1"/>
  <c r="K100" i="29" s="1"/>
  <c r="K124" i="29" s="1"/>
  <c r="K123" i="29"/>
  <c r="J90" i="29"/>
  <c r="J92" i="29" s="1"/>
  <c r="J100" i="29" s="1"/>
  <c r="J124" i="29" s="1"/>
  <c r="H99" i="29"/>
  <c r="H123" i="29" s="1"/>
  <c r="H90" i="29"/>
  <c r="H92" i="29" s="1"/>
  <c r="H100" i="29" s="1"/>
  <c r="H124" i="29" s="1"/>
  <c r="Q68" i="18"/>
  <c r="Q97" i="18"/>
  <c r="H97" i="15"/>
  <c r="H118" i="15" s="1"/>
  <c r="G99" i="29"/>
  <c r="G123" i="29" s="1"/>
  <c r="G90" i="29"/>
  <c r="G92" i="29" s="1"/>
  <c r="G100" i="29" s="1"/>
  <c r="H68" i="15"/>
  <c r="H84" i="15" s="1"/>
  <c r="G40" i="16"/>
  <c r="G43" i="16"/>
  <c r="G46" i="16"/>
  <c r="G97" i="16" s="1"/>
  <c r="G121" i="16" s="1"/>
  <c r="G39" i="16"/>
  <c r="G38" i="16"/>
  <c r="G41" i="16"/>
  <c r="G42" i="16"/>
  <c r="G45" i="16"/>
  <c r="G44" i="16"/>
  <c r="I68" i="15"/>
  <c r="P68" i="18"/>
  <c r="P98" i="18" s="1"/>
  <c r="P121" i="18" s="1"/>
  <c r="G68" i="18"/>
  <c r="J68" i="18"/>
  <c r="J98" i="18" s="1"/>
  <c r="J121" i="18" s="1"/>
  <c r="O68" i="18"/>
  <c r="O98" i="18" s="1"/>
  <c r="O121" i="18" s="1"/>
  <c r="O97" i="18"/>
  <c r="P97" i="18"/>
  <c r="H97" i="18"/>
  <c r="H120" i="18" s="1"/>
  <c r="L97" i="18"/>
  <c r="L120" i="18" s="1"/>
  <c r="N97" i="18"/>
  <c r="N120" i="18" s="1"/>
  <c r="K97" i="18"/>
  <c r="K120" i="18" s="1"/>
  <c r="M97" i="18"/>
  <c r="M120" i="18" s="1"/>
  <c r="J97" i="18"/>
  <c r="J120" i="18" s="1"/>
  <c r="I97" i="18"/>
  <c r="I120" i="18" s="1"/>
  <c r="I68" i="18"/>
  <c r="I98" i="18" s="1"/>
  <c r="I121" i="18" s="1"/>
  <c r="K68" i="18"/>
  <c r="K98" i="18" s="1"/>
  <c r="K121" i="18" s="1"/>
  <c r="L68" i="18"/>
  <c r="L98" i="18" s="1"/>
  <c r="L121" i="18" s="1"/>
  <c r="N68" i="18"/>
  <c r="N98" i="18" s="1"/>
  <c r="N121" i="18" s="1"/>
  <c r="H68" i="18"/>
  <c r="M68" i="18"/>
  <c r="M98" i="18" s="1"/>
  <c r="M121" i="18" s="1"/>
  <c r="G68" i="15"/>
  <c r="I118" i="15"/>
  <c r="G124" i="29" l="1"/>
  <c r="G101" i="29"/>
  <c r="G81" i="15"/>
  <c r="G77" i="15"/>
  <c r="G75" i="15"/>
  <c r="G83" i="15"/>
  <c r="G79" i="15"/>
  <c r="H81" i="15"/>
  <c r="H75" i="15"/>
  <c r="H77" i="15"/>
  <c r="H79" i="15"/>
  <c r="H83" i="15"/>
  <c r="I81" i="15"/>
  <c r="I84" i="15"/>
  <c r="I83" i="15"/>
  <c r="I75" i="15"/>
  <c r="I77" i="15"/>
  <c r="G84" i="15"/>
  <c r="I79" i="15"/>
  <c r="L101" i="29"/>
  <c r="L106" i="29" s="1"/>
  <c r="L107" i="29" s="1"/>
  <c r="G98" i="18"/>
  <c r="G121" i="18" s="1"/>
  <c r="I115" i="31"/>
  <c r="I124" i="31" s="1"/>
  <c r="I125" i="31" s="1"/>
  <c r="C46" i="21"/>
  <c r="D13" i="33" s="1"/>
  <c r="F13" i="33" s="1"/>
  <c r="C59" i="21"/>
  <c r="D16" i="33" s="1"/>
  <c r="F16" i="33" s="1"/>
  <c r="I106" i="29"/>
  <c r="J101" i="29"/>
  <c r="J106" i="29" s="1"/>
  <c r="J107" i="29" s="1"/>
  <c r="K101" i="29"/>
  <c r="K106" i="29" s="1"/>
  <c r="K107" i="29" s="1"/>
  <c r="H101" i="29"/>
  <c r="Q98" i="18"/>
  <c r="Q121" i="18" s="1"/>
  <c r="Q120" i="18"/>
  <c r="G99" i="24"/>
  <c r="G119" i="24" s="1"/>
  <c r="G90" i="24"/>
  <c r="G92" i="24" s="1"/>
  <c r="G100" i="24" s="1"/>
  <c r="G120" i="24" s="1"/>
  <c r="K97" i="16"/>
  <c r="K121" i="16" s="1"/>
  <c r="I97" i="16"/>
  <c r="I121" i="16" s="1"/>
  <c r="J97" i="16"/>
  <c r="J121" i="16" s="1"/>
  <c r="H97" i="16"/>
  <c r="H121" i="16" s="1"/>
  <c r="H68" i="16"/>
  <c r="G68" i="16"/>
  <c r="O120" i="18"/>
  <c r="P120" i="18"/>
  <c r="I68" i="16"/>
  <c r="I83" i="16" s="1"/>
  <c r="K68" i="16"/>
  <c r="K84" i="16" s="1"/>
  <c r="J68" i="16"/>
  <c r="J83" i="16" s="1"/>
  <c r="G98" i="15"/>
  <c r="G119" i="15" s="1"/>
  <c r="H98" i="18"/>
  <c r="H121" i="18" s="1"/>
  <c r="I98" i="15"/>
  <c r="I119" i="15" s="1"/>
  <c r="H98" i="15"/>
  <c r="H119" i="15" s="1"/>
  <c r="H106" i="29" l="1"/>
  <c r="H107" i="29" s="1"/>
  <c r="H114" i="29"/>
  <c r="H84" i="16"/>
  <c r="H83" i="16"/>
  <c r="J84" i="16"/>
  <c r="G81" i="16"/>
  <c r="G84" i="16"/>
  <c r="G83" i="16"/>
  <c r="G77" i="16"/>
  <c r="G79" i="16"/>
  <c r="I84" i="16"/>
  <c r="K83" i="16"/>
  <c r="G75" i="16"/>
  <c r="I75" i="16"/>
  <c r="I79" i="16"/>
  <c r="I81" i="16"/>
  <c r="I77" i="16"/>
  <c r="H75" i="16"/>
  <c r="H81" i="16"/>
  <c r="H77" i="16"/>
  <c r="H79" i="16"/>
  <c r="K77" i="16"/>
  <c r="K81" i="16"/>
  <c r="K79" i="16"/>
  <c r="K75" i="16"/>
  <c r="J79" i="16"/>
  <c r="J77" i="16"/>
  <c r="J75" i="16"/>
  <c r="J81" i="16"/>
  <c r="G98" i="16"/>
  <c r="G122" i="16" s="1"/>
  <c r="G106" i="29"/>
  <c r="G107" i="29" s="1"/>
  <c r="G115" i="29" s="1"/>
  <c r="I107" i="29"/>
  <c r="I113" i="29" s="1"/>
  <c r="K115" i="29"/>
  <c r="K116" i="29" s="1"/>
  <c r="K125" i="29" s="1"/>
  <c r="K126" i="29" s="1"/>
  <c r="L108" i="29"/>
  <c r="L116" i="29" s="1"/>
  <c r="L125" i="29" s="1"/>
  <c r="L126" i="29" s="1"/>
  <c r="C48" i="21"/>
  <c r="D78" i="33" s="1"/>
  <c r="F78" i="33" s="1"/>
  <c r="C60" i="21"/>
  <c r="D81" i="33" s="1"/>
  <c r="F81" i="33" s="1"/>
  <c r="Q85" i="18"/>
  <c r="Q99" i="18" s="1"/>
  <c r="Q122" i="18" s="1"/>
  <c r="J116" i="29"/>
  <c r="J125" i="29" s="1"/>
  <c r="J126" i="29" s="1"/>
  <c r="H98" i="16"/>
  <c r="H122" i="16" s="1"/>
  <c r="P85" i="18"/>
  <c r="P90" i="18" s="1"/>
  <c r="P92" i="18" s="1"/>
  <c r="P100" i="18" s="1"/>
  <c r="P123" i="18" s="1"/>
  <c r="Q90" i="18"/>
  <c r="Q92" i="18" s="1"/>
  <c r="Q100" i="18" s="1"/>
  <c r="Q123" i="18" s="1"/>
  <c r="G101" i="24"/>
  <c r="O85" i="18"/>
  <c r="H116" i="29"/>
  <c r="H125" i="29" s="1"/>
  <c r="H126" i="29" s="1"/>
  <c r="J98" i="16"/>
  <c r="J122" i="16" s="1"/>
  <c r="J85" i="18"/>
  <c r="I98" i="16"/>
  <c r="I122" i="16" s="1"/>
  <c r="L85" i="18"/>
  <c r="M85" i="18"/>
  <c r="I85" i="18"/>
  <c r="H85" i="18"/>
  <c r="K85" i="18"/>
  <c r="N85" i="18"/>
  <c r="K98" i="16"/>
  <c r="K122" i="16" s="1"/>
  <c r="G85" i="15"/>
  <c r="I85" i="15"/>
  <c r="H85" i="15"/>
  <c r="H85" i="16" l="1"/>
  <c r="H99" i="16" s="1"/>
  <c r="H123" i="16" s="1"/>
  <c r="F71" i="32"/>
  <c r="H71" i="32" s="1"/>
  <c r="I116" i="29"/>
  <c r="I125" i="29" s="1"/>
  <c r="I126" i="29" s="1"/>
  <c r="H2" i="32"/>
  <c r="F45" i="32"/>
  <c r="H45" i="32" s="1"/>
  <c r="F57" i="32"/>
  <c r="H57" i="32" s="1"/>
  <c r="G116" i="29"/>
  <c r="G125" i="29" s="1"/>
  <c r="G126" i="29" s="1"/>
  <c r="P99" i="18"/>
  <c r="P122" i="18" s="1"/>
  <c r="Q101" i="18"/>
  <c r="G105" i="24"/>
  <c r="I99" i="18"/>
  <c r="I122" i="18" s="1"/>
  <c r="I90" i="18"/>
  <c r="I92" i="18" s="1"/>
  <c r="I100" i="18" s="1"/>
  <c r="I123" i="18" s="1"/>
  <c r="H99" i="18"/>
  <c r="H122" i="18" s="1"/>
  <c r="H90" i="18"/>
  <c r="H92" i="18" s="1"/>
  <c r="H100" i="18" s="1"/>
  <c r="H123" i="18" s="1"/>
  <c r="O99" i="18"/>
  <c r="O90" i="18"/>
  <c r="O92" i="18" s="1"/>
  <c r="O100" i="18" s="1"/>
  <c r="O123" i="18" s="1"/>
  <c r="K99" i="18"/>
  <c r="K122" i="18" s="1"/>
  <c r="K90" i="18"/>
  <c r="K92" i="18" s="1"/>
  <c r="K100" i="18" s="1"/>
  <c r="K123" i="18" s="1"/>
  <c r="M99" i="18"/>
  <c r="M122" i="18" s="1"/>
  <c r="M90" i="18"/>
  <c r="M92" i="18" s="1"/>
  <c r="M100" i="18" s="1"/>
  <c r="M123" i="18" s="1"/>
  <c r="G99" i="18"/>
  <c r="G122" i="18" s="1"/>
  <c r="G90" i="18"/>
  <c r="G92" i="18" s="1"/>
  <c r="G100" i="18" s="1"/>
  <c r="G123" i="18" s="1"/>
  <c r="J99" i="18"/>
  <c r="J122" i="18" s="1"/>
  <c r="J90" i="18"/>
  <c r="J92" i="18" s="1"/>
  <c r="J100" i="18" s="1"/>
  <c r="J123" i="18" s="1"/>
  <c r="L99" i="18"/>
  <c r="L122" i="18" s="1"/>
  <c r="L90" i="18"/>
  <c r="L92" i="18" s="1"/>
  <c r="L100" i="18" s="1"/>
  <c r="L123" i="18" s="1"/>
  <c r="N99" i="18"/>
  <c r="N122" i="18" s="1"/>
  <c r="N90" i="18"/>
  <c r="N92" i="18" s="1"/>
  <c r="N100" i="18" s="1"/>
  <c r="N123" i="18" s="1"/>
  <c r="H99" i="15"/>
  <c r="H120" i="15" s="1"/>
  <c r="H90" i="15"/>
  <c r="H92" i="15" s="1"/>
  <c r="H100" i="15" s="1"/>
  <c r="H121" i="15" s="1"/>
  <c r="I99" i="15"/>
  <c r="I90" i="15"/>
  <c r="I92" i="15" s="1"/>
  <c r="I100" i="15" s="1"/>
  <c r="I121" i="15" s="1"/>
  <c r="G99" i="15"/>
  <c r="G120" i="15" s="1"/>
  <c r="G90" i="15"/>
  <c r="J85" i="16"/>
  <c r="I85" i="16"/>
  <c r="K85" i="16"/>
  <c r="H90" i="16" l="1"/>
  <c r="H92" i="16" s="1"/>
  <c r="H100" i="16" s="1"/>
  <c r="H124" i="16" s="1"/>
  <c r="F32" i="32"/>
  <c r="H32" i="32" s="1"/>
  <c r="H18" i="32"/>
  <c r="P101" i="18"/>
  <c r="M101" i="18"/>
  <c r="M105" i="18" s="1"/>
  <c r="M106" i="18" s="1"/>
  <c r="M107" i="18" s="1"/>
  <c r="M115" i="18" s="1"/>
  <c r="M124" i="18" s="1"/>
  <c r="M125" i="18" s="1"/>
  <c r="K99" i="16"/>
  <c r="K123" i="16" s="1"/>
  <c r="K92" i="16"/>
  <c r="K100" i="16" s="1"/>
  <c r="K124" i="16" s="1"/>
  <c r="N101" i="18"/>
  <c r="J99" i="16"/>
  <c r="J123" i="16" s="1"/>
  <c r="J90" i="16"/>
  <c r="J92" i="16" s="1"/>
  <c r="J100" i="16" s="1"/>
  <c r="J124" i="16" s="1"/>
  <c r="G106" i="24"/>
  <c r="G107" i="24" s="1"/>
  <c r="I99" i="16"/>
  <c r="I123" i="16" s="1"/>
  <c r="I90" i="16"/>
  <c r="I92" i="16" s="1"/>
  <c r="I100" i="16" s="1"/>
  <c r="I124" i="16" s="1"/>
  <c r="H101" i="18"/>
  <c r="H105" i="18" s="1"/>
  <c r="H106" i="18" s="1"/>
  <c r="Q105" i="18"/>
  <c r="L101" i="18"/>
  <c r="O122" i="18"/>
  <c r="O101" i="18"/>
  <c r="G101" i="18"/>
  <c r="K101" i="18"/>
  <c r="J101" i="18"/>
  <c r="I101" i="18"/>
  <c r="I101" i="15"/>
  <c r="I105" i="15" s="1"/>
  <c r="I106" i="15" s="1"/>
  <c r="I107" i="15" s="1"/>
  <c r="I113" i="15" s="1"/>
  <c r="I122" i="15" s="1"/>
  <c r="I120" i="15"/>
  <c r="H101" i="15"/>
  <c r="H105" i="15" s="1"/>
  <c r="H101" i="16" l="1"/>
  <c r="H106" i="16" s="1"/>
  <c r="H107" i="16" s="1"/>
  <c r="H108" i="16" s="1"/>
  <c r="I123" i="15"/>
  <c r="K101" i="16"/>
  <c r="K106" i="16" s="1"/>
  <c r="K107" i="16" s="1"/>
  <c r="K108" i="16" s="1"/>
  <c r="C57" i="21"/>
  <c r="D80" i="33" s="1"/>
  <c r="F80" i="33" s="1"/>
  <c r="C52" i="21"/>
  <c r="D79" i="33" s="1"/>
  <c r="F79" i="33" s="1"/>
  <c r="G105" i="18"/>
  <c r="G106" i="18" s="1"/>
  <c r="G114" i="18" s="1"/>
  <c r="G115" i="18" s="1"/>
  <c r="G124" i="18" s="1"/>
  <c r="G125" i="18" s="1"/>
  <c r="O105" i="18"/>
  <c r="O106" i="18" s="1"/>
  <c r="O114" i="18" s="1"/>
  <c r="O115" i="18" s="1"/>
  <c r="O124" i="18" s="1"/>
  <c r="O125" i="18" s="1"/>
  <c r="P105" i="18"/>
  <c r="P106" i="18" s="1"/>
  <c r="H106" i="15"/>
  <c r="H107" i="15" s="1"/>
  <c r="H113" i="15" s="1"/>
  <c r="H122" i="15" s="1"/>
  <c r="H123" i="15" s="1"/>
  <c r="L105" i="18"/>
  <c r="L106" i="18" s="1"/>
  <c r="I105" i="18"/>
  <c r="I106" i="18" s="1"/>
  <c r="I107" i="18" s="1"/>
  <c r="I101" i="16"/>
  <c r="J105" i="18"/>
  <c r="J106" i="18" s="1"/>
  <c r="K105" i="18"/>
  <c r="K106" i="18" s="1"/>
  <c r="K113" i="18" s="1"/>
  <c r="N105" i="18"/>
  <c r="J101" i="16"/>
  <c r="Q106" i="18"/>
  <c r="G112" i="24"/>
  <c r="G121" i="24" s="1"/>
  <c r="G122" i="24" s="1"/>
  <c r="C25" i="21" s="1"/>
  <c r="D71" i="33" s="1"/>
  <c r="F71" i="33" s="1"/>
  <c r="H107" i="18"/>
  <c r="H115" i="18" s="1"/>
  <c r="H124" i="18" s="1"/>
  <c r="H125" i="18" s="1"/>
  <c r="H116" i="16" l="1"/>
  <c r="H125" i="16" s="1"/>
  <c r="H126" i="16" s="1"/>
  <c r="C28" i="21" s="1"/>
  <c r="D30" i="33" s="1"/>
  <c r="F30" i="33" s="1"/>
  <c r="J114" i="18"/>
  <c r="J115" i="18" s="1"/>
  <c r="J124" i="18" s="1"/>
  <c r="J125" i="18" s="1"/>
  <c r="F63" i="32"/>
  <c r="H63" i="32" s="1"/>
  <c r="H66" i="32" s="1"/>
  <c r="C54" i="21"/>
  <c r="D15" i="33" s="1"/>
  <c r="F15" i="33" s="1"/>
  <c r="C49" i="21"/>
  <c r="D14" i="33" s="1"/>
  <c r="F14" i="33" s="1"/>
  <c r="C50" i="21"/>
  <c r="D36" i="33" s="1"/>
  <c r="F36" i="33" s="1"/>
  <c r="C55" i="21"/>
  <c r="D37" i="33" s="1"/>
  <c r="F37" i="33" s="1"/>
  <c r="L112" i="18"/>
  <c r="J106" i="16"/>
  <c r="H130" i="29"/>
  <c r="H131" i="29" s="1"/>
  <c r="Q107" i="18"/>
  <c r="Q115" i="18" s="1"/>
  <c r="Q124" i="18" s="1"/>
  <c r="Q125" i="18" s="1"/>
  <c r="K115" i="18"/>
  <c r="K124" i="18" s="1"/>
  <c r="K125" i="18" s="1"/>
  <c r="H130" i="16"/>
  <c r="I106" i="16"/>
  <c r="I107" i="16" s="1"/>
  <c r="I115" i="18"/>
  <c r="I124" i="18" s="1"/>
  <c r="I125" i="18" s="1"/>
  <c r="N106" i="18"/>
  <c r="N107" i="18" s="1"/>
  <c r="N115" i="18" s="1"/>
  <c r="N124" i="18" s="1"/>
  <c r="N125" i="18" s="1"/>
  <c r="K116" i="16"/>
  <c r="K125" i="16" s="1"/>
  <c r="K126" i="16" s="1"/>
  <c r="P107" i="18"/>
  <c r="P115" i="18" s="1"/>
  <c r="P124" i="18" s="1"/>
  <c r="P125" i="18" s="1"/>
  <c r="C7" i="21" l="1"/>
  <c r="D25" i="33" s="1"/>
  <c r="F25" i="33" s="1"/>
  <c r="C12" i="21"/>
  <c r="D26" i="33" s="1"/>
  <c r="F26" i="33" s="1"/>
  <c r="C22" i="21"/>
  <c r="D28" i="33" s="1"/>
  <c r="F28" i="33" s="1"/>
  <c r="C32" i="21"/>
  <c r="D31" i="33" s="1"/>
  <c r="F31" i="33" s="1"/>
  <c r="H131" i="16"/>
  <c r="C3" i="21"/>
  <c r="D24" i="33" s="1"/>
  <c r="F24" i="33" s="1"/>
  <c r="C18" i="21"/>
  <c r="D27" i="33" s="1"/>
  <c r="F27" i="33" s="1"/>
  <c r="C38" i="21"/>
  <c r="D32" i="33" s="1"/>
  <c r="F32" i="33" s="1"/>
  <c r="C42" i="21"/>
  <c r="D33" i="33" s="1"/>
  <c r="F33" i="33" s="1"/>
  <c r="F77" i="32"/>
  <c r="H77" i="32" s="1"/>
  <c r="H80" i="32" s="1"/>
  <c r="C58" i="21"/>
  <c r="D97" i="33" s="1"/>
  <c r="F97" i="33" s="1"/>
  <c r="C53" i="21"/>
  <c r="D96" i="33" s="1"/>
  <c r="F96" i="33" s="1"/>
  <c r="F50" i="32"/>
  <c r="H50" i="32" s="1"/>
  <c r="H52" i="32" s="1"/>
  <c r="C35" i="21"/>
  <c r="D93" i="33" s="1"/>
  <c r="F93" i="33" s="1"/>
  <c r="C41" i="21"/>
  <c r="D94" i="33" s="1"/>
  <c r="F94" i="33" s="1"/>
  <c r="C14" i="21"/>
  <c r="D90" i="33" s="1"/>
  <c r="F90" i="33" s="1"/>
  <c r="C24" i="21"/>
  <c r="D91" i="33" s="1"/>
  <c r="F91" i="33" s="1"/>
  <c r="C10" i="21"/>
  <c r="D89" i="33" s="1"/>
  <c r="F89" i="33" s="1"/>
  <c r="F24" i="32"/>
  <c r="H24" i="32" s="1"/>
  <c r="H27" i="32" s="1"/>
  <c r="F11" i="32"/>
  <c r="H11" i="32" s="1"/>
  <c r="H13" i="32" s="1"/>
  <c r="J107" i="16"/>
  <c r="J108" i="16" s="1"/>
  <c r="J116" i="16" s="1"/>
  <c r="J125" i="16" s="1"/>
  <c r="J126" i="16" s="1"/>
  <c r="C56" i="21"/>
  <c r="D60" i="33" s="1"/>
  <c r="F60" i="33" s="1"/>
  <c r="C51" i="21"/>
  <c r="D59" i="33" s="1"/>
  <c r="F59" i="33" s="1"/>
  <c r="I108" i="16"/>
  <c r="I116" i="16" s="1"/>
  <c r="I125" i="16" s="1"/>
  <c r="I126" i="16" s="1"/>
  <c r="H68" i="32"/>
  <c r="B15" i="26"/>
  <c r="D15" i="26" s="1"/>
  <c r="C34" i="21" l="1"/>
  <c r="D74" i="33" s="1"/>
  <c r="F74" i="33" s="1"/>
  <c r="C37" i="21"/>
  <c r="D75" i="33" s="1"/>
  <c r="F75" i="33" s="1"/>
  <c r="C30" i="21"/>
  <c r="D73" i="33" s="1"/>
  <c r="F73" i="33" s="1"/>
  <c r="C44" i="21"/>
  <c r="D76" i="33" s="1"/>
  <c r="F76" i="33" s="1"/>
  <c r="C5" i="21"/>
  <c r="D68" i="33" s="1"/>
  <c r="F68" i="33" s="1"/>
  <c r="C20" i="21"/>
  <c r="D70" i="33" s="1"/>
  <c r="F70" i="33" s="1"/>
  <c r="C9" i="21"/>
  <c r="D69" i="33" s="1"/>
  <c r="F69" i="33" s="1"/>
  <c r="J131" i="16"/>
  <c r="F84" i="33" s="1"/>
  <c r="C33" i="21"/>
  <c r="D53" i="33" s="1"/>
  <c r="F53" i="33" s="1"/>
  <c r="C40" i="21"/>
  <c r="D56" i="33" s="1"/>
  <c r="F56" i="33" s="1"/>
  <c r="C39" i="21"/>
  <c r="D55" i="33" s="1"/>
  <c r="F55" i="33" s="1"/>
  <c r="C29" i="21"/>
  <c r="D52" i="33" s="1"/>
  <c r="F52" i="33" s="1"/>
  <c r="C43" i="21"/>
  <c r="D57" i="33" s="1"/>
  <c r="F57" i="33" s="1"/>
  <c r="C36" i="21"/>
  <c r="D54" i="33" s="1"/>
  <c r="F54" i="33" s="1"/>
  <c r="C23" i="21"/>
  <c r="D50" i="33" s="1"/>
  <c r="F50" i="33" s="1"/>
  <c r="C16" i="21"/>
  <c r="D48" i="33" s="1"/>
  <c r="F48" i="33" s="1"/>
  <c r="C13" i="21"/>
  <c r="D47" i="33" s="1"/>
  <c r="F47" i="33" s="1"/>
  <c r="C4" i="21"/>
  <c r="D45" i="33" s="1"/>
  <c r="F45" i="33" s="1"/>
  <c r="C19" i="21"/>
  <c r="D49" i="33" s="1"/>
  <c r="F49" i="33" s="1"/>
  <c r="C8" i="21"/>
  <c r="D46" i="33" s="1"/>
  <c r="F46" i="33" s="1"/>
  <c r="H15" i="32"/>
  <c r="B5" i="26"/>
  <c r="D5" i="26" s="1"/>
  <c r="B14" i="26"/>
  <c r="D14" i="26" s="1"/>
  <c r="H54" i="32"/>
  <c r="H29" i="32"/>
  <c r="B11" i="26"/>
  <c r="D11" i="26" s="1"/>
  <c r="H82" i="32"/>
  <c r="B16" i="26"/>
  <c r="D16" i="26" s="1"/>
  <c r="L115" i="18"/>
  <c r="L124" i="18" s="1"/>
  <c r="L125" i="18" s="1"/>
  <c r="B3" i="26" l="1"/>
  <c r="D3" i="26" s="1"/>
  <c r="B17" i="26"/>
  <c r="D17" i="26" s="1"/>
  <c r="F37" i="32"/>
  <c r="H37" i="32" s="1"/>
  <c r="H40" i="32" s="1"/>
  <c r="G92" i="15"/>
  <c r="G100" i="15" s="1"/>
  <c r="B4" i="26" l="1"/>
  <c r="D4" i="26" s="1"/>
  <c r="F86" i="33"/>
  <c r="B13" i="26"/>
  <c r="D13" i="26" s="1"/>
  <c r="H42" i="32"/>
  <c r="B12" i="26"/>
  <c r="D12" i="26" s="1"/>
  <c r="H86" i="32"/>
  <c r="H88" i="32" s="1"/>
  <c r="H89" i="32" s="1"/>
  <c r="G101" i="15"/>
  <c r="G121" i="15"/>
  <c r="G105" i="15" l="1"/>
  <c r="G106" i="15" l="1"/>
  <c r="G112" i="15" l="1"/>
  <c r="G113" i="15" s="1"/>
  <c r="G122" i="15" s="1"/>
  <c r="G123" i="15" s="1"/>
  <c r="G130" i="16" l="1"/>
  <c r="G130" i="29"/>
  <c r="G131" i="29" s="1"/>
  <c r="G85" i="16"/>
  <c r="G99" i="16" l="1"/>
  <c r="G123" i="16" s="1"/>
  <c r="G90" i="16"/>
  <c r="G92" i="16" s="1"/>
  <c r="G100" i="16" s="1"/>
  <c r="G124" i="16" s="1"/>
  <c r="G101" i="16" l="1"/>
  <c r="G106" i="16" s="1"/>
  <c r="G107" i="16" l="1"/>
  <c r="G115" i="16" l="1"/>
  <c r="G116" i="16" s="1"/>
  <c r="G125" i="16" s="1"/>
  <c r="G126" i="16" s="1"/>
  <c r="C27" i="21" l="1"/>
  <c r="D10" i="33" s="1"/>
  <c r="F10" i="33" s="1"/>
  <c r="C31" i="21"/>
  <c r="D11" i="33" s="1"/>
  <c r="F11" i="33" s="1"/>
  <c r="C6" i="21"/>
  <c r="D3" i="33" s="1"/>
  <c r="F3" i="33" s="1"/>
  <c r="C2" i="21"/>
  <c r="D2" i="33" s="1"/>
  <c r="F2" i="33" s="1"/>
  <c r="C15" i="21"/>
  <c r="D6" i="33" s="1"/>
  <c r="F6" i="33" s="1"/>
  <c r="C21" i="21"/>
  <c r="D8" i="33" s="1"/>
  <c r="F8" i="33" s="1"/>
  <c r="C11" i="21"/>
  <c r="D5" i="33" s="1"/>
  <c r="F5" i="33" s="1"/>
  <c r="C17" i="21"/>
  <c r="D7" i="33" s="1"/>
  <c r="F7" i="33" s="1"/>
  <c r="G131" i="16"/>
  <c r="F19" i="33" s="1"/>
  <c r="B2" i="26" l="1"/>
  <c r="D2" i="26" s="1"/>
  <c r="C25" i="26" s="1"/>
  <c r="F105" i="33"/>
  <c r="F107" i="33" s="1"/>
  <c r="F108" i="33" s="1"/>
  <c r="I17" i="28"/>
  <c r="AF17" i="28" s="1"/>
  <c r="AF19" i="28" s="1"/>
  <c r="B21" i="26" l="1"/>
</calcChain>
</file>

<file path=xl/comments1.xml><?xml version="1.0" encoding="utf-8"?>
<comments xmlns="http://schemas.openxmlformats.org/spreadsheetml/2006/main">
  <authors>
    <author/>
  </authors>
  <commentList>
    <comment ref="E30" authorId="0" shapeId="0">
      <text>
        <r>
          <rPr>
            <b/>
            <sz val="9"/>
            <color indexed="8"/>
            <rFont val="Segoe UI"/>
            <family val="2"/>
          </rPr>
          <t xml:space="preserve">Incidência retirada do CADTERC - PORTARIA
</t>
        </r>
        <r>
          <rPr>
            <sz val="9"/>
            <color indexed="8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<sst xmlns="http://schemas.openxmlformats.org/spreadsheetml/2006/main" count="2098" uniqueCount="436">
  <si>
    <t>A</t>
  </si>
  <si>
    <t>B</t>
  </si>
  <si>
    <t>C</t>
  </si>
  <si>
    <t>D</t>
  </si>
  <si>
    <t>Categoria Profissional (vinculada à execução contratual)</t>
  </si>
  <si>
    <t>E</t>
  </si>
  <si>
    <t>F</t>
  </si>
  <si>
    <t>2.1</t>
  </si>
  <si>
    <t>Valor (R$)</t>
  </si>
  <si>
    <t>Total</t>
  </si>
  <si>
    <t>2.2</t>
  </si>
  <si>
    <t>Percentual (%)</t>
  </si>
  <si>
    <t>INSS</t>
  </si>
  <si>
    <t>Salário Educação</t>
  </si>
  <si>
    <t>SESC ou SESI</t>
  </si>
  <si>
    <t>SENAC ou SENAI</t>
  </si>
  <si>
    <t>SEBRAE</t>
  </si>
  <si>
    <t>G</t>
  </si>
  <si>
    <t>INCRA</t>
  </si>
  <si>
    <t>H</t>
  </si>
  <si>
    <t>FGTS</t>
  </si>
  <si>
    <t>Submódulo 2.3 – Benefícios Mensais e Diários</t>
  </si>
  <si>
    <t>2.3</t>
  </si>
  <si>
    <t>-</t>
  </si>
  <si>
    <t>Módulo 3 - Provisão para Rescisão</t>
  </si>
  <si>
    <t>Lucro</t>
  </si>
  <si>
    <t>Tributos</t>
  </si>
  <si>
    <t>Servente</t>
  </si>
  <si>
    <t>Unidade</t>
  </si>
  <si>
    <t>Quantidade Anual</t>
  </si>
  <si>
    <t>Valor Unitário</t>
  </si>
  <si>
    <t>unidade</t>
  </si>
  <si>
    <t>UNIFORMES</t>
  </si>
  <si>
    <t>par</t>
  </si>
  <si>
    <t>ÁREAS INTERNAS</t>
  </si>
  <si>
    <t>ÁREAS EXTERNAS</t>
  </si>
  <si>
    <r>
      <rPr>
        <b/>
        <sz val="10.5"/>
        <color indexed="8"/>
        <rFont val="Arial2"/>
        <charset val="1"/>
      </rPr>
      <t>PLANILHAS AUXILIARES PARA PREENCHIMENTO PELO LICITANTE</t>
    </r>
    <r>
      <rPr>
        <sz val="10.5"/>
        <color indexed="10"/>
        <rFont val="Arial2"/>
        <charset val="1"/>
      </rPr>
      <t xml:space="preserve"> </t>
    </r>
    <r>
      <rPr>
        <sz val="10.5"/>
        <color indexed="8"/>
        <rFont val="Arial2"/>
        <charset val="1"/>
      </rPr>
      <t>(Apenas preencher células fundo amarelo – valores transportados para planilhas principais. ATENÇÃO: Não alterar fórmulas de cálculo)</t>
    </r>
  </si>
  <si>
    <t>Remuneração</t>
  </si>
  <si>
    <t>Módulo 2</t>
  </si>
  <si>
    <t>Submódulo 2.2</t>
  </si>
  <si>
    <t>RAT</t>
  </si>
  <si>
    <t>FAP</t>
  </si>
  <si>
    <t>BENEFÍCIOS LEGAIS ACORDADOS (auxiliar para submódulo 2.3)</t>
  </si>
  <si>
    <t>Auxílio Refeição</t>
  </si>
  <si>
    <t>Dias</t>
  </si>
  <si>
    <t>Valor unitário</t>
  </si>
  <si>
    <t>Empregado</t>
  </si>
  <si>
    <t>Custo total mensal</t>
  </si>
  <si>
    <t>Seguro de Vida</t>
  </si>
  <si>
    <t>Valor total</t>
  </si>
  <si>
    <t>Auxílio Creche</t>
  </si>
  <si>
    <t>Ocorrência anual (%)</t>
  </si>
  <si>
    <t>Quantidade</t>
  </si>
  <si>
    <t>Cesta Básica</t>
  </si>
  <si>
    <t>VALE TRANSPORTE POSTOS 44 HORAS (auxiliar para submódulo 2.3)</t>
  </si>
  <si>
    <t>Cidade</t>
  </si>
  <si>
    <t>bilhete/dia</t>
  </si>
  <si>
    <t>nº dias/mês</t>
  </si>
  <si>
    <t>Valor tarifa</t>
  </si>
  <si>
    <t>Custo total</t>
  </si>
  <si>
    <t>Percentual de ocorrência aviso prévio indenizado</t>
  </si>
  <si>
    <t>Percentual de ocorrência de aviso prévo trabalhado</t>
  </si>
  <si>
    <t>Módulo 4 - Ausências legais</t>
  </si>
  <si>
    <t>SM 4.1</t>
  </si>
  <si>
    <t>Ausências Legais</t>
  </si>
  <si>
    <t>Número ausências por ano</t>
  </si>
  <si>
    <t>% de ocorrência</t>
  </si>
  <si>
    <t>%</t>
  </si>
  <si>
    <t>Número ausências /365,25 *% ocorrência</t>
  </si>
  <si>
    <t>Licença Paternidade</t>
  </si>
  <si>
    <t>Ausência por acidente de trabalho</t>
  </si>
  <si>
    <t>Afastamento Maternidade</t>
  </si>
  <si>
    <t>Outros (especificar)</t>
  </si>
  <si>
    <t>Planilha auxiliar para módulo 6</t>
  </si>
  <si>
    <t>ANEXO IV DA LEI COMPLEMENTAR Nº 123, DE 14 DE DEZEMBRO DE 2006 (vigência: 01/01/2018)</t>
  </si>
  <si>
    <t>Custos Indiretos / Despesas Administrativas</t>
  </si>
  <si>
    <t>Alíquotas e Partilha do Simples Nacional - Receitas decorrentes da prestação de serviços relacionados no § 5º-C do art. 18 desta Lei Complementar.</t>
  </si>
  <si>
    <t>Receita Bruta em 12 meses (em R$)</t>
  </si>
  <si>
    <t>Alíquota</t>
  </si>
  <si>
    <t>Regime Tributário
(Selecione)</t>
  </si>
  <si>
    <t xml:space="preserve"> Se o regime tributário for Simples Nacional informe o faturamento dos últimos 12 meses na célula abaixo</t>
  </si>
  <si>
    <t>1ª Faixa</t>
  </si>
  <si>
    <t>Até R$180.000,00</t>
  </si>
  <si>
    <t>2ª Faixa</t>
  </si>
  <si>
    <t xml:space="preserve">De 180.000,01 a 360.000,00 </t>
  </si>
  <si>
    <t>PIS</t>
  </si>
  <si>
    <t>3ª Faixa</t>
  </si>
  <si>
    <t>De 360.000,01 a 720.000,00</t>
  </si>
  <si>
    <t>COFINS</t>
  </si>
  <si>
    <t>4ª Faixa</t>
  </si>
  <si>
    <t xml:space="preserve">De 720.000,01 a 1.800.000,00 </t>
  </si>
  <si>
    <t>ISS</t>
  </si>
  <si>
    <t>5ª Faixa</t>
  </si>
  <si>
    <t>De 1.800.000,01 a 3.600.000,00</t>
  </si>
  <si>
    <t>6ª Faixa</t>
  </si>
  <si>
    <t>De 3.600.000,01 a 4.800.000,00</t>
  </si>
  <si>
    <t>Faturamento:</t>
  </si>
  <si>
    <t>Piso acarpetado</t>
  </si>
  <si>
    <t>Piso frio</t>
  </si>
  <si>
    <t>Almoxarifados/galpões</t>
  </si>
  <si>
    <t>Oficinas</t>
  </si>
  <si>
    <t>Varrição de passeios e arruamentos</t>
  </si>
  <si>
    <t>Pátios e áreas verdes com alta frequência</t>
  </si>
  <si>
    <t>Pátios e áreas verdes com media frequência</t>
  </si>
  <si>
    <t>Pátios e áreas verdes com baixa frequência</t>
  </si>
  <si>
    <t>Coleta de detritos em pátios e áreas verdes com frequência diária</t>
  </si>
  <si>
    <t>Face interna</t>
  </si>
  <si>
    <t>Anexo III</t>
  </si>
  <si>
    <t>MODELO DE PLANILHA DE CUSTOS E FORMAÇÃO DE PREÇOS</t>
  </si>
  <si>
    <t>Nº do Processo:</t>
  </si>
  <si>
    <t>Licitação Nº</t>
  </si>
  <si>
    <t>Nome da empresa:</t>
  </si>
  <si>
    <t>Nº CNPJ:</t>
  </si>
  <si>
    <t>Discriminação dos Serviços (dados referentes á contratação)</t>
  </si>
  <si>
    <t>Data de apresentação da proposta(dia/mês/ano)</t>
  </si>
  <si>
    <t>Município/ UF</t>
  </si>
  <si>
    <t>Ano do acordo coletivo, convenção coletiva ou sentença normativa em  dissidio coletivo.</t>
  </si>
  <si>
    <t>Numero de meses de execução contratual.</t>
  </si>
  <si>
    <t>Mão de obra vinculada à execução contratual</t>
  </si>
  <si>
    <t>Dados complementares para composição dos custos referente à mão de obra</t>
  </si>
  <si>
    <t>Tipo de serviço ( mesmo serviço com características distintas)</t>
  </si>
  <si>
    <t>Salário Normativo da Categoria Profissional</t>
  </si>
  <si>
    <t xml:space="preserve">Data base da categoria (dia/mês/ano) </t>
  </si>
  <si>
    <t>Módulo 1: Composição da remuneração</t>
  </si>
  <si>
    <t>Composição da remuneração</t>
  </si>
  <si>
    <t>A'</t>
  </si>
  <si>
    <t>Salário utilidade – alimentação – Preencher somente se a empresa não for filiada ao PAT</t>
  </si>
  <si>
    <t>Adicional de periculosidade</t>
  </si>
  <si>
    <t>Outros ( especificar)</t>
  </si>
  <si>
    <t>Total da Remuneração</t>
  </si>
  <si>
    <t>Módulo 2: Encargos e Benefícios Anuais, Mensais e Diários</t>
  </si>
  <si>
    <t>Submódulo 2.1 – 13º Salário, Férias e Adicional de Férias</t>
  </si>
  <si>
    <t>13º ( décimo terceiro salário)</t>
  </si>
  <si>
    <t>Adicional de Férias</t>
  </si>
  <si>
    <t>Submódulo 2.2 : Encargos previdenciários, FGTS e outras contribuições</t>
  </si>
  <si>
    <t>Encargos previdenciários, FGTS e outras contribuições</t>
  </si>
  <si>
    <t>Percentual(%)</t>
  </si>
  <si>
    <t>Valor(R$)</t>
  </si>
  <si>
    <t>RAT:</t>
  </si>
  <si>
    <t>FAP:</t>
  </si>
  <si>
    <t>Nota1:</t>
  </si>
  <si>
    <t>Os percentuais dos encargos previdenciários, do FGTS e demais contribuições são aqueles estabelecidos pela legislação vigente</t>
  </si>
  <si>
    <t>Benefícios mensais e diários</t>
  </si>
  <si>
    <t>Vale transporte</t>
  </si>
  <si>
    <t>Total de Benefícios mensais e diários</t>
  </si>
  <si>
    <t>Módulo 3 : Provisão para Rescisão</t>
  </si>
  <si>
    <t>Aviso prévio indenizado</t>
  </si>
  <si>
    <t>Nº de dias</t>
  </si>
  <si>
    <t>Percentual de ocorrência anual</t>
  </si>
  <si>
    <t>Incidência do FGTS sobre aviso prévio indenizado</t>
  </si>
  <si>
    <t>Incidência de GPS, FGTS e outras contribuições sobre o APT</t>
  </si>
  <si>
    <t>Módulo 4: Custo de Reposição do Profissional Ausente</t>
  </si>
  <si>
    <t>Submódulo 4.1: Substituto nas Ausências Legais</t>
  </si>
  <si>
    <t>Substituição nas Ausências Legais</t>
  </si>
  <si>
    <t>Substituto na cobertura de Férias</t>
  </si>
  <si>
    <t>Substituto na cobertura de Ausências Legais</t>
  </si>
  <si>
    <t>Dias de ocorrência por ano</t>
  </si>
  <si>
    <t>Substituto na cobertura de Licença paternidade</t>
  </si>
  <si>
    <t>dias de afastamento</t>
  </si>
  <si>
    <t>Substituto na cobertura Ausência por acidente de trabalho</t>
  </si>
  <si>
    <t>dias acidente trabalho</t>
  </si>
  <si>
    <t>Substituto na cobertura de Afastamento Maternidade</t>
  </si>
  <si>
    <t>Percentual de ocorrência</t>
  </si>
  <si>
    <t>Meses de licença</t>
  </si>
  <si>
    <t>Módulo 5: Insumos diversos</t>
  </si>
  <si>
    <t>Insumos Diversos</t>
  </si>
  <si>
    <t>Uniformes</t>
  </si>
  <si>
    <t>Total de Insumos diversos</t>
  </si>
  <si>
    <t>Nota:</t>
  </si>
  <si>
    <t>Valores mensais por empregado.</t>
  </si>
  <si>
    <t>Tabela Resumo Módulos 1 a 5</t>
  </si>
  <si>
    <t>Módulo 6 : Custos indiretos, tributos e lucro</t>
  </si>
  <si>
    <t>Custos indiretos, tributos e lucro</t>
  </si>
  <si>
    <t>Custos indiretos / Despesas Administrativas e Operacionais (*)</t>
  </si>
  <si>
    <t>C1</t>
  </si>
  <si>
    <t>c.1 - Tributos Federais</t>
  </si>
  <si>
    <t>PIS:</t>
  </si>
  <si>
    <t>COFINS:</t>
  </si>
  <si>
    <t>C2</t>
  </si>
  <si>
    <t>c.2 - Tributos Estaduais</t>
  </si>
  <si>
    <t>C3</t>
  </si>
  <si>
    <t>c.3 - Tributos Municipais (ISSQN)</t>
  </si>
  <si>
    <t>Mão de obra vinculada à execução contratual (valor por empregado)</t>
  </si>
  <si>
    <t>(R$)</t>
  </si>
  <si>
    <t>Módulo 6: Custos Indiretos, Tributos e Lucro</t>
  </si>
  <si>
    <t>Valor total por empregado</t>
  </si>
  <si>
    <t>SIEMACO</t>
  </si>
  <si>
    <t>Custo Mensal Estimado</t>
  </si>
  <si>
    <t>Quantidade total Estimada Mensal</t>
  </si>
  <si>
    <t>Custo Mensal</t>
  </si>
  <si>
    <t>Líder</t>
  </si>
  <si>
    <t>Auxílio Saúde</t>
  </si>
  <si>
    <t>PPR</t>
  </si>
  <si>
    <t>Valor (R$) - 220h</t>
  </si>
  <si>
    <t>Limp. Vidros</t>
  </si>
  <si>
    <t>Limpador de Vidros</t>
  </si>
  <si>
    <t>Valor Limp</t>
  </si>
  <si>
    <t>Valor Líder</t>
  </si>
  <si>
    <t xml:space="preserve">Jaqueta de nylon </t>
  </si>
  <si>
    <t>Crachá de identificação</t>
  </si>
  <si>
    <t>Serviço</t>
  </si>
  <si>
    <t>Valor</t>
  </si>
  <si>
    <t>Localidade</t>
  </si>
  <si>
    <t>Dedetização e Desratização</t>
  </si>
  <si>
    <t>R$/m²</t>
  </si>
  <si>
    <t>Tipo de área</t>
  </si>
  <si>
    <t>Preço Unitário (mensal)</t>
  </si>
  <si>
    <t>Piso Frio</t>
  </si>
  <si>
    <t>Almoxarifados /galpões</t>
  </si>
  <si>
    <t>Áreas com espaços livres - Saguão, hall e salão</t>
  </si>
  <si>
    <t>Banheiros</t>
  </si>
  <si>
    <t>Banheiros 40%</t>
  </si>
  <si>
    <t>AREAS EXTERNAS</t>
  </si>
  <si>
    <t>ESQUADRIA EXTERNA</t>
  </si>
  <si>
    <t>Face externa sem exposição a situação de risco</t>
  </si>
  <si>
    <t>Capina e roçada de área externa</t>
  </si>
  <si>
    <t>Adicional de insalubridade - 40% sobre salário mínimo local</t>
  </si>
  <si>
    <t>NOME DA EMPRESA:</t>
  </si>
  <si>
    <t>CNPJ:</t>
  </si>
  <si>
    <t>ENDEREÇO:</t>
  </si>
  <si>
    <t>E-MAIL:</t>
  </si>
  <si>
    <t>Salário Mínimo</t>
  </si>
  <si>
    <t>30% do Salário Mínimo</t>
  </si>
  <si>
    <t>Tributos Estaduais</t>
  </si>
  <si>
    <t>Agente de Higienização</t>
  </si>
  <si>
    <t>DATA DA ABERTURA DA LICITAÇÃO:</t>
  </si>
  <si>
    <t xml:space="preserve">HORÁRIO:  </t>
  </si>
  <si>
    <t>PROCESSO:</t>
  </si>
  <si>
    <t>Vários</t>
  </si>
  <si>
    <t>Outros</t>
  </si>
  <si>
    <t>Coeficiente K</t>
  </si>
  <si>
    <t>Número de ausências/365,25 x percentual de eventos</t>
  </si>
  <si>
    <t>Posto de Lider</t>
  </si>
  <si>
    <t>Diferença entre postos</t>
  </si>
  <si>
    <t>Módulo 5 - Insumos diversos</t>
  </si>
  <si>
    <t>PLANILHA DE CUSTOS E FORMAÇÃO DE PREÇOS</t>
  </si>
  <si>
    <t>Ausência por doença</t>
  </si>
  <si>
    <t>Participação do Empregado</t>
  </si>
  <si>
    <t>Benefício Social Sindical</t>
  </si>
  <si>
    <t>Empregado (até10% dos prêmios mensais)</t>
  </si>
  <si>
    <t>Marca de Referência</t>
  </si>
  <si>
    <t>Personal vip ou superior</t>
  </si>
  <si>
    <t>Elite Excelence ou superior</t>
  </si>
  <si>
    <t>Marca ofertada</t>
  </si>
  <si>
    <t>13843.720002/2024-24</t>
  </si>
  <si>
    <t>SJCampos</t>
  </si>
  <si>
    <t>Guarulhos</t>
  </si>
  <si>
    <t>São Sebastião</t>
  </si>
  <si>
    <t>Jacareí</t>
  </si>
  <si>
    <t>Mogi das Cruzes</t>
  </si>
  <si>
    <t>Suzano</t>
  </si>
  <si>
    <t>Taubaté</t>
  </si>
  <si>
    <t>Pindamonhangaba</t>
  </si>
  <si>
    <t>Guaratinguetá</t>
  </si>
  <si>
    <t>Campos do Jordão</t>
  </si>
  <si>
    <t>Lucro Presumido</t>
  </si>
  <si>
    <t>Camisetas de algodão misto, manga curta com a logomarca da empresa</t>
  </si>
  <si>
    <t>Capa de chuva confeccionada em tecido sintético revestido de PVC em uma das faces, com capuz e mangas compridas</t>
  </si>
  <si>
    <t>Bota de borracha impermeável, antiderrapante, cano médio (EPI)</t>
  </si>
  <si>
    <t>Luva para limpeza, látex natural, forrada, com superfície externa antiderrapante</t>
  </si>
  <si>
    <t>Álcool gel para uso nas mãos, dermatologicamente testado, aroma agradável, não poderá apresentar grumos por excesso de ingrediente espessante, tampouco aspecto líquido, devendo ter viscosidade adequada</t>
  </si>
  <si>
    <t>Asseptgel ou superior</t>
  </si>
  <si>
    <t>Forro para assento sanitário (fibras 100% virgens, não reciclado, biodegradável, resistente)</t>
  </si>
  <si>
    <t>Trilha ou superior</t>
  </si>
  <si>
    <t>Kleenex ou superior</t>
  </si>
  <si>
    <t>Pacote c/ 25 unidades</t>
  </si>
  <si>
    <t>Kimberly ou superior</t>
  </si>
  <si>
    <t>Dispenser para papel toalha</t>
  </si>
  <si>
    <t>Dispenser para papel higiênico tipo rolão 300m</t>
  </si>
  <si>
    <t>Dispenser/suporte para papel/forro assento sanitário</t>
  </si>
  <si>
    <t>Dispenser/suporte para coletor de absorvente higiênico</t>
  </si>
  <si>
    <t>DRF/SJC</t>
  </si>
  <si>
    <t>DRF/GUA</t>
  </si>
  <si>
    <t>IRF/SSO</t>
  </si>
  <si>
    <t>ARF/JAC</t>
  </si>
  <si>
    <t>ARF/SUZ</t>
  </si>
  <si>
    <t>ARF/TAU</t>
  </si>
  <si>
    <t>ARF/PMB</t>
  </si>
  <si>
    <t>ARF/GTA</t>
  </si>
  <si>
    <t>ARF/CJD</t>
  </si>
  <si>
    <t>DMA/TAU</t>
  </si>
  <si>
    <t>Pisos pavimentados adjacentes/contíguos as edificações</t>
  </si>
  <si>
    <t>Data da apresentação da proposta</t>
  </si>
  <si>
    <t>xx/xx/2024</t>
  </si>
  <si>
    <t>Submódulo 2.2: Encargos previdenciários, FGTS e outras contribuições</t>
  </si>
  <si>
    <t>Equipamentos e materiais de limpeza (% do Mód. 1 a 4 + Uniformes)</t>
  </si>
  <si>
    <t>Guarulhos, Taubaté</t>
  </si>
  <si>
    <t>SJC</t>
  </si>
  <si>
    <t>Quadro - Resumo do custo por empregado</t>
  </si>
  <si>
    <t>Valor (R$) - 40h</t>
  </si>
  <si>
    <t xml:space="preserve">DRF/GUA </t>
  </si>
  <si>
    <t xml:space="preserve">DRF/SJC </t>
  </si>
  <si>
    <t>ARF/MCS</t>
  </si>
  <si>
    <t>Valor Serv 40 h</t>
  </si>
  <si>
    <t>Valor Serv 20h</t>
  </si>
  <si>
    <t>DRF/SSO</t>
  </si>
  <si>
    <t>Face externa com exposição a situação de risco</t>
  </si>
  <si>
    <t>SJC, Jacareí,Guaratinguetá</t>
  </si>
  <si>
    <t>Guarulhos, São Sebastião, Taubaté, Pindamonhangaba, Campos do Jordão</t>
  </si>
  <si>
    <t>Fachada envidraçada</t>
  </si>
  <si>
    <t>Áreas Internas da IN nº 5/2017 - Serventes</t>
  </si>
  <si>
    <t>Faixa de produtividade de referência</t>
  </si>
  <si>
    <t>Área total do contrato por tipo de área</t>
  </si>
  <si>
    <t>Área (m²)</t>
  </si>
  <si>
    <t>Produtividade</t>
  </si>
  <si>
    <t>800 a 1200</t>
  </si>
  <si>
    <t>Laboratórios</t>
  </si>
  <si>
    <t>1200 a 1800</t>
  </si>
  <si>
    <t xml:space="preserve">Áreas com espaços livres - Saguão / Hall / Salão  </t>
  </si>
  <si>
    <t>Banheiros SEM adicional de insalubridade</t>
  </si>
  <si>
    <t>200 a 300</t>
  </si>
  <si>
    <t>Banheiros COM adicional de insalubridade de 20%</t>
  </si>
  <si>
    <t>Banheiros COM adicional de insalubridade de 40%</t>
  </si>
  <si>
    <t>Áreas Externas da IN nº 5/2017 - Serventes</t>
  </si>
  <si>
    <t>Pisos pavimentados adjacentes/contíguos às edificações</t>
  </si>
  <si>
    <t>1800 a 2700</t>
  </si>
  <si>
    <t>6000 a 9000</t>
  </si>
  <si>
    <t>Pátios e áreas verdes com ALTA frequência</t>
  </si>
  <si>
    <t>Pátios e áreas verdes com MÉDIA frequência</t>
  </si>
  <si>
    <t>Pátios e áreas verdes com BAIXA frequência</t>
  </si>
  <si>
    <t>Esquadrias Externas - Limpadores de Vidro</t>
  </si>
  <si>
    <t>Área total do contrato por localidade</t>
  </si>
  <si>
    <r>
      <t>Área (m</t>
    </r>
    <r>
      <rPr>
        <b/>
        <vertAlign val="superscript"/>
        <sz val="10"/>
        <color rgb="FF000000"/>
        <rFont val="Arial"/>
        <family val="2"/>
      </rPr>
      <t>2</t>
    </r>
    <r>
      <rPr>
        <b/>
        <sz val="10"/>
        <color rgb="FF000000"/>
        <rFont val="Arial"/>
        <family val="2"/>
      </rPr>
      <t>)</t>
    </r>
  </si>
  <si>
    <t>Freq. No mês ou semestre em horas</t>
  </si>
  <si>
    <t>Cálculo do número de Serventes para as Áreas Internas da IN nº 5/2017</t>
  </si>
  <si>
    <t>Cálculo do número de Limpadores de Vidros para as Esquadrias Externas da IN nº 5/2017</t>
  </si>
  <si>
    <t>Serventes sem Insalubridade</t>
  </si>
  <si>
    <t>Servente Líder</t>
  </si>
  <si>
    <r>
      <rPr>
        <b/>
        <sz val="10"/>
        <color rgb="FF000000"/>
        <rFont val="Arial"/>
        <family val="2"/>
        <charset val="1"/>
      </rPr>
      <t xml:space="preserve">Limp. Vidro </t>
    </r>
    <r>
      <rPr>
        <b/>
        <u/>
        <sz val="10"/>
        <color rgb="FF000000"/>
        <rFont val="Arial"/>
        <family val="2"/>
        <charset val="1"/>
      </rPr>
      <t>sem</t>
    </r>
    <r>
      <rPr>
        <b/>
        <sz val="10"/>
        <color rgb="FF000000"/>
        <rFont val="Arial"/>
        <family val="2"/>
        <charset val="1"/>
      </rPr>
      <t xml:space="preserve"> Risco</t>
    </r>
  </si>
  <si>
    <r>
      <rPr>
        <b/>
        <sz val="10"/>
        <color rgb="FF000000"/>
        <rFont val="Arial"/>
        <family val="2"/>
        <charset val="1"/>
      </rPr>
      <t xml:space="preserve">Limp. Vidro </t>
    </r>
    <r>
      <rPr>
        <b/>
        <u/>
        <sz val="10"/>
        <color rgb="FF000000"/>
        <rFont val="Arial"/>
        <family val="2"/>
        <charset val="1"/>
      </rPr>
      <t xml:space="preserve">com </t>
    </r>
    <r>
      <rPr>
        <b/>
        <sz val="10"/>
        <color rgb="FF000000"/>
        <rFont val="Arial"/>
        <family val="2"/>
        <charset val="1"/>
      </rPr>
      <t>Risco</t>
    </r>
  </si>
  <si>
    <t>Total calculado de funcionários</t>
  </si>
  <si>
    <t>SIM</t>
  </si>
  <si>
    <t>NÃO</t>
  </si>
  <si>
    <t>Total postos 40 h semanais</t>
  </si>
  <si>
    <t>Total postos 20 h semanais</t>
  </si>
  <si>
    <t>ARFSUZ</t>
  </si>
  <si>
    <t>ARF/Jacareí</t>
  </si>
  <si>
    <r>
      <t>Quant.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</si>
  <si>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Quant. Para 12 meses</t>
  </si>
  <si>
    <t>360 a 450</t>
  </si>
  <si>
    <t>1500 a 2500</t>
  </si>
  <si>
    <t>1000 a 1500</t>
  </si>
  <si>
    <t>Preço Unitário do m²</t>
  </si>
  <si>
    <t>Subtotal Mensal</t>
  </si>
  <si>
    <t>ESQUADRIAS</t>
  </si>
  <si>
    <t>Subtotal das áreas da Unidade</t>
  </si>
  <si>
    <t>Custo adicional da função de Servente Líder</t>
  </si>
  <si>
    <t>Preço Total Mensal para a Unidade</t>
  </si>
  <si>
    <t>Preço Total Mensal da Unidade</t>
  </si>
  <si>
    <t>Valores Totais da Proposta por m²</t>
  </si>
  <si>
    <t>pula</t>
  </si>
  <si>
    <t>Resumo</t>
  </si>
  <si>
    <t>Valor Mensal da Prestação de Serviços para Localidades contratadas por m²</t>
  </si>
  <si>
    <t>Valor Mensal do Contrato para Localidades contratadas por m²</t>
  </si>
  <si>
    <t>Valor Total para Localidades contratadas por m²</t>
  </si>
  <si>
    <t>meses</t>
  </si>
  <si>
    <t>valor total da NF por unidade</t>
  </si>
  <si>
    <t>entrega do mat em cada unidade?</t>
  </si>
  <si>
    <t>Valor Mensal do Material de Higiene da Unidade</t>
  </si>
  <si>
    <t>Tipo de posto</t>
  </si>
  <si>
    <t>Preço homem-mês</t>
  </si>
  <si>
    <t>Quantidade de Postos</t>
  </si>
  <si>
    <t>Limpadores de Vidro sem Risco</t>
  </si>
  <si>
    <t>Totais Mensais para a Unidade</t>
  </si>
  <si>
    <t>Área Total (m²)</t>
  </si>
  <si>
    <t>Valores Totais da Proposta por Postos</t>
  </si>
  <si>
    <t xml:space="preserve">Valor Mensal da Prestação de Serviços para Localidades contratadas por Postos: </t>
  </si>
  <si>
    <t xml:space="preserve">Valor Mensal do Contrato para Localidades contratadas por Postos: </t>
  </si>
  <si>
    <t xml:space="preserve">Valor Total para Localidades contratadas por Postos: </t>
  </si>
  <si>
    <t>Servente 20h</t>
  </si>
  <si>
    <t>Localidade/serviço</t>
  </si>
  <si>
    <t>Valor mensal dos serviços</t>
  </si>
  <si>
    <t>Valor total mensal</t>
  </si>
  <si>
    <t>Vigência do contrato</t>
  </si>
  <si>
    <t>Valor Total do Contrato</t>
  </si>
  <si>
    <t>Servente 40h semanais</t>
  </si>
  <si>
    <t>Servente 20h semanais</t>
  </si>
  <si>
    <t>Servente 40h</t>
  </si>
  <si>
    <t xml:space="preserve">Diferença entre postos (Líder x servente) </t>
  </si>
  <si>
    <t xml:space="preserve">Papel Higiênico de 1ª qualidade, rolão, contendo 300m cada rolo, folha dupla, extraluxo, no mínimo 32g/m2, macio alta absorção. </t>
  </si>
  <si>
    <t>Papel higiênico branco de 1ª qualidade, contendo 30m cada rolo, folha dupla, macio, alta absorção.</t>
  </si>
  <si>
    <t>Fardo com 64 rolos</t>
  </si>
  <si>
    <t>Caixa c/ 86 unidades</t>
  </si>
  <si>
    <t>Galão 5L</t>
  </si>
  <si>
    <t>Fardo com 8 rolos.</t>
  </si>
  <si>
    <t>Pacote com 1000 folhas</t>
  </si>
  <si>
    <t>Reposição a cada quantos meses</t>
  </si>
  <si>
    <t>Valor Unitário Mensal</t>
  </si>
  <si>
    <t>Preço Mensal estimado</t>
  </si>
  <si>
    <t xml:space="preserve">Quantidade Mensal - </t>
  </si>
  <si>
    <t>MATERIAL DE HIGIENE</t>
  </si>
  <si>
    <t xml:space="preserve">Quantidade </t>
  </si>
  <si>
    <t>Totais do Contrato</t>
  </si>
  <si>
    <t>Produtos de Higiene</t>
  </si>
  <si>
    <t>Valores totais mensais dos produtos de higiene por localidade</t>
  </si>
  <si>
    <t>Tributos:</t>
  </si>
  <si>
    <t>Subtotal sem tributos:</t>
  </si>
  <si>
    <t>Subtotal  com tributos:</t>
  </si>
  <si>
    <t>Total mensal sem tributos:</t>
  </si>
  <si>
    <t>Total mensal com tributos:</t>
  </si>
  <si>
    <t>Especificação</t>
  </si>
  <si>
    <t xml:space="preserve"> (Valor estimativo, somente será pago o que for efetivamente solicitado e fornecido - preencher somente as células em amarelo)</t>
  </si>
  <si>
    <t>Valor Total da Dedetização</t>
  </si>
  <si>
    <t>Valor Total da Capina e Roçada</t>
  </si>
  <si>
    <t>Papel toalha interfolhado, extra-branco, 100% celulose virgem, suave ao tato,  alta absorção, com dimensões aproximadas de 21,5 x 22,5 cm.</t>
  </si>
  <si>
    <t>Elite, Scott, Ouropel ou superior</t>
  </si>
  <si>
    <t>Saco para descarte de absorventes higiênicos</t>
  </si>
  <si>
    <t>Sabonete líquido</t>
  </si>
  <si>
    <t>Dispenser para sabonete líquido/álcool gel</t>
  </si>
  <si>
    <t>AS LICITANTES DEVERÃO ESTAR CIENTES DE QUE PARA AS AGÊNCIAS DA RECEITA FEDERAL DO BRASIL COM METRAGEM INFERIOR À PRODUTIVIDADE MÍNIMA SERÁCONTRATADO UM POSTO DE 20 HORAS SEMANAIS, CONFORME ITEM 9 DO ANEXO VI-B DA IN 05/2017  E O PAGAMENTO SERÁ POR POSTO E NÃO POR METRO QUADRADO.</t>
  </si>
  <si>
    <t>Par de meias de algodão cano médio</t>
  </si>
  <si>
    <t xml:space="preserve">Conjunto de calça com elástico e jaleco de oxford, microfibra ou jeans light </t>
  </si>
  <si>
    <t>Aviso prévio trabalhado  (*)</t>
  </si>
  <si>
    <t>Multa do FGTS sobre o Aviso Prévio Trabalhado e sobre o Aviso Prévio Indenizado</t>
  </si>
  <si>
    <t>(*) Após 12 meses poderão ser considerados 3 dias conforme Lei nº 12.506/2011, dependendo da análise do nº de ocorrências no período.</t>
  </si>
  <si>
    <t>Adicional de insalubridade</t>
  </si>
  <si>
    <t>Aviso prévio trabalhado (*)</t>
  </si>
  <si>
    <t>Multa do FGTS sobre o Aviso Prévio Trabalhado e sobre Aviso Prévio Indenizado</t>
  </si>
  <si>
    <t xml:space="preserve"> </t>
  </si>
  <si>
    <t>PREGÃO DRFSJC Nº 01/2024 - SERVIÇO DE LIMPEZA</t>
  </si>
  <si>
    <t>AS LICITANTES DEVERÃO PREENCHER AS CÉLULAS DESTACADAS EM AMARELO NAS 04 (QUATRO) ABAS: DADOS DO LICITANTE, UNIFORMES, MATERIAIS DE HIGIENE E OUTROS SERVIÇOS, AS DEMAIS ABAS SERÃO PREENCHIDAS AUTOMATICAMENTE</t>
  </si>
  <si>
    <t>O PPR, PREVISTO NA CONVENÇÃO COLETIVA DE TRABALHO - CCT, NO VALOR DE R$ 323,26, NÃO PODERÁ CONSTAR EM PLANILHA. AS LICITANTES DEVEM FICAR ATENTAS QUANDO MONTAREM SUAS PROPOSTAS, POIS ESSA RUBRICA DEVERÁ SER PAGA AOS OCUPANTES DOS POSTOS NOS MOMENTOS PREVISTOS NA CITADA CCT.</t>
  </si>
  <si>
    <t>O PPR, previsto em CCT, de R$ 323,26, não poderá constar em planilha. As licitantes devem ficar atentas quando montarem suas propostas, pois essa rubrica deverá ser paga aos ocupantes dos postos nos momentos previstos em convenção coletiva.</t>
  </si>
  <si>
    <t>Face externa COM exposição a risco (SEMESTRAL)</t>
  </si>
  <si>
    <t>Face externa SEM exposição a risco (MENSAL)</t>
  </si>
  <si>
    <t>Face interna (MENSAL)</t>
  </si>
  <si>
    <t>Fachadas envidraçadas (SEMESTRAL)</t>
  </si>
  <si>
    <t>130 - 160</t>
  </si>
  <si>
    <t>300 - 380</t>
  </si>
  <si>
    <t>Área</t>
  </si>
  <si>
    <t>Freq. no mês ou semestre (em horas)</t>
  </si>
  <si>
    <t xml:space="preserve">ARF/JAC </t>
  </si>
  <si>
    <t>IRF/MCS</t>
  </si>
  <si>
    <t xml:space="preserve">ARF/SJC </t>
  </si>
  <si>
    <t>PREGÃO DRF/SJC Nº 01/2024</t>
  </si>
  <si>
    <t>09h30min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</si>
</sst>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_(* #,##0.00_);_(* \(#,##0.00\);_(* \-??_);_(@_)"/>
    <numFmt numFmtId="165" formatCode="_(&quot;R$ &quot;* #,##0.00_);_(&quot;R$ &quot;* \(#,##0.00\);_(&quot;R$ &quot;* \-??_);_(@_)"/>
    <numFmt numFmtId="166" formatCode="&quot;R$ &quot;#,##0.00"/>
    <numFmt numFmtId="167" formatCode="0.0"/>
    <numFmt numFmtId="168" formatCode="[$R$-416]\ #,##0.00;[Red]\-[$R$-416]\ #,##0.00"/>
    <numFmt numFmtId="169" formatCode="0.000000"/>
    <numFmt numFmtId="170" formatCode="#,##0.000"/>
    <numFmt numFmtId="171" formatCode="&quot;R$ &quot;#,##0.00\ ;&quot;(R$ &quot;#,##0.00\)"/>
    <numFmt numFmtId="172" formatCode="#,##0.00\ ;#,##0.00\ ;\-#\ ;@\ "/>
    <numFmt numFmtId="173" formatCode="&quot; R$ &quot;#,##0.00\ ;&quot; R$ (&quot;#,##0.00\);&quot; R$ -&quot;#\ ;@\ "/>
    <numFmt numFmtId="174" formatCode="d/m/yyyy"/>
    <numFmt numFmtId="175" formatCode="0.00000"/>
    <numFmt numFmtId="176" formatCode="&quot;R$&quot;\ #,##0.00"/>
    <numFmt numFmtId="177" formatCode="&quot; R$ &quot;#,##0.00&quot; &quot;;&quot; R$ (&quot;#,##0.00&quot;)&quot;;&quot; R$ -&quot;#&quot; &quot;;@&quot; &quot;"/>
    <numFmt numFmtId="178" formatCode="0.000%"/>
    <numFmt numFmtId="179" formatCode="#,##0.000000"/>
    <numFmt numFmtId="180" formatCode="0.0000"/>
    <numFmt numFmtId="181" formatCode="0.00000_ ;[Red]\-0.00000\ "/>
    <numFmt numFmtId="182" formatCode="#,##0.00000_ ;[Red]\-#,##0.00000\ "/>
    <numFmt numFmtId="183" formatCode="#,##0.0_ ;[Red]\-#,##0.0\ "/>
    <numFmt numFmtId="184" formatCode="&quot;R$&quot;#,##0.00;[Red]&quot;-R$&quot;#,##0.00"/>
    <numFmt numFmtId="185" formatCode="_-&quot;R$&quot;* #,##0.00_-;&quot;-R$&quot;* #,##0.00_-;_-&quot;R$&quot;* \-??_-;_-@_-"/>
  </numFmts>
  <fonts count="73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  <charset val="1"/>
    </font>
    <font>
      <sz val="10"/>
      <name val="Arial"/>
      <family val="2"/>
    </font>
    <font>
      <b/>
      <sz val="14"/>
      <color indexed="18"/>
      <name val="Arial"/>
      <family val="2"/>
    </font>
    <font>
      <b/>
      <sz val="10"/>
      <color indexed="18"/>
      <name val="Arial"/>
      <family val="2"/>
    </font>
    <font>
      <b/>
      <sz val="15"/>
      <color indexed="18"/>
      <name val="Arial"/>
      <family val="2"/>
    </font>
    <font>
      <b/>
      <sz val="12"/>
      <color indexed="18"/>
      <name val="Arial"/>
      <family val="2"/>
    </font>
    <font>
      <b/>
      <sz val="15"/>
      <color indexed="12"/>
      <name val="Arial"/>
      <family val="2"/>
    </font>
    <font>
      <sz val="12"/>
      <color indexed="10"/>
      <name val="Arial"/>
      <family val="2"/>
    </font>
    <font>
      <b/>
      <sz val="10"/>
      <color rgb="FF000000"/>
      <name val="Arial"/>
      <family val="2"/>
    </font>
    <font>
      <b/>
      <sz val="10.5"/>
      <color indexed="8"/>
      <name val="Arial2"/>
      <charset val="1"/>
    </font>
    <font>
      <sz val="10.5"/>
      <color indexed="10"/>
      <name val="Arial2"/>
      <charset val="1"/>
    </font>
    <font>
      <sz val="10.5"/>
      <color indexed="8"/>
      <name val="Arial2"/>
      <charset val="1"/>
    </font>
    <font>
      <sz val="10"/>
      <color indexed="8"/>
      <name val="Arial"/>
      <family val="2"/>
      <charset val="1"/>
    </font>
    <font>
      <b/>
      <u/>
      <sz val="10"/>
      <name val="Arial"/>
      <family val="2"/>
      <charset val="1"/>
    </font>
    <font>
      <b/>
      <sz val="10"/>
      <color indexed="8"/>
      <name val="Arial"/>
      <family val="2"/>
      <charset val="1"/>
    </font>
    <font>
      <sz val="10"/>
      <name val="Arial"/>
      <family val="2"/>
      <charset val="1"/>
    </font>
    <font>
      <b/>
      <u/>
      <sz val="10"/>
      <color indexed="8"/>
      <name val="Arial"/>
      <family val="2"/>
      <charset val="1"/>
    </font>
    <font>
      <b/>
      <u/>
      <sz val="10"/>
      <color indexed="8"/>
      <name val="Arial"/>
      <family val="2"/>
    </font>
    <font>
      <b/>
      <u/>
      <sz val="10"/>
      <name val="Arial"/>
      <family val="2"/>
    </font>
    <font>
      <b/>
      <sz val="9"/>
      <color indexed="8"/>
      <name val="Segoe UI"/>
      <family val="2"/>
    </font>
    <font>
      <sz val="9"/>
      <color indexed="8"/>
      <name val="Segoe UI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  <charset val="1"/>
    </font>
    <font>
      <sz val="8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u/>
      <sz val="12"/>
      <color rgb="FF00000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  <charset val="1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0"/>
      <color theme="2" tint="-0.749992370372631"/>
      <name val="Arial"/>
      <family val="2"/>
    </font>
    <font>
      <b/>
      <vertAlign val="superscript"/>
      <sz val="10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  <charset val="1"/>
    </font>
    <font>
      <b/>
      <u/>
      <sz val="10"/>
      <color rgb="FF000000"/>
      <name val="Arial"/>
      <family val="2"/>
      <charset val="1"/>
    </font>
    <font>
      <b/>
      <vertAlign val="superscript"/>
      <sz val="10"/>
      <name val="Arial"/>
      <family val="2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b/>
      <sz val="10"/>
      <color rgb="FFFFFFFF"/>
      <name val="Arial"/>
      <family val="2"/>
      <charset val="1"/>
    </font>
    <font>
      <b/>
      <sz val="10"/>
      <color rgb="FFCCFFFF"/>
      <name val="Arial"/>
      <family val="2"/>
      <charset val="1"/>
    </font>
    <font>
      <b/>
      <sz val="10"/>
      <color rgb="FFFF000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9"/>
      <color indexed="8"/>
      <name val="Arial"/>
      <family val="2"/>
    </font>
    <font>
      <b/>
      <sz val="10"/>
      <color theme="0"/>
      <name val="Arial"/>
      <family val="2"/>
      <charset val="1"/>
    </font>
    <font>
      <b/>
      <u/>
      <sz val="10"/>
      <color theme="1"/>
      <name val="Arial"/>
      <family val="2"/>
      <charset val="1"/>
    </font>
  </fonts>
  <fills count="7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1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4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25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25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24"/>
        <bgColor indexed="22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41"/>
      </patternFill>
    </fill>
    <fill>
      <patternFill patternType="solid">
        <fgColor indexed="44"/>
        <bgColor indexed="42"/>
      </patternFill>
    </fill>
    <fill>
      <patternFill patternType="solid">
        <fgColor indexed="26"/>
        <bgColor indexed="41"/>
      </patternFill>
    </fill>
    <fill>
      <patternFill patternType="solid">
        <fgColor rgb="FFCCFFFF"/>
        <bgColor rgb="FFCCFFFF"/>
      </patternFill>
    </fill>
    <fill>
      <patternFill patternType="solid">
        <fgColor theme="0"/>
        <bgColor rgb="FFCCFFFF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41"/>
      </patternFill>
    </fill>
    <fill>
      <patternFill patternType="solid">
        <fgColor theme="2"/>
        <bgColor indexed="31"/>
      </patternFill>
    </fill>
    <fill>
      <patternFill patternType="solid">
        <fgColor theme="0" tint="-4.9989318521683403E-2"/>
        <bgColor indexed="42"/>
      </patternFill>
    </fill>
    <fill>
      <patternFill patternType="solid">
        <fgColor theme="4" tint="0.79998168889431442"/>
        <bgColor indexed="4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26"/>
      </patternFill>
    </fill>
    <fill>
      <patternFill patternType="solid">
        <fgColor rgb="FFFFFF00"/>
        <bgColor indexed="26"/>
      </patternFill>
    </fill>
    <fill>
      <patternFill patternType="solid">
        <fgColor theme="4" tint="0.79998168889431442"/>
        <bgColor indexed="42"/>
      </patternFill>
    </fill>
    <fill>
      <patternFill patternType="solid">
        <fgColor rgb="FFFFFFFF"/>
        <bgColor rgb="FFF2F2F2"/>
      </patternFill>
    </fill>
    <fill>
      <patternFill patternType="solid">
        <fgColor rgb="FFFBFECE"/>
        <bgColor indexed="41"/>
      </patternFill>
    </fill>
    <fill>
      <patternFill patternType="solid">
        <fgColor rgb="FFFBFEC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41"/>
      </patternFill>
    </fill>
    <fill>
      <patternFill patternType="solid">
        <fgColor rgb="FFFFFF00"/>
        <bgColor indexed="41"/>
      </patternFill>
    </fill>
    <fill>
      <patternFill patternType="solid">
        <fgColor rgb="FFFFFF00"/>
        <bgColor indexed="42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rgb="FFCCFFFF"/>
      </patternFill>
    </fill>
    <fill>
      <patternFill patternType="solid">
        <fgColor rgb="FFCCECFF"/>
        <bgColor rgb="FFCCFFFF"/>
      </patternFill>
    </fill>
    <fill>
      <patternFill patternType="solid">
        <fgColor theme="0" tint="-4.9989318521683403E-2"/>
        <bgColor rgb="FFE7E6E6"/>
      </patternFill>
    </fill>
    <fill>
      <patternFill patternType="solid">
        <fgColor rgb="FFFFFFFF"/>
        <bgColor rgb="FFE7E6E6"/>
      </patternFill>
    </fill>
    <fill>
      <patternFill patternType="solid">
        <fgColor rgb="FFFFFFFF"/>
        <bgColor rgb="FFFFFF00"/>
      </patternFill>
    </fill>
    <fill>
      <patternFill patternType="solid">
        <fgColor theme="0" tint="-4.9989318521683403E-2"/>
        <bgColor rgb="FFFFFF00"/>
      </patternFill>
    </fill>
    <fill>
      <patternFill patternType="solid">
        <fgColor rgb="FFCCFFFF"/>
        <bgColor rgb="FFCCECFF"/>
      </patternFill>
    </fill>
    <fill>
      <patternFill patternType="solid">
        <fgColor rgb="FFF2F2F2"/>
        <bgColor rgb="FFFFFFFF"/>
      </patternFill>
    </fill>
    <fill>
      <patternFill patternType="solid">
        <fgColor rgb="FFD9D9D9"/>
        <bgColor rgb="FFCCCCCC"/>
      </patternFill>
    </fill>
    <fill>
      <patternFill patternType="solid">
        <fgColor rgb="FFCCFFFF"/>
        <bgColor indexed="64"/>
      </patternFill>
    </fill>
    <fill>
      <patternFill patternType="solid">
        <fgColor rgb="FF9DC3E6"/>
        <bgColor rgb="FF8FAADC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/>
        <bgColor indexed="2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22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E7E6E6"/>
      </patternFill>
    </fill>
  </fills>
  <borders count="10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2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D9D9D9"/>
      </left>
      <right style="thin">
        <color rgb="FFD9D9D9"/>
      </right>
      <top style="thin">
        <color auto="1"/>
      </top>
      <bottom/>
      <diagonal/>
    </border>
    <border>
      <left style="thin">
        <color rgb="FFD9D9D9"/>
      </left>
      <right style="thin">
        <color rgb="FFD9D9D9"/>
      </right>
      <top/>
      <bottom/>
      <diagonal/>
    </border>
    <border>
      <left/>
      <right/>
      <top style="thin">
        <color rgb="FFF2F2F2"/>
      </top>
      <bottom style="thin">
        <color rgb="FFF2F2F2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</borders>
  <cellStyleXfs count="50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7" fillId="7" borderId="1" applyNumberFormat="0" applyAlignment="0" applyProtection="0"/>
    <xf numFmtId="0" fontId="8" fillId="3" borderId="0" applyNumberFormat="0" applyBorder="0" applyAlignment="0" applyProtection="0"/>
    <xf numFmtId="165" fontId="22" fillId="0" borderId="0" applyFill="0" applyBorder="0" applyAlignment="0" applyProtection="0"/>
    <xf numFmtId="0" fontId="9" fillId="22" borderId="0" applyNumberFormat="0" applyBorder="0" applyAlignment="0" applyProtection="0"/>
    <xf numFmtId="0" fontId="22" fillId="23" borderId="4" applyNumberFormat="0" applyAlignment="0" applyProtection="0"/>
    <xf numFmtId="0" fontId="10" fillId="16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3" fillId="0" borderId="9" applyNumberFormat="0" applyFill="0" applyAlignment="0" applyProtection="0"/>
    <xf numFmtId="164" fontId="22" fillId="0" borderId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Border="0" applyProtection="0"/>
    <xf numFmtId="173" fontId="22" fillId="0" borderId="0"/>
    <xf numFmtId="9" fontId="22" fillId="0" borderId="0"/>
    <xf numFmtId="177" fontId="45" fillId="0" borderId="0"/>
    <xf numFmtId="173" fontId="43" fillId="0" borderId="0" applyBorder="0" applyProtection="0"/>
  </cellStyleXfs>
  <cellXfs count="108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43" applyFont="1" applyFill="1" applyBorder="1" applyAlignment="1" applyProtection="1">
      <alignment horizontal="right" vertical="center"/>
    </xf>
    <xf numFmtId="171" fontId="35" fillId="0" borderId="10" xfId="31" applyNumberFormat="1" applyFont="1" applyFill="1" applyBorder="1" applyAlignment="1" applyProtection="1">
      <alignment horizontal="center" vertical="center"/>
    </xf>
    <xf numFmtId="171" fontId="37" fillId="0" borderId="10" xfId="31" applyNumberFormat="1" applyFont="1" applyFill="1" applyBorder="1" applyAlignment="1" applyProtection="1">
      <alignment horizontal="center" vertical="center"/>
    </xf>
    <xf numFmtId="171" fontId="37" fillId="0" borderId="15" xfId="31" applyNumberFormat="1" applyFont="1" applyFill="1" applyBorder="1" applyAlignment="1" applyProtection="1">
      <alignment horizontal="center" vertical="center"/>
    </xf>
    <xf numFmtId="166" fontId="34" fillId="0" borderId="10" xfId="31" applyNumberFormat="1" applyFont="1" applyFill="1" applyBorder="1" applyAlignment="1" applyProtection="1">
      <alignment horizontal="center" vertical="center"/>
    </xf>
    <xf numFmtId="0" fontId="33" fillId="0" borderId="0" xfId="0" applyFont="1" applyAlignment="1">
      <alignment horizontal="center" vertical="center"/>
    </xf>
    <xf numFmtId="10" fontId="37" fillId="0" borderId="10" xfId="45" applyNumberFormat="1" applyFont="1" applyBorder="1" applyAlignment="1" applyProtection="1">
      <alignment horizontal="center" vertical="center"/>
    </xf>
    <xf numFmtId="10" fontId="33" fillId="0" borderId="10" xfId="44" applyNumberFormat="1" applyFont="1" applyFill="1" applyBorder="1" applyAlignment="1" applyProtection="1">
      <alignment horizontal="center" vertical="center"/>
    </xf>
    <xf numFmtId="10" fontId="33" fillId="25" borderId="10" xfId="0" applyNumberFormat="1" applyFont="1" applyFill="1" applyBorder="1" applyAlignment="1" applyProtection="1">
      <alignment horizontal="center" vertical="center"/>
      <protection locked="0"/>
    </xf>
    <xf numFmtId="0" fontId="33" fillId="25" borderId="10" xfId="0" applyFont="1" applyFill="1" applyBorder="1" applyAlignment="1" applyProtection="1">
      <alignment horizontal="center" vertical="center"/>
      <protection locked="0"/>
    </xf>
    <xf numFmtId="176" fontId="22" fillId="0" borderId="10" xfId="31" applyNumberFormat="1" applyFill="1" applyBorder="1" applyAlignment="1" applyProtection="1">
      <alignment horizontal="center" vertical="center" readingOrder="1"/>
    </xf>
    <xf numFmtId="176" fontId="22" fillId="0" borderId="14" xfId="31" applyNumberFormat="1" applyFill="1" applyBorder="1" applyAlignment="1" applyProtection="1">
      <alignment horizontal="center" vertical="center" readingOrder="1"/>
    </xf>
    <xf numFmtId="176" fontId="33" fillId="0" borderId="10" xfId="31" applyNumberFormat="1" applyFont="1" applyFill="1" applyBorder="1" applyAlignment="1" applyProtection="1">
      <alignment horizontal="center" vertical="center"/>
    </xf>
    <xf numFmtId="176" fontId="33" fillId="39" borderId="10" xfId="31" applyNumberFormat="1" applyFont="1" applyFill="1" applyBorder="1" applyAlignment="1" applyProtection="1">
      <alignment horizontal="center" vertical="center"/>
    </xf>
    <xf numFmtId="176" fontId="33" fillId="0" borderId="18" xfId="31" applyNumberFormat="1" applyFont="1" applyFill="1" applyBorder="1" applyAlignment="1" applyProtection="1">
      <alignment horizontal="center" vertical="center"/>
    </xf>
    <xf numFmtId="176" fontId="35" fillId="30" borderId="10" xfId="31" applyNumberFormat="1" applyFont="1" applyFill="1" applyBorder="1" applyAlignment="1" applyProtection="1">
      <alignment horizontal="center" vertical="center"/>
    </xf>
    <xf numFmtId="171" fontId="37" fillId="39" borderId="21" xfId="31" applyNumberFormat="1" applyFont="1" applyFill="1" applyBorder="1" applyAlignment="1" applyProtection="1">
      <alignment horizontal="center" vertical="center"/>
    </xf>
    <xf numFmtId="171" fontId="37" fillId="0" borderId="21" xfId="31" applyNumberFormat="1" applyFont="1" applyFill="1" applyBorder="1" applyAlignment="1" applyProtection="1">
      <alignment horizontal="center" vertical="center"/>
    </xf>
    <xf numFmtId="176" fontId="33" fillId="30" borderId="18" xfId="31" applyNumberFormat="1" applyFont="1" applyFill="1" applyBorder="1" applyAlignment="1" applyProtection="1">
      <alignment horizontal="center" vertical="center"/>
    </xf>
    <xf numFmtId="171" fontId="37" fillId="0" borderId="34" xfId="31" applyNumberFormat="1" applyFont="1" applyFill="1" applyBorder="1" applyAlignment="1" applyProtection="1">
      <alignment horizontal="center" vertical="center"/>
    </xf>
    <xf numFmtId="171" fontId="37" fillId="0" borderId="28" xfId="31" applyNumberFormat="1" applyFont="1" applyFill="1" applyBorder="1" applyAlignment="1" applyProtection="1">
      <alignment horizontal="center" vertical="center"/>
    </xf>
    <xf numFmtId="171" fontId="37" fillId="0" borderId="18" xfId="31" applyNumberFormat="1" applyFont="1" applyFill="1" applyBorder="1" applyAlignment="1" applyProtection="1">
      <alignment horizontal="center" vertical="center"/>
    </xf>
    <xf numFmtId="168" fontId="0" fillId="0" borderId="0" xfId="0" applyNumberFormat="1"/>
    <xf numFmtId="177" fontId="0" fillId="0" borderId="0" xfId="0" applyNumberFormat="1"/>
    <xf numFmtId="176" fontId="0" fillId="0" borderId="0" xfId="0" applyNumberFormat="1"/>
    <xf numFmtId="10" fontId="33" fillId="49" borderId="10" xfId="0" applyNumberFormat="1" applyFont="1" applyFill="1" applyBorder="1" applyAlignment="1">
      <alignment horizontal="center" vertical="center"/>
    </xf>
    <xf numFmtId="0" fontId="33" fillId="0" borderId="10" xfId="0" applyFont="1" applyBorder="1" applyAlignment="1">
      <alignment horizontal="center" vertical="center"/>
    </xf>
    <xf numFmtId="0" fontId="33" fillId="0" borderId="10" xfId="0" applyFont="1" applyBorder="1" applyAlignment="1">
      <alignment horizontal="right" vertical="center"/>
    </xf>
    <xf numFmtId="0" fontId="33" fillId="0" borderId="10" xfId="0" applyFont="1" applyBorder="1" applyAlignment="1">
      <alignment horizontal="left" vertical="center"/>
    </xf>
    <xf numFmtId="0" fontId="33" fillId="49" borderId="10" xfId="0" applyFont="1" applyFill="1" applyBorder="1" applyAlignment="1">
      <alignment horizontal="center" vertical="center"/>
    </xf>
    <xf numFmtId="0" fontId="33" fillId="0" borderId="12" xfId="0" applyFont="1" applyBorder="1"/>
    <xf numFmtId="0" fontId="33" fillId="0" borderId="11" xfId="0" applyFont="1" applyBorder="1" applyAlignment="1">
      <alignment horizontal="center" vertical="center"/>
    </xf>
    <xf numFmtId="0" fontId="33" fillId="0" borderId="15" xfId="0" applyFont="1" applyBorder="1" applyAlignment="1">
      <alignment horizontal="center" vertical="center"/>
    </xf>
    <xf numFmtId="0" fontId="35" fillId="30" borderId="10" xfId="0" applyFont="1" applyFill="1" applyBorder="1" applyAlignment="1">
      <alignment horizontal="center" vertical="center"/>
    </xf>
    <xf numFmtId="4" fontId="35" fillId="30" borderId="10" xfId="0" applyNumberFormat="1" applyFont="1" applyFill="1" applyBorder="1" applyAlignment="1">
      <alignment horizontal="center" vertical="center"/>
    </xf>
    <xf numFmtId="0" fontId="33" fillId="30" borderId="10" xfId="0" applyFont="1" applyFill="1" applyBorder="1" applyAlignment="1">
      <alignment horizontal="center" vertical="center"/>
    </xf>
    <xf numFmtId="168" fontId="33" fillId="0" borderId="10" xfId="0" applyNumberFormat="1" applyFont="1" applyBorder="1" applyAlignment="1">
      <alignment horizontal="center" vertical="center"/>
    </xf>
    <xf numFmtId="10" fontId="33" fillId="0" borderId="10" xfId="0" applyNumberFormat="1" applyFont="1" applyBorder="1" applyAlignment="1">
      <alignment horizontal="center" vertical="center"/>
    </xf>
    <xf numFmtId="168" fontId="35" fillId="30" borderId="10" xfId="0" applyNumberFormat="1" applyFont="1" applyFill="1" applyBorder="1" applyAlignment="1">
      <alignment horizontal="center" vertical="center"/>
    </xf>
    <xf numFmtId="0" fontId="33" fillId="0" borderId="20" xfId="0" applyFont="1" applyBorder="1"/>
    <xf numFmtId="10" fontId="35" fillId="30" borderId="10" xfId="0" applyNumberFormat="1" applyFont="1" applyFill="1" applyBorder="1" applyAlignment="1">
      <alignment horizontal="center" vertical="center"/>
    </xf>
    <xf numFmtId="175" fontId="33" fillId="49" borderId="10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3" fillId="4" borderId="22" xfId="0" applyFont="1" applyFill="1" applyBorder="1" applyAlignment="1">
      <alignment horizontal="center"/>
    </xf>
    <xf numFmtId="0" fontId="33" fillId="4" borderId="22" xfId="0" applyFont="1" applyFill="1" applyBorder="1" applyAlignment="1">
      <alignment horizontal="center" vertical="center"/>
    </xf>
    <xf numFmtId="0" fontId="35" fillId="30" borderId="14" xfId="0" applyFont="1" applyFill="1" applyBorder="1" applyAlignment="1">
      <alignment horizontal="center" vertical="center"/>
    </xf>
    <xf numFmtId="0" fontId="33" fillId="30" borderId="11" xfId="0" applyFont="1" applyFill="1" applyBorder="1" applyAlignment="1">
      <alignment horizontal="center" vertical="center"/>
    </xf>
    <xf numFmtId="0" fontId="33" fillId="0" borderId="14" xfId="0" applyFont="1" applyBorder="1" applyAlignment="1">
      <alignment horizontal="center" vertical="center"/>
    </xf>
    <xf numFmtId="4" fontId="35" fillId="30" borderId="14" xfId="0" applyNumberFormat="1" applyFont="1" applyFill="1" applyBorder="1" applyAlignment="1">
      <alignment horizontal="center" vertical="center"/>
    </xf>
    <xf numFmtId="168" fontId="33" fillId="30" borderId="10" xfId="0" applyNumberFormat="1" applyFont="1" applyFill="1" applyBorder="1" applyAlignment="1">
      <alignment horizontal="center" vertical="center"/>
    </xf>
    <xf numFmtId="0" fontId="33" fillId="30" borderId="14" xfId="0" applyFont="1" applyFill="1" applyBorder="1"/>
    <xf numFmtId="168" fontId="33" fillId="0" borderId="14" xfId="0" applyNumberFormat="1" applyFont="1" applyBorder="1" applyAlignment="1">
      <alignment horizontal="center"/>
    </xf>
    <xf numFmtId="0" fontId="33" fillId="30" borderId="10" xfId="0" applyFont="1" applyFill="1" applyBorder="1"/>
    <xf numFmtId="168" fontId="33" fillId="0" borderId="10" xfId="0" applyNumberFormat="1" applyFont="1" applyBorder="1" applyAlignment="1">
      <alignment horizontal="center"/>
    </xf>
    <xf numFmtId="168" fontId="35" fillId="30" borderId="10" xfId="0" applyNumberFormat="1" applyFont="1" applyFill="1" applyBorder="1" applyAlignment="1">
      <alignment horizontal="center"/>
    </xf>
    <xf numFmtId="0" fontId="33" fillId="0" borderId="15" xfId="0" applyFont="1" applyBorder="1"/>
    <xf numFmtId="10" fontId="33" fillId="24" borderId="10" xfId="0" applyNumberFormat="1" applyFont="1" applyFill="1" applyBorder="1" applyAlignment="1">
      <alignment horizontal="center" vertical="center"/>
    </xf>
    <xf numFmtId="166" fontId="33" fillId="0" borderId="10" xfId="0" applyNumberFormat="1" applyFont="1" applyBorder="1" applyAlignment="1">
      <alignment horizontal="center" vertical="center"/>
    </xf>
    <xf numFmtId="10" fontId="33" fillId="24" borderId="10" xfId="44" applyNumberFormat="1" applyFont="1" applyFill="1" applyBorder="1" applyAlignment="1" applyProtection="1">
      <alignment horizontal="center" vertical="center"/>
    </xf>
    <xf numFmtId="166" fontId="33" fillId="0" borderId="10" xfId="0" applyNumberFormat="1" applyFont="1" applyBorder="1" applyAlignment="1">
      <alignment horizontal="center" vertical="center" wrapText="1"/>
    </xf>
    <xf numFmtId="10" fontId="33" fillId="49" borderId="10" xfId="44" applyNumberFormat="1" applyFont="1" applyFill="1" applyBorder="1" applyAlignment="1" applyProtection="1">
      <alignment horizontal="center" vertical="center"/>
    </xf>
    <xf numFmtId="168" fontId="35" fillId="30" borderId="15" xfId="0" applyNumberFormat="1" applyFont="1" applyFill="1" applyBorder="1" applyAlignment="1">
      <alignment horizontal="center" vertical="center"/>
    </xf>
    <xf numFmtId="0" fontId="33" fillId="4" borderId="18" xfId="0" applyFont="1" applyFill="1" applyBorder="1" applyAlignment="1">
      <alignment horizontal="center"/>
    </xf>
    <xf numFmtId="0" fontId="33" fillId="4" borderId="18" xfId="0" applyFont="1" applyFill="1" applyBorder="1" applyAlignment="1">
      <alignment horizontal="center" vertical="center"/>
    </xf>
    <xf numFmtId="176" fontId="33" fillId="0" borderId="10" xfId="0" applyNumberFormat="1" applyFont="1" applyBorder="1" applyAlignment="1">
      <alignment horizontal="center" vertical="center"/>
    </xf>
    <xf numFmtId="10" fontId="35" fillId="45" borderId="10" xfId="0" applyNumberFormat="1" applyFont="1" applyFill="1" applyBorder="1" applyAlignment="1">
      <alignment horizontal="center" vertical="center"/>
    </xf>
    <xf numFmtId="4" fontId="35" fillId="30" borderId="18" xfId="0" applyNumberFormat="1" applyFont="1" applyFill="1" applyBorder="1" applyAlignment="1">
      <alignment horizontal="center" vertical="center"/>
    </xf>
    <xf numFmtId="14" fontId="33" fillId="0" borderId="11" xfId="0" applyNumberFormat="1" applyFont="1" applyBorder="1" applyAlignment="1">
      <alignment horizontal="center" vertical="center"/>
    </xf>
    <xf numFmtId="20" fontId="33" fillId="0" borderId="18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76" fontId="0" fillId="0" borderId="21" xfId="0" applyNumberFormat="1" applyBorder="1" applyAlignment="1">
      <alignment horizontal="center" vertical="center"/>
    </xf>
    <xf numFmtId="0" fontId="18" fillId="34" borderId="21" xfId="0" applyFont="1" applyFill="1" applyBorder="1" applyAlignment="1">
      <alignment horizontal="center"/>
    </xf>
    <xf numFmtId="176" fontId="0" fillId="27" borderId="21" xfId="0" applyNumberFormat="1" applyFill="1" applyBorder="1" applyAlignment="1" applyProtection="1">
      <alignment horizontal="center"/>
      <protection locked="0"/>
    </xf>
    <xf numFmtId="0" fontId="0" fillId="47" borderId="0" xfId="0" applyFill="1"/>
    <xf numFmtId="9" fontId="33" fillId="25" borderId="10" xfId="45" applyFont="1" applyFill="1" applyBorder="1" applyAlignment="1" applyProtection="1">
      <alignment horizontal="center" vertical="center"/>
      <protection locked="0"/>
    </xf>
    <xf numFmtId="169" fontId="33" fillId="25" borderId="10" xfId="0" applyNumberFormat="1" applyFont="1" applyFill="1" applyBorder="1" applyAlignment="1" applyProtection="1">
      <alignment horizontal="center" vertical="center"/>
      <protection locked="0"/>
    </xf>
    <xf numFmtId="9" fontId="33" fillId="25" borderId="10" xfId="0" applyNumberFormat="1" applyFont="1" applyFill="1" applyBorder="1" applyAlignment="1" applyProtection="1">
      <alignment horizontal="center" vertical="center"/>
      <protection locked="0"/>
    </xf>
    <xf numFmtId="2" fontId="33" fillId="25" borderId="14" xfId="0" applyNumberFormat="1" applyFont="1" applyFill="1" applyBorder="1" applyAlignment="1" applyProtection="1">
      <alignment horizontal="center" vertical="center"/>
      <protection locked="0"/>
    </xf>
    <xf numFmtId="2" fontId="33" fillId="25" borderId="15" xfId="0" applyNumberFormat="1" applyFont="1" applyFill="1" applyBorder="1" applyAlignment="1" applyProtection="1">
      <alignment horizontal="center" vertical="center"/>
      <protection locked="0"/>
    </xf>
    <xf numFmtId="2" fontId="33" fillId="25" borderId="18" xfId="0" applyNumberFormat="1" applyFont="1" applyFill="1" applyBorder="1" applyAlignment="1" applyProtection="1">
      <alignment horizontal="center" vertical="center"/>
      <protection locked="0"/>
    </xf>
    <xf numFmtId="2" fontId="33" fillId="25" borderId="10" xfId="0" applyNumberFormat="1" applyFont="1" applyFill="1" applyBorder="1" applyAlignment="1" applyProtection="1">
      <alignment horizontal="center" vertical="center"/>
      <protection locked="0"/>
    </xf>
    <xf numFmtId="10" fontId="33" fillId="25" borderId="18" xfId="0" applyNumberFormat="1" applyFont="1" applyFill="1" applyBorder="1" applyAlignment="1" applyProtection="1">
      <alignment horizontal="center" vertical="center"/>
      <protection locked="0"/>
    </xf>
    <xf numFmtId="10" fontId="33" fillId="25" borderId="18" xfId="44" applyNumberFormat="1" applyFont="1" applyFill="1" applyBorder="1" applyAlignment="1" applyProtection="1">
      <alignment horizontal="center" vertical="center"/>
      <protection locked="0"/>
    </xf>
    <xf numFmtId="10" fontId="33" fillId="27" borderId="18" xfId="44" applyNumberFormat="1" applyFont="1" applyFill="1" applyBorder="1" applyAlignment="1" applyProtection="1">
      <alignment horizontal="center" vertical="center"/>
      <protection locked="0"/>
    </xf>
    <xf numFmtId="0" fontId="33" fillId="4" borderId="47" xfId="0" applyFont="1" applyFill="1" applyBorder="1" applyAlignment="1">
      <alignment horizontal="center" vertical="center"/>
    </xf>
    <xf numFmtId="176" fontId="22" fillId="0" borderId="18" xfId="31" applyNumberFormat="1" applyBorder="1" applyAlignment="1">
      <alignment horizontal="center"/>
    </xf>
    <xf numFmtId="168" fontId="35" fillId="30" borderId="44" xfId="0" applyNumberFormat="1" applyFont="1" applyFill="1" applyBorder="1" applyAlignment="1">
      <alignment horizontal="center" vertical="center"/>
    </xf>
    <xf numFmtId="0" fontId="35" fillId="30" borderId="59" xfId="0" applyFont="1" applyFill="1" applyBorder="1" applyAlignment="1">
      <alignment horizontal="center" vertical="center"/>
    </xf>
    <xf numFmtId="0" fontId="35" fillId="30" borderId="57" xfId="0" applyFont="1" applyFill="1" applyBorder="1" applyAlignment="1">
      <alignment horizontal="center" vertical="center"/>
    </xf>
    <xf numFmtId="176" fontId="33" fillId="0" borderId="65" xfId="31" applyNumberFormat="1" applyFont="1" applyFill="1" applyBorder="1" applyAlignment="1" applyProtection="1">
      <alignment horizontal="center" vertical="center"/>
    </xf>
    <xf numFmtId="0" fontId="35" fillId="30" borderId="18" xfId="0" applyFont="1" applyFill="1" applyBorder="1" applyAlignment="1">
      <alignment horizontal="center" vertical="center"/>
    </xf>
    <xf numFmtId="0" fontId="33" fillId="25" borderId="68" xfId="0" applyFont="1" applyFill="1" applyBorder="1" applyAlignment="1" applyProtection="1">
      <alignment horizontal="center" vertical="center"/>
      <protection locked="0"/>
    </xf>
    <xf numFmtId="10" fontId="33" fillId="25" borderId="68" xfId="0" applyNumberFormat="1" applyFont="1" applyFill="1" applyBorder="1" applyAlignment="1" applyProtection="1">
      <alignment horizontal="center" vertical="center"/>
      <protection locked="0"/>
    </xf>
    <xf numFmtId="0" fontId="33" fillId="30" borderId="68" xfId="0" applyFont="1" applyFill="1" applyBorder="1" applyAlignment="1">
      <alignment horizontal="center" vertical="center"/>
    </xf>
    <xf numFmtId="10" fontId="33" fillId="0" borderId="68" xfId="44" applyNumberFormat="1" applyFont="1" applyFill="1" applyBorder="1" applyAlignment="1" applyProtection="1">
      <alignment horizontal="center" vertical="center"/>
    </xf>
    <xf numFmtId="176" fontId="33" fillId="0" borderId="68" xfId="31" applyNumberFormat="1" applyFont="1" applyFill="1" applyBorder="1" applyAlignment="1" applyProtection="1">
      <alignment horizontal="center" vertical="center"/>
    </xf>
    <xf numFmtId="0" fontId="42" fillId="47" borderId="0" xfId="0" applyFont="1" applyFill="1" applyAlignment="1">
      <alignment horizontal="left" vertical="center"/>
    </xf>
    <xf numFmtId="0" fontId="0" fillId="47" borderId="0" xfId="0" applyFill="1" applyAlignment="1">
      <alignment vertical="center"/>
    </xf>
    <xf numFmtId="0" fontId="24" fillId="55" borderId="0" xfId="0" applyFont="1" applyFill="1" applyAlignment="1">
      <alignment horizontal="center" vertical="center" wrapText="1"/>
    </xf>
    <xf numFmtId="164" fontId="24" fillId="55" borderId="0" xfId="43" applyFont="1" applyFill="1" applyBorder="1" applyAlignment="1" applyProtection="1">
      <alignment horizontal="center" vertical="center" wrapText="1"/>
    </xf>
    <xf numFmtId="0" fontId="42" fillId="47" borderId="0" xfId="0" applyFont="1" applyFill="1" applyAlignment="1">
      <alignment horizontal="left" vertical="center" wrapText="1"/>
    </xf>
    <xf numFmtId="0" fontId="42" fillId="47" borderId="0" xfId="0" applyFont="1" applyFill="1" applyAlignment="1">
      <alignment horizontal="center" vertical="center" wrapText="1"/>
    </xf>
    <xf numFmtId="0" fontId="0" fillId="47" borderId="0" xfId="0" applyFill="1" applyAlignment="1">
      <alignment horizontal="center" vertical="center" wrapText="1"/>
    </xf>
    <xf numFmtId="166" fontId="29" fillId="47" borderId="0" xfId="0" applyNumberFormat="1" applyFont="1" applyFill="1" applyAlignment="1" applyProtection="1">
      <alignment horizontal="center"/>
      <protection locked="0"/>
    </xf>
    <xf numFmtId="176" fontId="0" fillId="47" borderId="0" xfId="43" applyNumberFormat="1" applyFont="1" applyFill="1" applyBorder="1" applyAlignment="1" applyProtection="1">
      <alignment horizontal="center" vertical="center" wrapText="1"/>
    </xf>
    <xf numFmtId="0" fontId="0" fillId="47" borderId="0" xfId="0" applyFill="1" applyAlignment="1">
      <alignment horizontal="center" vertical="center"/>
    </xf>
    <xf numFmtId="166" fontId="29" fillId="47" borderId="0" xfId="0" applyNumberFormat="1" applyFont="1" applyFill="1" applyAlignment="1" applyProtection="1">
      <alignment horizontal="center" vertical="center"/>
      <protection locked="0"/>
    </xf>
    <xf numFmtId="1" fontId="0" fillId="47" borderId="0" xfId="0" applyNumberFormat="1" applyFill="1" applyAlignment="1">
      <alignment horizontal="center" vertical="center"/>
    </xf>
    <xf numFmtId="176" fontId="39" fillId="47" borderId="0" xfId="43" applyNumberFormat="1" applyFont="1" applyFill="1" applyBorder="1" applyAlignment="1" applyProtection="1">
      <alignment horizontal="center" vertical="center" wrapText="1"/>
    </xf>
    <xf numFmtId="4" fontId="0" fillId="47" borderId="0" xfId="0" applyNumberFormat="1" applyFill="1" applyAlignment="1">
      <alignment horizontal="right" vertical="center"/>
    </xf>
    <xf numFmtId="164" fontId="0" fillId="47" borderId="0" xfId="43" applyFont="1" applyFill="1" applyBorder="1" applyAlignment="1" applyProtection="1">
      <alignment horizontal="center" vertical="center" wrapText="1"/>
    </xf>
    <xf numFmtId="0" fontId="19" fillId="47" borderId="0" xfId="0" applyFont="1" applyFill="1" applyAlignment="1">
      <alignment horizontal="center" vertical="center" wrapText="1"/>
    </xf>
    <xf numFmtId="176" fontId="18" fillId="47" borderId="0" xfId="43" applyNumberFormat="1" applyFont="1" applyFill="1" applyBorder="1" applyAlignment="1" applyProtection="1">
      <alignment horizontal="center" vertical="center"/>
      <protection locked="0"/>
    </xf>
    <xf numFmtId="176" fontId="0" fillId="47" borderId="0" xfId="31" applyNumberFormat="1" applyFont="1" applyFill="1" applyBorder="1" applyAlignment="1" applyProtection="1">
      <alignment horizontal="center" vertical="center"/>
    </xf>
    <xf numFmtId="176" fontId="18" fillId="47" borderId="0" xfId="43" applyNumberFormat="1" applyFont="1" applyFill="1" applyBorder="1" applyAlignment="1" applyProtection="1">
      <alignment horizontal="center" vertical="center" wrapText="1"/>
      <protection locked="0"/>
    </xf>
    <xf numFmtId="176" fontId="39" fillId="47" borderId="0" xfId="43" applyNumberFormat="1" applyFont="1" applyFill="1" applyBorder="1" applyAlignment="1" applyProtection="1">
      <alignment horizontal="center" vertical="center"/>
    </xf>
    <xf numFmtId="164" fontId="0" fillId="47" borderId="0" xfId="43" applyFont="1" applyFill="1" applyBorder="1" applyAlignment="1" applyProtection="1">
      <alignment horizontal="right" vertical="center"/>
    </xf>
    <xf numFmtId="0" fontId="25" fillId="55" borderId="0" xfId="0" applyFont="1" applyFill="1" applyAlignment="1">
      <alignment horizontal="center" vertical="center" wrapText="1"/>
    </xf>
    <xf numFmtId="167" fontId="0" fillId="47" borderId="0" xfId="0" applyNumberFormat="1" applyFill="1" applyAlignment="1">
      <alignment horizontal="center" vertical="center"/>
    </xf>
    <xf numFmtId="0" fontId="42" fillId="47" borderId="0" xfId="0" applyFont="1" applyFill="1" applyAlignment="1">
      <alignment vertical="center" wrapText="1"/>
    </xf>
    <xf numFmtId="0" fontId="42" fillId="47" borderId="0" xfId="0" applyFont="1" applyFill="1" applyAlignment="1">
      <alignment horizontal="center" vertical="center"/>
    </xf>
    <xf numFmtId="0" fontId="0" fillId="47" borderId="0" xfId="0" applyFill="1" applyAlignment="1">
      <alignment horizontal="left" vertical="center"/>
    </xf>
    <xf numFmtId="0" fontId="0" fillId="56" borderId="0" xfId="0" applyFill="1" applyAlignment="1">
      <alignment wrapText="1"/>
    </xf>
    <xf numFmtId="176" fontId="39" fillId="47" borderId="0" xfId="31" applyNumberFormat="1" applyFont="1" applyFill="1" applyBorder="1" applyAlignment="1" applyProtection="1">
      <alignment horizontal="center" vertical="center"/>
    </xf>
    <xf numFmtId="176" fontId="0" fillId="47" borderId="0" xfId="43" applyNumberFormat="1" applyFont="1" applyFill="1" applyBorder="1" applyAlignment="1" applyProtection="1">
      <alignment horizontal="center" vertical="center"/>
    </xf>
    <xf numFmtId="0" fontId="43" fillId="47" borderId="0" xfId="0" applyFont="1" applyFill="1" applyAlignment="1">
      <alignment vertical="center" wrapText="1"/>
    </xf>
    <xf numFmtId="0" fontId="0" fillId="47" borderId="0" xfId="0" quotePrefix="1" applyFill="1" applyAlignment="1">
      <alignment horizontal="center" vertical="center"/>
    </xf>
    <xf numFmtId="0" fontId="23" fillId="55" borderId="0" xfId="0" applyFont="1" applyFill="1" applyAlignment="1">
      <alignment horizontal="center" vertical="center" wrapText="1"/>
    </xf>
    <xf numFmtId="0" fontId="24" fillId="47" borderId="0" xfId="0" applyFont="1" applyFill="1" applyAlignment="1">
      <alignment horizontal="center" vertical="center" wrapText="1"/>
    </xf>
    <xf numFmtId="164" fontId="24" fillId="47" borderId="0" xfId="43" applyFont="1" applyFill="1" applyBorder="1" applyAlignment="1" applyProtection="1">
      <alignment horizontal="center" vertical="center" wrapText="1"/>
    </xf>
    <xf numFmtId="0" fontId="0" fillId="47" borderId="0" xfId="0" applyFill="1" applyAlignment="1">
      <alignment vertical="center" wrapText="1"/>
    </xf>
    <xf numFmtId="176" fontId="0" fillId="47" borderId="0" xfId="0" applyNumberFormat="1" applyFill="1" applyAlignment="1">
      <alignment horizontal="center" vertical="center"/>
    </xf>
    <xf numFmtId="4" fontId="0" fillId="47" borderId="0" xfId="43" applyNumberFormat="1" applyFont="1" applyFill="1" applyBorder="1" applyAlignment="1" applyProtection="1">
      <alignment horizontal="right" vertical="center"/>
    </xf>
    <xf numFmtId="0" fontId="19" fillId="47" borderId="0" xfId="0" applyFont="1" applyFill="1" applyAlignment="1">
      <alignment vertical="center" wrapText="1"/>
    </xf>
    <xf numFmtId="176" fontId="39" fillId="47" borderId="0" xfId="0" applyNumberFormat="1" applyFont="1" applyFill="1" applyAlignment="1">
      <alignment horizontal="center" vertical="center"/>
    </xf>
    <xf numFmtId="4" fontId="18" fillId="47" borderId="0" xfId="0" applyNumberFormat="1" applyFont="1" applyFill="1" applyAlignment="1">
      <alignment vertical="center"/>
    </xf>
    <xf numFmtId="4" fontId="24" fillId="47" borderId="0" xfId="0" applyNumberFormat="1" applyFont="1" applyFill="1" applyAlignment="1">
      <alignment horizontal="right" vertical="center"/>
    </xf>
    <xf numFmtId="0" fontId="27" fillId="55" borderId="0" xfId="0" applyFont="1" applyFill="1" applyAlignment="1">
      <alignment horizontal="center" vertical="center"/>
    </xf>
    <xf numFmtId="176" fontId="22" fillId="0" borderId="18" xfId="31" applyNumberFormat="1" applyBorder="1"/>
    <xf numFmtId="176" fontId="0" fillId="0" borderId="18" xfId="0" applyNumberFormat="1" applyBorder="1"/>
    <xf numFmtId="14" fontId="30" fillId="51" borderId="56" xfId="0" applyNumberFormat="1" applyFont="1" applyFill="1" applyBorder="1" applyAlignment="1" applyProtection="1">
      <alignment horizontal="center" vertical="center" wrapText="1"/>
      <protection locked="0"/>
    </xf>
    <xf numFmtId="10" fontId="37" fillId="47" borderId="0" xfId="45" applyNumberFormat="1" applyFont="1" applyFill="1" applyBorder="1" applyAlignment="1" applyProtection="1">
      <alignment horizontal="center" vertical="center"/>
    </xf>
    <xf numFmtId="0" fontId="33" fillId="25" borderId="32" xfId="0" applyFont="1" applyFill="1" applyBorder="1" applyAlignment="1" applyProtection="1">
      <alignment horizontal="center" vertical="center"/>
      <protection locked="0"/>
    </xf>
    <xf numFmtId="10" fontId="37" fillId="0" borderId="32" xfId="45" applyNumberFormat="1" applyFont="1" applyBorder="1" applyAlignment="1" applyProtection="1">
      <alignment horizontal="center" vertical="center"/>
    </xf>
    <xf numFmtId="10" fontId="37" fillId="47" borderId="70" xfId="45" applyNumberFormat="1" applyFont="1" applyFill="1" applyBorder="1" applyAlignment="1" applyProtection="1">
      <alignment horizontal="center" vertical="center"/>
    </xf>
    <xf numFmtId="10" fontId="33" fillId="25" borderId="66" xfId="0" applyNumberFormat="1" applyFont="1" applyFill="1" applyBorder="1" applyAlignment="1" applyProtection="1">
      <alignment horizontal="center" vertical="center"/>
      <protection locked="0"/>
    </xf>
    <xf numFmtId="10" fontId="37" fillId="0" borderId="18" xfId="45" applyNumberFormat="1" applyFont="1" applyBorder="1" applyAlignment="1" applyProtection="1">
      <alignment horizontal="center" vertical="center"/>
    </xf>
    <xf numFmtId="168" fontId="33" fillId="49" borderId="10" xfId="0" applyNumberFormat="1" applyFont="1" applyFill="1" applyBorder="1" applyAlignment="1">
      <alignment horizontal="center" vertical="center"/>
    </xf>
    <xf numFmtId="168" fontId="33" fillId="0" borderId="14" xfId="0" applyNumberFormat="1" applyFont="1" applyBorder="1" applyAlignment="1">
      <alignment horizontal="center" vertical="center"/>
    </xf>
    <xf numFmtId="178" fontId="33" fillId="0" borderId="10" xfId="0" applyNumberFormat="1" applyFont="1" applyBorder="1" applyAlignment="1">
      <alignment horizontal="center" vertical="center"/>
    </xf>
    <xf numFmtId="178" fontId="33" fillId="0" borderId="10" xfId="44" applyNumberFormat="1" applyFont="1" applyBorder="1" applyAlignment="1">
      <alignment horizontal="center" vertical="center" wrapText="1"/>
    </xf>
    <xf numFmtId="176" fontId="20" fillId="46" borderId="10" xfId="0" applyNumberFormat="1" applyFont="1" applyFill="1" applyBorder="1" applyAlignment="1">
      <alignment horizontal="center" vertical="center"/>
    </xf>
    <xf numFmtId="0" fontId="33" fillId="0" borderId="0" xfId="0" applyFont="1"/>
    <xf numFmtId="0" fontId="35" fillId="38" borderId="10" xfId="0" applyFont="1" applyFill="1" applyBorder="1" applyAlignment="1">
      <alignment horizontal="center" vertical="center"/>
    </xf>
    <xf numFmtId="14" fontId="0" fillId="47" borderId="43" xfId="0" applyNumberFormat="1" applyFill="1" applyBorder="1" applyAlignment="1">
      <alignment horizontal="center" vertical="center"/>
    </xf>
    <xf numFmtId="0" fontId="0" fillId="47" borderId="41" xfId="0" applyFill="1" applyBorder="1" applyAlignment="1">
      <alignment horizontal="right" vertical="center"/>
    </xf>
    <xf numFmtId="0" fontId="0" fillId="47" borderId="43" xfId="0" applyFill="1" applyBorder="1" applyAlignment="1">
      <alignment horizontal="center" vertical="center"/>
    </xf>
    <xf numFmtId="0" fontId="30" fillId="50" borderId="52" xfId="0" applyFont="1" applyFill="1" applyBorder="1" applyAlignment="1">
      <alignment horizontal="center" vertical="center" wrapText="1"/>
    </xf>
    <xf numFmtId="0" fontId="30" fillId="50" borderId="53" xfId="0" applyFont="1" applyFill="1" applyBorder="1" applyAlignment="1">
      <alignment horizontal="center" vertical="center" wrapText="1"/>
    </xf>
    <xf numFmtId="0" fontId="33" fillId="41" borderId="10" xfId="0" applyFont="1" applyFill="1" applyBorder="1" applyAlignment="1">
      <alignment horizontal="center" vertical="center"/>
    </xf>
    <xf numFmtId="0" fontId="33" fillId="24" borderId="10" xfId="0" applyFont="1" applyFill="1" applyBorder="1" applyAlignment="1">
      <alignment horizontal="center" vertical="center"/>
    </xf>
    <xf numFmtId="166" fontId="35" fillId="39" borderId="10" xfId="0" applyNumberFormat="1" applyFont="1" applyFill="1" applyBorder="1" applyAlignment="1">
      <alignment horizontal="center" vertical="center" wrapText="1"/>
    </xf>
    <xf numFmtId="166" fontId="35" fillId="39" borderId="10" xfId="0" applyNumberFormat="1" applyFont="1" applyFill="1" applyBorder="1" applyAlignment="1">
      <alignment horizontal="center" vertical="center"/>
    </xf>
    <xf numFmtId="170" fontId="33" fillId="0" borderId="10" xfId="0" applyNumberFormat="1" applyFont="1" applyBorder="1" applyAlignment="1">
      <alignment horizontal="center" vertical="center" wrapText="1"/>
    </xf>
    <xf numFmtId="166" fontId="37" fillId="0" borderId="10" xfId="0" applyNumberFormat="1" applyFont="1" applyBorder="1" applyAlignment="1">
      <alignment horizontal="center" vertical="center"/>
    </xf>
    <xf numFmtId="166" fontId="35" fillId="0" borderId="10" xfId="0" applyNumberFormat="1" applyFont="1" applyBorder="1" applyAlignment="1">
      <alignment horizontal="center" vertical="center" wrapText="1"/>
    </xf>
    <xf numFmtId="166" fontId="38" fillId="24" borderId="10" xfId="0" applyNumberFormat="1" applyFont="1" applyFill="1" applyBorder="1" applyAlignment="1">
      <alignment horizontal="center" vertical="center" wrapText="1"/>
    </xf>
    <xf numFmtId="166" fontId="33" fillId="49" borderId="10" xfId="0" applyNumberFormat="1" applyFont="1" applyFill="1" applyBorder="1" applyAlignment="1">
      <alignment horizontal="center" vertical="center" wrapText="1"/>
    </xf>
    <xf numFmtId="3" fontId="33" fillId="0" borderId="10" xfId="0" applyNumberFormat="1" applyFont="1" applyBorder="1" applyAlignment="1">
      <alignment horizontal="center" vertical="center" wrapText="1"/>
    </xf>
    <xf numFmtId="3" fontId="33" fillId="0" borderId="15" xfId="0" applyNumberFormat="1" applyFont="1" applyBorder="1" applyAlignment="1">
      <alignment horizontal="center" vertical="center" wrapText="1"/>
    </xf>
    <xf numFmtId="166" fontId="35" fillId="39" borderId="21" xfId="0" applyNumberFormat="1" applyFont="1" applyFill="1" applyBorder="1" applyAlignment="1">
      <alignment horizontal="center" vertical="center" wrapText="1"/>
    </xf>
    <xf numFmtId="166" fontId="35" fillId="39" borderId="21" xfId="0" applyNumberFormat="1" applyFont="1" applyFill="1" applyBorder="1" applyAlignment="1">
      <alignment horizontal="center" vertical="center"/>
    </xf>
    <xf numFmtId="0" fontId="35" fillId="39" borderId="21" xfId="0" applyFont="1" applyFill="1" applyBorder="1" applyAlignment="1">
      <alignment horizontal="center" vertical="center" wrapText="1"/>
    </xf>
    <xf numFmtId="166" fontId="35" fillId="39" borderId="21" xfId="0" applyNumberFormat="1" applyFont="1" applyFill="1" applyBorder="1" applyAlignment="1">
      <alignment vertical="center" wrapText="1"/>
    </xf>
    <xf numFmtId="0" fontId="33" fillId="34" borderId="21" xfId="0" applyFont="1" applyFill="1" applyBorder="1"/>
    <xf numFmtId="0" fontId="0" fillId="34" borderId="21" xfId="0" applyFill="1" applyBorder="1"/>
    <xf numFmtId="166" fontId="35" fillId="40" borderId="14" xfId="0" applyNumberFormat="1" applyFont="1" applyFill="1" applyBorder="1" applyAlignment="1">
      <alignment horizontal="center" vertical="center" wrapText="1"/>
    </xf>
    <xf numFmtId="170" fontId="33" fillId="0" borderId="14" xfId="0" applyNumberFormat="1" applyFont="1" applyBorder="1" applyAlignment="1">
      <alignment horizontal="center" vertical="center"/>
    </xf>
    <xf numFmtId="166" fontId="33" fillId="37" borderId="14" xfId="0" applyNumberFormat="1" applyFont="1" applyFill="1" applyBorder="1" applyAlignment="1">
      <alignment horizontal="center" vertical="center" wrapText="1"/>
    </xf>
    <xf numFmtId="166" fontId="33" fillId="0" borderId="19" xfId="0" applyNumberFormat="1" applyFont="1" applyBorder="1" applyAlignment="1">
      <alignment horizontal="center" vertical="center"/>
    </xf>
    <xf numFmtId="176" fontId="33" fillId="0" borderId="28" xfId="0" applyNumberFormat="1" applyFont="1" applyBorder="1" applyAlignment="1">
      <alignment horizontal="center" vertical="center"/>
    </xf>
    <xf numFmtId="166" fontId="35" fillId="40" borderId="15" xfId="0" applyNumberFormat="1" applyFont="1" applyFill="1" applyBorder="1" applyAlignment="1">
      <alignment horizontal="center" vertical="center" wrapText="1"/>
    </xf>
    <xf numFmtId="170" fontId="33" fillId="0" borderId="15" xfId="0" applyNumberFormat="1" applyFont="1" applyBorder="1" applyAlignment="1">
      <alignment horizontal="center" vertical="center"/>
    </xf>
    <xf numFmtId="166" fontId="33" fillId="37" borderId="15" xfId="0" applyNumberFormat="1" applyFont="1" applyFill="1" applyBorder="1" applyAlignment="1">
      <alignment horizontal="center" vertical="center" wrapText="1"/>
    </xf>
    <xf numFmtId="166" fontId="33" fillId="0" borderId="33" xfId="0" applyNumberFormat="1" applyFont="1" applyBorder="1" applyAlignment="1">
      <alignment horizontal="center" vertical="center"/>
    </xf>
    <xf numFmtId="176" fontId="33" fillId="0" borderId="34" xfId="0" applyNumberFormat="1" applyFont="1" applyBorder="1" applyAlignment="1">
      <alignment horizontal="center" vertical="center"/>
    </xf>
    <xf numFmtId="176" fontId="33" fillId="0" borderId="35" xfId="0" applyNumberFormat="1" applyFont="1" applyBorder="1" applyAlignment="1">
      <alignment horizontal="center" vertical="center"/>
    </xf>
    <xf numFmtId="166" fontId="35" fillId="40" borderId="18" xfId="0" applyNumberFormat="1" applyFont="1" applyFill="1" applyBorder="1" applyAlignment="1">
      <alignment horizontal="center" vertical="center" wrapText="1"/>
    </xf>
    <xf numFmtId="170" fontId="33" fillId="0" borderId="18" xfId="0" applyNumberFormat="1" applyFont="1" applyBorder="1" applyAlignment="1">
      <alignment horizontal="center" vertical="center"/>
    </xf>
    <xf numFmtId="166" fontId="33" fillId="37" borderId="18" xfId="0" applyNumberFormat="1" applyFont="1" applyFill="1" applyBorder="1" applyAlignment="1">
      <alignment horizontal="center" vertical="center" wrapText="1"/>
    </xf>
    <xf numFmtId="166" fontId="33" fillId="0" borderId="18" xfId="0" applyNumberFormat="1" applyFont="1" applyBorder="1" applyAlignment="1">
      <alignment horizontal="center" vertical="center"/>
    </xf>
    <xf numFmtId="176" fontId="33" fillId="0" borderId="18" xfId="0" applyNumberFormat="1" applyFont="1" applyBorder="1" applyAlignment="1">
      <alignment horizontal="center" vertical="center"/>
    </xf>
    <xf numFmtId="166" fontId="35" fillId="40" borderId="10" xfId="0" applyNumberFormat="1" applyFont="1" applyFill="1" applyBorder="1" applyAlignment="1">
      <alignment horizontal="center" vertical="center" wrapText="1"/>
    </xf>
    <xf numFmtId="170" fontId="33" fillId="0" borderId="10" xfId="0" applyNumberFormat="1" applyFont="1" applyBorder="1" applyAlignment="1">
      <alignment horizontal="center" vertical="center"/>
    </xf>
    <xf numFmtId="166" fontId="33" fillId="37" borderId="10" xfId="0" applyNumberFormat="1" applyFont="1" applyFill="1" applyBorder="1" applyAlignment="1">
      <alignment horizontal="center" vertical="center" wrapText="1"/>
    </xf>
    <xf numFmtId="166" fontId="33" fillId="0" borderId="11" xfId="0" applyNumberFormat="1" applyFont="1" applyBorder="1" applyAlignment="1">
      <alignment horizontal="center" vertical="center"/>
    </xf>
    <xf numFmtId="0" fontId="35" fillId="38" borderId="10" xfId="0" applyFont="1" applyFill="1" applyBorder="1" applyAlignment="1">
      <alignment horizontal="center" vertical="center" wrapText="1"/>
    </xf>
    <xf numFmtId="0" fontId="33" fillId="41" borderId="10" xfId="0" applyFont="1" applyFill="1" applyBorder="1" applyAlignment="1">
      <alignment horizontal="center" vertical="center" wrapText="1"/>
    </xf>
    <xf numFmtId="0" fontId="33" fillId="24" borderId="10" xfId="0" applyFont="1" applyFill="1" applyBorder="1" applyAlignment="1">
      <alignment horizontal="center" vertical="center" wrapText="1"/>
    </xf>
    <xf numFmtId="0" fontId="33" fillId="40" borderId="10" xfId="0" applyFont="1" applyFill="1" applyBorder="1" applyAlignment="1">
      <alignment horizontal="center" vertical="center" wrapText="1"/>
    </xf>
    <xf numFmtId="0" fontId="33" fillId="40" borderId="68" xfId="0" applyFont="1" applyFill="1" applyBorder="1" applyAlignment="1">
      <alignment horizontal="center" vertical="center" wrapText="1"/>
    </xf>
    <xf numFmtId="0" fontId="33" fillId="24" borderId="68" xfId="0" applyFont="1" applyFill="1" applyBorder="1" applyAlignment="1">
      <alignment horizontal="center" vertical="center" wrapText="1"/>
    </xf>
    <xf numFmtId="0" fontId="33" fillId="41" borderId="32" xfId="0" applyFont="1" applyFill="1" applyBorder="1" applyAlignment="1">
      <alignment horizontal="center" vertical="center" wrapText="1"/>
    </xf>
    <xf numFmtId="0" fontId="33" fillId="24" borderId="32" xfId="0" applyFont="1" applyFill="1" applyBorder="1" applyAlignment="1">
      <alignment horizontal="center" vertical="center" wrapText="1"/>
    </xf>
    <xf numFmtId="0" fontId="33" fillId="57" borderId="70" xfId="0" applyFont="1" applyFill="1" applyBorder="1" applyAlignment="1">
      <alignment horizontal="center" vertical="center" wrapText="1"/>
    </xf>
    <xf numFmtId="0" fontId="33" fillId="49" borderId="70" xfId="0" applyFont="1" applyFill="1" applyBorder="1" applyAlignment="1">
      <alignment horizontal="center" vertical="center"/>
    </xf>
    <xf numFmtId="10" fontId="33" fillId="49" borderId="70" xfId="0" applyNumberFormat="1" applyFont="1" applyFill="1" applyBorder="1" applyAlignment="1">
      <alignment horizontal="center" vertical="center"/>
    </xf>
    <xf numFmtId="0" fontId="33" fillId="47" borderId="0" xfId="0" applyFont="1" applyFill="1"/>
    <xf numFmtId="0" fontId="33" fillId="57" borderId="0" xfId="0" applyFont="1" applyFill="1" applyAlignment="1">
      <alignment horizontal="center" vertical="center" wrapText="1"/>
    </xf>
    <xf numFmtId="0" fontId="33" fillId="49" borderId="0" xfId="0" applyFont="1" applyFill="1" applyAlignment="1">
      <alignment horizontal="center" vertical="center"/>
    </xf>
    <xf numFmtId="10" fontId="33" fillId="49" borderId="0" xfId="0" applyNumberFormat="1" applyFont="1" applyFill="1" applyAlignment="1">
      <alignment horizontal="center" vertical="center"/>
    </xf>
    <xf numFmtId="0" fontId="33" fillId="24" borderId="0" xfId="0" applyFont="1" applyFill="1"/>
    <xf numFmtId="0" fontId="33" fillId="57" borderId="0" xfId="0" applyFont="1" applyFill="1" applyAlignment="1">
      <alignment horizontal="left"/>
    </xf>
    <xf numFmtId="176" fontId="33" fillId="57" borderId="0" xfId="0" applyNumberFormat="1" applyFont="1" applyFill="1"/>
    <xf numFmtId="0" fontId="33" fillId="57" borderId="0" xfId="0" applyFont="1" applyFill="1"/>
    <xf numFmtId="0" fontId="33" fillId="0" borderId="0" xfId="0" applyFont="1" applyAlignment="1">
      <alignment horizontal="center" vertical="center" wrapText="1"/>
    </xf>
    <xf numFmtId="172" fontId="33" fillId="0" borderId="21" xfId="0" applyNumberFormat="1" applyFont="1" applyBorder="1" applyAlignment="1">
      <alignment horizontal="center" vertical="center" wrapText="1"/>
    </xf>
    <xf numFmtId="10" fontId="33" fillId="0" borderId="0" xfId="0" applyNumberFormat="1" applyFont="1" applyAlignment="1">
      <alignment horizontal="center" vertical="center" wrapText="1"/>
    </xf>
    <xf numFmtId="0" fontId="0" fillId="0" borderId="21" xfId="0" applyBorder="1" applyAlignment="1">
      <alignment horizontal="center" wrapText="1"/>
    </xf>
    <xf numFmtId="0" fontId="33" fillId="0" borderId="18" xfId="0" applyFont="1" applyBorder="1" applyAlignment="1">
      <alignment horizontal="center" vertical="center"/>
    </xf>
    <xf numFmtId="0" fontId="0" fillId="0" borderId="21" xfId="0" applyBorder="1" applyAlignment="1">
      <alignment horizontal="center" vertical="top" wrapText="1"/>
    </xf>
    <xf numFmtId="10" fontId="37" fillId="0" borderId="18" xfId="0" applyNumberFormat="1" applyFont="1" applyBorder="1" applyAlignment="1">
      <alignment horizontal="center" vertical="center"/>
    </xf>
    <xf numFmtId="176" fontId="33" fillId="42" borderId="18" xfId="0" applyNumberFormat="1" applyFont="1" applyFill="1" applyBorder="1" applyAlignment="1" applyProtection="1">
      <alignment horizontal="center" vertical="center"/>
      <protection locked="0"/>
    </xf>
    <xf numFmtId="0" fontId="24" fillId="26" borderId="21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1" fontId="0" fillId="0" borderId="21" xfId="0" applyNumberForma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left" vertical="center"/>
    </xf>
    <xf numFmtId="0" fontId="23" fillId="26" borderId="21" xfId="0" applyFont="1" applyFill="1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19" fillId="0" borderId="21" xfId="0" applyFont="1" applyBorder="1" applyAlignment="1">
      <alignment vertical="center" wrapText="1"/>
    </xf>
    <xf numFmtId="176" fontId="39" fillId="34" borderId="18" xfId="0" applyNumberFormat="1" applyFont="1" applyFill="1" applyBorder="1" applyAlignment="1">
      <alignment horizontal="center" vertical="center"/>
    </xf>
    <xf numFmtId="168" fontId="33" fillId="0" borderId="76" xfId="0" applyNumberFormat="1" applyFont="1" applyBorder="1" applyAlignment="1">
      <alignment horizontal="center" vertical="center"/>
    </xf>
    <xf numFmtId="168" fontId="33" fillId="0" borderId="84" xfId="0" applyNumberFormat="1" applyFont="1" applyBorder="1" applyAlignment="1">
      <alignment horizontal="center" vertical="center"/>
    </xf>
    <xf numFmtId="168" fontId="33" fillId="0" borderId="18" xfId="0" applyNumberFormat="1" applyFont="1" applyBorder="1" applyAlignment="1">
      <alignment horizontal="center" vertical="center"/>
    </xf>
    <xf numFmtId="178" fontId="33" fillId="0" borderId="10" xfId="44" applyNumberFormat="1" applyFont="1" applyBorder="1" applyAlignment="1" applyProtection="1">
      <alignment horizontal="center" vertical="center" wrapText="1"/>
    </xf>
    <xf numFmtId="0" fontId="46" fillId="31" borderId="36" xfId="0" applyFont="1" applyFill="1" applyBorder="1" applyAlignment="1">
      <alignment horizontal="center" vertical="center"/>
    </xf>
    <xf numFmtId="0" fontId="46" fillId="31" borderId="36" xfId="0" applyFont="1" applyFill="1" applyBorder="1" applyAlignment="1">
      <alignment horizontal="center" vertical="center" wrapText="1"/>
    </xf>
    <xf numFmtId="0" fontId="47" fillId="32" borderId="36" xfId="0" applyFont="1" applyFill="1" applyBorder="1" applyAlignment="1">
      <alignment horizontal="left" vertical="center"/>
    </xf>
    <xf numFmtId="0" fontId="47" fillId="0" borderId="36" xfId="0" applyFont="1" applyBorder="1" applyAlignment="1">
      <alignment vertical="center"/>
    </xf>
    <xf numFmtId="177" fontId="47" fillId="0" borderId="36" xfId="48" applyFont="1" applyBorder="1" applyAlignment="1">
      <alignment horizontal="center" vertical="center"/>
    </xf>
    <xf numFmtId="0" fontId="47" fillId="39" borderId="36" xfId="0" applyFont="1" applyFill="1" applyBorder="1" applyAlignment="1">
      <alignment vertical="center"/>
    </xf>
    <xf numFmtId="177" fontId="47" fillId="39" borderId="36" xfId="48" applyFont="1" applyFill="1" applyBorder="1" applyAlignment="1">
      <alignment horizontal="center" vertical="center"/>
    </xf>
    <xf numFmtId="0" fontId="46" fillId="39" borderId="36" xfId="0" applyFont="1" applyFill="1" applyBorder="1" applyAlignment="1">
      <alignment horizontal="center" vertical="center"/>
    </xf>
    <xf numFmtId="0" fontId="47" fillId="47" borderId="36" xfId="0" applyFont="1" applyFill="1" applyBorder="1" applyAlignment="1">
      <alignment vertical="center"/>
    </xf>
    <xf numFmtId="177" fontId="47" fillId="47" borderId="36" xfId="48" applyFont="1" applyFill="1" applyBorder="1" applyAlignment="1">
      <alignment horizontal="center" vertical="center"/>
    </xf>
    <xf numFmtId="177" fontId="47" fillId="39" borderId="18" xfId="48" applyFont="1" applyFill="1" applyBorder="1" applyAlignment="1">
      <alignment horizontal="center" vertical="center"/>
    </xf>
    <xf numFmtId="176" fontId="33" fillId="0" borderId="84" xfId="31" applyNumberFormat="1" applyFont="1" applyFill="1" applyBorder="1" applyAlignment="1" applyProtection="1">
      <alignment horizontal="center" vertical="center"/>
    </xf>
    <xf numFmtId="176" fontId="33" fillId="0" borderId="66" xfId="31" applyNumberFormat="1" applyFont="1" applyFill="1" applyBorder="1" applyAlignment="1" applyProtection="1">
      <alignment horizontal="center" vertical="center"/>
    </xf>
    <xf numFmtId="3" fontId="33" fillId="47" borderId="10" xfId="0" applyNumberFormat="1" applyFont="1" applyFill="1" applyBorder="1" applyAlignment="1" applyProtection="1">
      <alignment horizontal="center" vertical="center" wrapText="1"/>
      <protection locked="0"/>
    </xf>
    <xf numFmtId="176" fontId="22" fillId="0" borderId="59" xfId="31" applyNumberFormat="1" applyFill="1" applyBorder="1" applyAlignment="1" applyProtection="1">
      <alignment horizontal="center" vertical="center" readingOrder="1"/>
    </xf>
    <xf numFmtId="176" fontId="22" fillId="0" borderId="18" xfId="31" applyNumberFormat="1" applyFill="1" applyBorder="1" applyAlignment="1" applyProtection="1">
      <alignment horizontal="center" vertical="center" readingOrder="1"/>
    </xf>
    <xf numFmtId="14" fontId="33" fillId="0" borderId="81" xfId="0" applyNumberFormat="1" applyFont="1" applyBorder="1" applyAlignment="1">
      <alignment horizontal="center" vertical="center"/>
    </xf>
    <xf numFmtId="176" fontId="20" fillId="30" borderId="18" xfId="31" applyNumberFormat="1" applyFont="1" applyFill="1" applyBorder="1" applyAlignment="1" applyProtection="1">
      <alignment horizontal="center" vertical="center"/>
    </xf>
    <xf numFmtId="4" fontId="35" fillId="30" borderId="27" xfId="0" applyNumberFormat="1" applyFont="1" applyFill="1" applyBorder="1" applyAlignment="1">
      <alignment horizontal="center" vertical="center"/>
    </xf>
    <xf numFmtId="4" fontId="35" fillId="30" borderId="87" xfId="0" applyNumberFormat="1" applyFont="1" applyFill="1" applyBorder="1" applyAlignment="1">
      <alignment horizontal="center" vertical="center"/>
    </xf>
    <xf numFmtId="4" fontId="35" fillId="30" borderId="35" xfId="0" applyNumberFormat="1" applyFont="1" applyFill="1" applyBorder="1" applyAlignment="1">
      <alignment horizontal="center" vertical="center"/>
    </xf>
    <xf numFmtId="176" fontId="0" fillId="0" borderId="18" xfId="0" applyNumberFormat="1" applyBorder="1" applyAlignment="1">
      <alignment horizontal="center"/>
    </xf>
    <xf numFmtId="176" fontId="20" fillId="30" borderId="14" xfId="31" applyNumberFormat="1" applyFont="1" applyFill="1" applyBorder="1" applyAlignment="1" applyProtection="1">
      <alignment horizontal="center" vertical="center"/>
    </xf>
    <xf numFmtId="4" fontId="35" fillId="30" borderId="24" xfId="0" applyNumberFormat="1" applyFont="1" applyFill="1" applyBorder="1" applyAlignment="1">
      <alignment horizontal="center" vertical="center"/>
    </xf>
    <xf numFmtId="168" fontId="33" fillId="49" borderId="18" xfId="0" applyNumberFormat="1" applyFont="1" applyFill="1" applyBorder="1" applyAlignment="1">
      <alignment horizontal="center" vertical="center"/>
    </xf>
    <xf numFmtId="168" fontId="20" fillId="30" borderId="18" xfId="0" applyNumberFormat="1" applyFont="1" applyFill="1" applyBorder="1" applyAlignment="1">
      <alignment horizontal="center" vertical="center"/>
    </xf>
    <xf numFmtId="168" fontId="33" fillId="0" borderId="18" xfId="0" applyNumberFormat="1" applyFont="1" applyBorder="1" applyAlignment="1">
      <alignment horizontal="center"/>
    </xf>
    <xf numFmtId="168" fontId="35" fillId="30" borderId="18" xfId="0" applyNumberFormat="1" applyFont="1" applyFill="1" applyBorder="1" applyAlignment="1">
      <alignment horizontal="center"/>
    </xf>
    <xf numFmtId="0" fontId="0" fillId="0" borderId="42" xfId="0" applyBorder="1"/>
    <xf numFmtId="176" fontId="35" fillId="30" borderId="18" xfId="31" applyNumberFormat="1" applyFont="1" applyFill="1" applyBorder="1" applyAlignment="1" applyProtection="1">
      <alignment horizontal="center" vertical="center"/>
    </xf>
    <xf numFmtId="168" fontId="33" fillId="0" borderId="59" xfId="0" applyNumberFormat="1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 wrapText="1"/>
    </xf>
    <xf numFmtId="0" fontId="0" fillId="0" borderId="47" xfId="0" applyBorder="1" applyAlignment="1">
      <alignment horizontal="center" vertical="center"/>
    </xf>
    <xf numFmtId="10" fontId="33" fillId="49" borderId="18" xfId="0" applyNumberFormat="1" applyFont="1" applyFill="1" applyBorder="1" applyAlignment="1">
      <alignment horizontal="center" vertical="center"/>
    </xf>
    <xf numFmtId="0" fontId="33" fillId="49" borderId="18" xfId="0" applyFont="1" applyFill="1" applyBorder="1" applyAlignment="1">
      <alignment horizontal="center" vertical="center"/>
    </xf>
    <xf numFmtId="0" fontId="33" fillId="0" borderId="28" xfId="0" applyFont="1" applyBorder="1" applyAlignment="1">
      <alignment horizontal="center" vertical="center"/>
    </xf>
    <xf numFmtId="168" fontId="35" fillId="30" borderId="18" xfId="0" applyNumberFormat="1" applyFont="1" applyFill="1" applyBorder="1" applyAlignment="1">
      <alignment horizontal="center" vertical="center"/>
    </xf>
    <xf numFmtId="4" fontId="35" fillId="30" borderId="57" xfId="0" applyNumberFormat="1" applyFont="1" applyFill="1" applyBorder="1" applyAlignment="1">
      <alignment horizontal="center" vertical="center"/>
    </xf>
    <xf numFmtId="4" fontId="35" fillId="30" borderId="58" xfId="0" applyNumberFormat="1" applyFont="1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168" fontId="0" fillId="0" borderId="42" xfId="0" applyNumberFormat="1" applyBorder="1" applyAlignment="1">
      <alignment horizontal="center" vertical="center"/>
    </xf>
    <xf numFmtId="10" fontId="33" fillId="47" borderId="10" xfId="0" applyNumberFormat="1" applyFont="1" applyFill="1" applyBorder="1" applyAlignment="1" applyProtection="1">
      <alignment horizontal="center" vertical="center"/>
    </xf>
    <xf numFmtId="0" fontId="33" fillId="0" borderId="20" xfId="0" applyFont="1" applyBorder="1"/>
    <xf numFmtId="0" fontId="33" fillId="0" borderId="10" xfId="0" applyFont="1" applyBorder="1" applyAlignment="1">
      <alignment horizontal="right" vertical="center"/>
    </xf>
    <xf numFmtId="0" fontId="33" fillId="0" borderId="10" xfId="0" applyFont="1" applyBorder="1" applyAlignment="1">
      <alignment horizontal="center" vertical="center"/>
    </xf>
    <xf numFmtId="0" fontId="33" fillId="0" borderId="10" xfId="0" applyFont="1" applyBorder="1" applyAlignment="1">
      <alignment horizontal="left" vertical="center"/>
    </xf>
    <xf numFmtId="0" fontId="33" fillId="49" borderId="10" xfId="0" applyFont="1" applyFill="1" applyBorder="1" applyAlignment="1">
      <alignment horizontal="center" vertical="center"/>
    </xf>
    <xf numFmtId="10" fontId="33" fillId="0" borderId="10" xfId="44" applyNumberFormat="1" applyFont="1" applyFill="1" applyBorder="1" applyAlignment="1" applyProtection="1">
      <alignment horizontal="center" vertical="center"/>
    </xf>
    <xf numFmtId="168" fontId="33" fillId="0" borderId="14" xfId="0" applyNumberFormat="1" applyFont="1" applyBorder="1" applyAlignment="1">
      <alignment horizontal="center" vertical="center"/>
    </xf>
    <xf numFmtId="168" fontId="33" fillId="0" borderId="10" xfId="0" applyNumberFormat="1" applyFont="1" applyBorder="1" applyAlignment="1">
      <alignment horizontal="center" vertical="center"/>
    </xf>
    <xf numFmtId="176" fontId="33" fillId="0" borderId="10" xfId="31" applyNumberFormat="1" applyFont="1" applyFill="1" applyBorder="1" applyAlignment="1" applyProtection="1">
      <alignment horizontal="center" vertical="center"/>
    </xf>
    <xf numFmtId="10" fontId="33" fillId="0" borderId="10" xfId="0" applyNumberFormat="1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5" fillId="30" borderId="14" xfId="0" applyFont="1" applyFill="1" applyBorder="1" applyAlignment="1">
      <alignment horizontal="center" vertical="center"/>
    </xf>
    <xf numFmtId="0" fontId="33" fillId="30" borderId="10" xfId="0" applyFont="1" applyFill="1" applyBorder="1" applyAlignment="1">
      <alignment horizontal="center" vertical="center"/>
    </xf>
    <xf numFmtId="176" fontId="33" fillId="0" borderId="18" xfId="31" applyNumberFormat="1" applyFont="1" applyFill="1" applyBorder="1" applyAlignment="1" applyProtection="1">
      <alignment horizontal="center" vertical="center"/>
    </xf>
    <xf numFmtId="166" fontId="53" fillId="27" borderId="10" xfId="0" applyNumberFormat="1" applyFont="1" applyFill="1" applyBorder="1" applyAlignment="1" applyProtection="1">
      <alignment horizontal="center" vertical="center"/>
      <protection locked="0"/>
    </xf>
    <xf numFmtId="0" fontId="19" fillId="0" borderId="47" xfId="0" applyFont="1" applyBorder="1" applyAlignment="1">
      <alignment vertical="center" wrapText="1"/>
    </xf>
    <xf numFmtId="168" fontId="33" fillId="0" borderId="10" xfId="0" applyNumberFormat="1" applyFont="1" applyBorder="1" applyAlignment="1">
      <alignment horizontal="center" vertical="center"/>
    </xf>
    <xf numFmtId="168" fontId="33" fillId="0" borderId="18" xfId="0" applyNumberFormat="1" applyFont="1" applyBorder="1" applyAlignment="1">
      <alignment horizontal="center" vertical="center"/>
    </xf>
    <xf numFmtId="176" fontId="33" fillId="0" borderId="18" xfId="31" applyNumberFormat="1" applyFont="1" applyFill="1" applyBorder="1" applyAlignment="1" applyProtection="1">
      <alignment horizontal="center" vertical="center"/>
    </xf>
    <xf numFmtId="0" fontId="0" fillId="0" borderId="0" xfId="0" applyBorder="1"/>
    <xf numFmtId="0" fontId="35" fillId="30" borderId="14" xfId="0" applyFont="1" applyFill="1" applyBorder="1" applyAlignment="1">
      <alignment vertical="center"/>
    </xf>
    <xf numFmtId="0" fontId="33" fillId="30" borderId="14" xfId="0" applyFont="1" applyFill="1" applyBorder="1" applyAlignment="1">
      <alignment horizontal="center"/>
    </xf>
    <xf numFmtId="0" fontId="33" fillId="30" borderId="10" xfId="0" applyFont="1" applyFill="1" applyBorder="1" applyAlignment="1">
      <alignment horizontal="center"/>
    </xf>
    <xf numFmtId="0" fontId="47" fillId="59" borderId="36" xfId="0" applyFont="1" applyFill="1" applyBorder="1" applyAlignment="1">
      <alignment horizontal="left" vertical="center"/>
    </xf>
    <xf numFmtId="0" fontId="55" fillId="32" borderId="36" xfId="0" applyFont="1" applyFill="1" applyBorder="1" applyAlignment="1">
      <alignment horizontal="left" vertical="center"/>
    </xf>
    <xf numFmtId="0" fontId="47" fillId="0" borderId="18" xfId="0" applyFont="1" applyBorder="1" applyAlignment="1">
      <alignment vertical="center"/>
    </xf>
    <xf numFmtId="176" fontId="47" fillId="32" borderId="36" xfId="0" applyNumberFormat="1" applyFont="1" applyFill="1" applyBorder="1" applyAlignment="1">
      <alignment horizontal="center" vertical="center" wrapText="1"/>
    </xf>
    <xf numFmtId="0" fontId="33" fillId="0" borderId="0" xfId="0" applyFont="1"/>
    <xf numFmtId="10" fontId="37" fillId="0" borderId="18" xfId="44" applyNumberFormat="1" applyFont="1" applyFill="1" applyBorder="1" applyAlignment="1" applyProtection="1">
      <alignment horizontal="center" vertical="center"/>
    </xf>
    <xf numFmtId="0" fontId="33" fillId="30" borderId="15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176" fontId="33" fillId="0" borderId="59" xfId="31" applyNumberFormat="1" applyFont="1" applyFill="1" applyBorder="1" applyAlignment="1" applyProtection="1">
      <alignment horizontal="center" vertical="center"/>
    </xf>
    <xf numFmtId="10" fontId="33" fillId="0" borderId="59" xfId="0" applyNumberFormat="1" applyFont="1" applyBorder="1" applyAlignment="1">
      <alignment horizontal="center" vertical="center"/>
    </xf>
    <xf numFmtId="176" fontId="33" fillId="0" borderId="18" xfId="31" applyNumberFormat="1" applyFont="1" applyFill="1" applyBorder="1" applyAlignment="1" applyProtection="1">
      <alignment horizontal="center" vertical="center"/>
    </xf>
    <xf numFmtId="176" fontId="33" fillId="0" borderId="57" xfId="31" applyNumberFormat="1" applyFont="1" applyFill="1" applyBorder="1" applyAlignment="1" applyProtection="1">
      <alignment horizontal="center" vertical="center"/>
    </xf>
    <xf numFmtId="0" fontId="33" fillId="0" borderId="18" xfId="0" applyFont="1" applyBorder="1" applyAlignment="1">
      <alignment horizontal="center" vertical="center"/>
    </xf>
    <xf numFmtId="176" fontId="55" fillId="32" borderId="36" xfId="0" applyNumberFormat="1" applyFont="1" applyFill="1" applyBorder="1" applyAlignment="1">
      <alignment horizontal="center" vertical="center"/>
    </xf>
    <xf numFmtId="166" fontId="33" fillId="0" borderId="68" xfId="0" applyNumberFormat="1" applyFont="1" applyBorder="1" applyAlignment="1">
      <alignment horizontal="center" vertical="center" wrapText="1"/>
    </xf>
    <xf numFmtId="10" fontId="33" fillId="49" borderId="68" xfId="44" applyNumberFormat="1" applyFont="1" applyFill="1" applyBorder="1" applyAlignment="1" applyProtection="1">
      <alignment horizontal="center" vertical="center"/>
    </xf>
    <xf numFmtId="10" fontId="33" fillId="0" borderId="68" xfId="0" applyNumberFormat="1" applyFont="1" applyBorder="1" applyAlignment="1">
      <alignment horizontal="center" vertical="center"/>
    </xf>
    <xf numFmtId="0" fontId="33" fillId="0" borderId="0" xfId="0" applyFont="1" applyAlignment="1">
      <alignment vertical="center"/>
    </xf>
    <xf numFmtId="176" fontId="0" fillId="0" borderId="42" xfId="0" applyNumberFormat="1" applyBorder="1" applyAlignment="1">
      <alignment horizontal="center" vertical="center"/>
    </xf>
    <xf numFmtId="0" fontId="50" fillId="47" borderId="18" xfId="0" applyFont="1" applyFill="1" applyBorder="1" applyAlignment="1">
      <alignment vertical="center"/>
    </xf>
    <xf numFmtId="176" fontId="50" fillId="47" borderId="18" xfId="0" applyNumberFormat="1" applyFont="1" applyFill="1" applyBorder="1" applyAlignment="1">
      <alignment horizontal="center" vertical="center"/>
    </xf>
    <xf numFmtId="176" fontId="22" fillId="0" borderId="42" xfId="31" applyNumberFormat="1" applyBorder="1"/>
    <xf numFmtId="176" fontId="0" fillId="0" borderId="42" xfId="0" applyNumberFormat="1" applyBorder="1"/>
    <xf numFmtId="0" fontId="29" fillId="0" borderId="47" xfId="0" applyFont="1" applyBorder="1" applyAlignment="1" applyProtection="1">
      <alignment horizontal="center" vertical="center" wrapText="1"/>
      <protection locked="0"/>
    </xf>
    <xf numFmtId="4" fontId="42" fillId="64" borderId="47" xfId="0" applyNumberFormat="1" applyFont="1" applyFill="1" applyBorder="1" applyAlignment="1" applyProtection="1">
      <alignment horizontal="center" vertical="center" wrapText="1"/>
    </xf>
    <xf numFmtId="3" fontId="29" fillId="0" borderId="47" xfId="0" applyNumberFormat="1" applyFont="1" applyBorder="1" applyAlignment="1" applyProtection="1">
      <alignment horizontal="center" vertical="center" wrapText="1"/>
      <protection locked="0"/>
    </xf>
    <xf numFmtId="1" fontId="29" fillId="39" borderId="48" xfId="0" applyNumberFormat="1" applyFont="1" applyFill="1" applyBorder="1" applyAlignment="1" applyProtection="1">
      <alignment horizontal="center" vertical="center" wrapText="1"/>
    </xf>
    <xf numFmtId="1" fontId="29" fillId="39" borderId="47" xfId="0" applyNumberFormat="1" applyFont="1" applyFill="1" applyBorder="1" applyAlignment="1" applyProtection="1">
      <alignment horizontal="center" vertical="center" wrapText="1"/>
    </xf>
    <xf numFmtId="0" fontId="29" fillId="39" borderId="47" xfId="0" applyFont="1" applyFill="1" applyBorder="1" applyAlignment="1" applyProtection="1">
      <alignment horizontal="center" vertical="center" wrapText="1"/>
    </xf>
    <xf numFmtId="1" fontId="29" fillId="0" borderId="48" xfId="0" applyNumberFormat="1" applyFont="1" applyBorder="1" applyAlignment="1" applyProtection="1">
      <alignment horizontal="center" vertical="center" wrapText="1"/>
    </xf>
    <xf numFmtId="1" fontId="29" fillId="0" borderId="47" xfId="0" applyNumberFormat="1" applyFont="1" applyBorder="1" applyAlignment="1" applyProtection="1">
      <alignment horizontal="center" vertical="center" wrapText="1"/>
    </xf>
    <xf numFmtId="0" fontId="29" fillId="0" borderId="47" xfId="0" applyFont="1" applyBorder="1" applyAlignment="1" applyProtection="1">
      <alignment horizontal="center" vertical="center" wrapText="1"/>
    </xf>
    <xf numFmtId="1" fontId="56" fillId="63" borderId="48" xfId="0" applyNumberFormat="1" applyFont="1" applyFill="1" applyBorder="1" applyAlignment="1" applyProtection="1">
      <alignment horizontal="center" vertical="center" wrapText="1"/>
    </xf>
    <xf numFmtId="0" fontId="42" fillId="63" borderId="47" xfId="0" applyNumberFormat="1" applyFont="1" applyFill="1" applyBorder="1" applyAlignment="1" applyProtection="1">
      <alignment horizontal="center" vertical="center" wrapText="1"/>
    </xf>
    <xf numFmtId="179" fontId="42" fillId="39" borderId="47" xfId="0" applyNumberFormat="1" applyFont="1" applyFill="1" applyBorder="1" applyAlignment="1" applyProtection="1">
      <alignment horizontal="center" vertical="center" wrapText="1"/>
    </xf>
    <xf numFmtId="4" fontId="29" fillId="54" borderId="47" xfId="0" applyNumberFormat="1" applyFont="1" applyFill="1" applyBorder="1" applyAlignment="1" applyProtection="1">
      <alignment horizontal="center" vertical="center"/>
    </xf>
    <xf numFmtId="1" fontId="58" fillId="39" borderId="47" xfId="0" applyNumberFormat="1" applyFont="1" applyFill="1" applyBorder="1" applyAlignment="1" applyProtection="1">
      <alignment horizontal="center" vertical="center" wrapText="1"/>
    </xf>
    <xf numFmtId="0" fontId="58" fillId="39" borderId="47" xfId="0" applyFont="1" applyFill="1" applyBorder="1" applyAlignment="1" applyProtection="1">
      <alignment horizontal="center" vertical="center" wrapText="1"/>
    </xf>
    <xf numFmtId="0" fontId="51" fillId="0" borderId="47" xfId="0" applyFont="1" applyBorder="1" applyAlignment="1">
      <alignment horizontal="center" vertical="center" wrapText="1"/>
    </xf>
    <xf numFmtId="4" fontId="42" fillId="63" borderId="48" xfId="0" applyNumberFormat="1" applyFont="1" applyFill="1" applyBorder="1" applyAlignment="1" applyProtection="1">
      <alignment horizontal="center" vertical="center" wrapText="1"/>
    </xf>
    <xf numFmtId="0" fontId="33" fillId="0" borderId="20" xfId="0" applyFont="1" applyBorder="1"/>
    <xf numFmtId="0" fontId="33" fillId="0" borderId="0" xfId="0" applyFont="1" applyAlignment="1">
      <alignment horizontal="center" vertical="center"/>
    </xf>
    <xf numFmtId="0" fontId="33" fillId="0" borderId="10" xfId="0" applyFont="1" applyBorder="1" applyAlignment="1">
      <alignment horizontal="left" vertical="center"/>
    </xf>
    <xf numFmtId="10" fontId="33" fillId="0" borderId="10" xfId="0" applyNumberFormat="1" applyFont="1" applyBorder="1" applyAlignment="1">
      <alignment horizontal="center" vertical="center"/>
    </xf>
    <xf numFmtId="176" fontId="33" fillId="0" borderId="10" xfId="31" applyNumberFormat="1" applyFont="1" applyFill="1" applyBorder="1" applyAlignment="1" applyProtection="1">
      <alignment horizontal="center" vertical="center"/>
    </xf>
    <xf numFmtId="10" fontId="33" fillId="0" borderId="10" xfId="44" applyNumberFormat="1" applyFont="1" applyFill="1" applyBorder="1" applyAlignment="1" applyProtection="1">
      <alignment horizontal="center" vertical="center"/>
    </xf>
    <xf numFmtId="0" fontId="33" fillId="0" borderId="10" xfId="0" applyFont="1" applyBorder="1" applyAlignment="1">
      <alignment horizontal="right" vertical="center"/>
    </xf>
    <xf numFmtId="0" fontId="33" fillId="0" borderId="10" xfId="0" applyFont="1" applyBorder="1" applyAlignment="1">
      <alignment horizontal="center" vertical="center"/>
    </xf>
    <xf numFmtId="168" fontId="33" fillId="0" borderId="14" xfId="0" applyNumberFormat="1" applyFont="1" applyBorder="1" applyAlignment="1">
      <alignment horizontal="center" vertical="center"/>
    </xf>
    <xf numFmtId="168" fontId="33" fillId="0" borderId="10" xfId="0" applyNumberFormat="1" applyFont="1" applyBorder="1" applyAlignment="1">
      <alignment horizontal="center" vertical="center"/>
    </xf>
    <xf numFmtId="0" fontId="33" fillId="49" borderId="10" xfId="0" applyFont="1" applyFill="1" applyBorder="1" applyAlignment="1">
      <alignment horizontal="center" vertical="center"/>
    </xf>
    <xf numFmtId="0" fontId="33" fillId="0" borderId="12" xfId="0" applyFont="1" applyBorder="1"/>
    <xf numFmtId="0" fontId="33" fillId="0" borderId="15" xfId="0" applyFont="1" applyBorder="1" applyAlignment="1">
      <alignment horizontal="center" vertical="center"/>
    </xf>
    <xf numFmtId="0" fontId="35" fillId="30" borderId="10" xfId="0" applyFont="1" applyFill="1" applyBorder="1" applyAlignment="1">
      <alignment horizontal="center" vertical="center"/>
    </xf>
    <xf numFmtId="0" fontId="35" fillId="30" borderId="14" xfId="0" applyFont="1" applyFill="1" applyBorder="1" applyAlignment="1">
      <alignment horizontal="center" vertical="center"/>
    </xf>
    <xf numFmtId="0" fontId="33" fillId="30" borderId="10" xfId="0" applyFont="1" applyFill="1" applyBorder="1" applyAlignment="1">
      <alignment horizontal="center" vertical="center"/>
    </xf>
    <xf numFmtId="176" fontId="33" fillId="0" borderId="59" xfId="31" applyNumberFormat="1" applyFont="1" applyFill="1" applyBorder="1" applyAlignment="1" applyProtection="1">
      <alignment horizontal="center" vertical="center"/>
    </xf>
    <xf numFmtId="168" fontId="33" fillId="0" borderId="59" xfId="0" applyNumberFormat="1" applyFont="1" applyBorder="1" applyAlignment="1">
      <alignment horizontal="center" vertical="center"/>
    </xf>
    <xf numFmtId="168" fontId="33" fillId="0" borderId="18" xfId="0" applyNumberFormat="1" applyFont="1" applyBorder="1" applyAlignment="1">
      <alignment horizontal="center" vertical="center"/>
    </xf>
    <xf numFmtId="176" fontId="33" fillId="0" borderId="18" xfId="31" applyNumberFormat="1" applyFont="1" applyFill="1" applyBorder="1" applyAlignment="1" applyProtection="1">
      <alignment horizontal="center" vertical="center"/>
    </xf>
    <xf numFmtId="10" fontId="33" fillId="0" borderId="59" xfId="0" applyNumberFormat="1" applyFont="1" applyBorder="1" applyAlignment="1">
      <alignment horizontal="center" vertical="center"/>
    </xf>
    <xf numFmtId="0" fontId="35" fillId="30" borderId="59" xfId="0" applyFont="1" applyFill="1" applyBorder="1" applyAlignment="1">
      <alignment horizontal="center" vertical="center"/>
    </xf>
    <xf numFmtId="1" fontId="59" fillId="66" borderId="56" xfId="0" applyNumberFormat="1" applyFont="1" applyFill="1" applyBorder="1" applyAlignment="1" applyProtection="1">
      <alignment horizontal="center" vertical="center" wrapText="1"/>
      <protection locked="0"/>
    </xf>
    <xf numFmtId="1" fontId="59" fillId="67" borderId="56" xfId="0" applyNumberFormat="1" applyFont="1" applyFill="1" applyBorder="1" applyAlignment="1" applyProtection="1">
      <alignment horizontal="center" vertical="center" wrapText="1"/>
      <protection locked="0"/>
    </xf>
    <xf numFmtId="181" fontId="0" fillId="0" borderId="47" xfId="0" applyNumberFormat="1" applyBorder="1" applyAlignment="1" applyProtection="1">
      <alignment horizontal="center" vertical="center" wrapText="1"/>
      <protection locked="0"/>
    </xf>
    <xf numFmtId="175" fontId="59" fillId="66" borderId="47" xfId="0" applyNumberFormat="1" applyFont="1" applyFill="1" applyBorder="1" applyAlignment="1" applyProtection="1">
      <alignment horizontal="center" vertical="center" wrapText="1"/>
      <protection locked="0"/>
    </xf>
    <xf numFmtId="0" fontId="59" fillId="65" borderId="47" xfId="0" applyFont="1" applyFill="1" applyBorder="1" applyAlignment="1" applyProtection="1">
      <alignment horizontal="center" vertical="center" wrapText="1"/>
      <protection locked="0"/>
    </xf>
    <xf numFmtId="175" fontId="0" fillId="0" borderId="47" xfId="0" applyNumberFormat="1" applyBorder="1" applyAlignment="1" applyProtection="1">
      <alignment horizontal="center" vertical="center" wrapText="1"/>
      <protection locked="0"/>
    </xf>
    <xf numFmtId="175" fontId="0" fillId="0" borderId="48" xfId="0" applyNumberFormat="1" applyBorder="1" applyAlignment="1" applyProtection="1">
      <alignment horizontal="center" vertical="center" wrapText="1"/>
      <protection locked="0"/>
    </xf>
    <xf numFmtId="0" fontId="0" fillId="44" borderId="0" xfId="0" applyFill="1"/>
    <xf numFmtId="1" fontId="59" fillId="67" borderId="47" xfId="0" applyNumberFormat="1" applyFont="1" applyFill="1" applyBorder="1" applyAlignment="1" applyProtection="1">
      <alignment horizontal="center" vertical="center" wrapText="1"/>
      <protection locked="0"/>
    </xf>
    <xf numFmtId="182" fontId="59" fillId="66" borderId="47" xfId="0" applyNumberFormat="1" applyFont="1" applyFill="1" applyBorder="1" applyAlignment="1" applyProtection="1">
      <alignment horizontal="center" vertical="center" wrapText="1"/>
      <protection locked="0"/>
    </xf>
    <xf numFmtId="182" fontId="0" fillId="44" borderId="47" xfId="0" applyNumberFormat="1" applyFill="1" applyBorder="1" applyAlignment="1" applyProtection="1">
      <alignment horizontal="center" vertical="center" wrapText="1"/>
      <protection locked="0"/>
    </xf>
    <xf numFmtId="182" fontId="36" fillId="44" borderId="47" xfId="0" applyNumberFormat="1" applyFont="1" applyFill="1" applyBorder="1" applyAlignment="1" applyProtection="1">
      <alignment horizontal="center" vertical="center" wrapText="1"/>
      <protection locked="0"/>
    </xf>
    <xf numFmtId="0" fontId="59" fillId="67" borderId="47" xfId="0" applyFont="1" applyFill="1" applyBorder="1" applyAlignment="1" applyProtection="1">
      <alignment horizontal="center" vertical="center" wrapText="1"/>
      <protection locked="0"/>
    </xf>
    <xf numFmtId="1" fontId="59" fillId="66" borderId="47" xfId="0" applyNumberFormat="1" applyFont="1" applyFill="1" applyBorder="1" applyAlignment="1" applyProtection="1">
      <alignment horizontal="center" vertical="center" wrapText="1"/>
      <protection locked="0"/>
    </xf>
    <xf numFmtId="167" fontId="59" fillId="66" borderId="47" xfId="0" applyNumberFormat="1" applyFont="1" applyFill="1" applyBorder="1" applyAlignment="1" applyProtection="1">
      <alignment horizontal="center" vertical="center" wrapText="1"/>
      <protection locked="0"/>
    </xf>
    <xf numFmtId="183" fontId="59" fillId="66" borderId="47" xfId="0" applyNumberFormat="1" applyFont="1" applyFill="1" applyBorder="1" applyAlignment="1" applyProtection="1">
      <alignment horizontal="center" vertical="center" wrapText="1"/>
      <protection locked="0"/>
    </xf>
    <xf numFmtId="0" fontId="0" fillId="68" borderId="47" xfId="0" applyFill="1" applyBorder="1" applyAlignment="1">
      <alignment wrapText="1"/>
    </xf>
    <xf numFmtId="2" fontId="0" fillId="34" borderId="47" xfId="0" applyNumberFormat="1" applyFill="1" applyBorder="1" applyAlignment="1">
      <alignment horizontal="center" vertical="center"/>
    </xf>
    <xf numFmtId="2" fontId="0" fillId="33" borderId="47" xfId="0" applyNumberFormat="1" applyFill="1" applyBorder="1" applyAlignment="1">
      <alignment horizontal="center" vertical="center"/>
    </xf>
    <xf numFmtId="0" fontId="0" fillId="33" borderId="47" xfId="0" applyFill="1" applyBorder="1" applyAlignment="1">
      <alignment horizontal="center" vertical="center"/>
    </xf>
    <xf numFmtId="1" fontId="0" fillId="33" borderId="47" xfId="0" applyNumberFormat="1" applyFill="1" applyBorder="1" applyAlignment="1">
      <alignment horizontal="center" vertical="center"/>
    </xf>
    <xf numFmtId="176" fontId="45" fillId="27" borderId="18" xfId="0" applyNumberFormat="1" applyFont="1" applyFill="1" applyBorder="1" applyAlignment="1" applyProtection="1">
      <alignment horizontal="center" vertical="center"/>
      <protection locked="0"/>
    </xf>
    <xf numFmtId="0" fontId="45" fillId="53" borderId="18" xfId="0" applyFont="1" applyFill="1" applyBorder="1" applyAlignment="1">
      <alignment horizontal="center" vertical="center"/>
    </xf>
    <xf numFmtId="4" fontId="45" fillId="53" borderId="18" xfId="0" applyNumberFormat="1" applyFont="1" applyFill="1" applyBorder="1" applyAlignment="1">
      <alignment horizontal="center" vertical="center" wrapText="1"/>
    </xf>
    <xf numFmtId="176" fontId="45" fillId="53" borderId="18" xfId="0" applyNumberFormat="1" applyFont="1" applyFill="1" applyBorder="1" applyAlignment="1">
      <alignment horizontal="center" vertical="center"/>
    </xf>
    <xf numFmtId="176" fontId="45" fillId="53" borderId="21" xfId="0" applyNumberFormat="1" applyFont="1" applyFill="1" applyBorder="1" applyAlignment="1">
      <alignment horizontal="center" vertical="center"/>
    </xf>
    <xf numFmtId="0" fontId="45" fillId="53" borderId="21" xfId="0" applyFont="1" applyFill="1" applyBorder="1" applyAlignment="1">
      <alignment horizontal="center"/>
    </xf>
    <xf numFmtId="4" fontId="45" fillId="53" borderId="21" xfId="0" applyNumberFormat="1" applyFont="1" applyFill="1" applyBorder="1" applyAlignment="1">
      <alignment horizontal="center"/>
    </xf>
    <xf numFmtId="0" fontId="0" fillId="39" borderId="21" xfId="0" applyFill="1" applyBorder="1" applyAlignment="1">
      <alignment horizontal="center"/>
    </xf>
    <xf numFmtId="4" fontId="0" fillId="39" borderId="21" xfId="0" applyNumberFormat="1" applyFill="1" applyBorder="1" applyAlignment="1">
      <alignment horizontal="center"/>
    </xf>
    <xf numFmtId="176" fontId="0" fillId="39" borderId="21" xfId="0" applyNumberFormat="1" applyFill="1" applyBorder="1" applyAlignment="1">
      <alignment horizontal="center"/>
    </xf>
    <xf numFmtId="0" fontId="0" fillId="39" borderId="35" xfId="0" applyFill="1" applyBorder="1" applyAlignment="1">
      <alignment horizontal="center"/>
    </xf>
    <xf numFmtId="176" fontId="39" fillId="39" borderId="18" xfId="0" applyNumberFormat="1" applyFont="1" applyFill="1" applyBorder="1" applyAlignment="1">
      <alignment vertical="center"/>
    </xf>
    <xf numFmtId="176" fontId="55" fillId="32" borderId="37" xfId="0" applyNumberFormat="1" applyFont="1" applyFill="1" applyBorder="1" applyAlignment="1">
      <alignment horizontal="center" vertical="center"/>
    </xf>
    <xf numFmtId="176" fontId="55" fillId="32" borderId="47" xfId="0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176" fontId="0" fillId="0" borderId="18" xfId="0" applyNumberFormat="1" applyBorder="1" applyAlignment="1">
      <alignment horizontal="center" vertical="center"/>
    </xf>
    <xf numFmtId="168" fontId="33" fillId="0" borderId="18" xfId="0" applyNumberFormat="1" applyFont="1" applyBorder="1" applyAlignment="1">
      <alignment horizontal="center" vertical="center"/>
    </xf>
    <xf numFmtId="0" fontId="59" fillId="65" borderId="47" xfId="0" applyFont="1" applyFill="1" applyBorder="1" applyAlignment="1">
      <alignment horizontal="center" vertical="center"/>
    </xf>
    <xf numFmtId="0" fontId="59" fillId="65" borderId="47" xfId="0" applyFont="1" applyFill="1" applyBorder="1" applyAlignment="1">
      <alignment horizontal="center" vertical="center" wrapText="1"/>
    </xf>
    <xf numFmtId="0" fontId="0" fillId="44" borderId="0" xfId="0" applyFill="1" applyAlignment="1">
      <alignment horizontal="center" vertical="center"/>
    </xf>
    <xf numFmtId="0" fontId="0" fillId="0" borderId="47" xfId="0" applyBorder="1" applyAlignment="1">
      <alignment vertical="center" wrapText="1"/>
    </xf>
    <xf numFmtId="173" fontId="0" fillId="0" borderId="47" xfId="49" applyFont="1" applyBorder="1" applyAlignment="1" applyProtection="1">
      <alignment horizontal="center" vertical="center"/>
    </xf>
    <xf numFmtId="4" fontId="0" fillId="0" borderId="47" xfId="0" applyNumberFormat="1" applyBorder="1" applyAlignment="1">
      <alignment horizontal="center" vertical="center"/>
    </xf>
    <xf numFmtId="0" fontId="59" fillId="44" borderId="48" xfId="0" applyFont="1" applyFill="1" applyBorder="1" applyAlignment="1">
      <alignment horizontal="center" vertical="center" wrapText="1"/>
    </xf>
    <xf numFmtId="0" fontId="0" fillId="44" borderId="49" xfId="0" applyFill="1" applyBorder="1" applyAlignment="1">
      <alignment vertical="center" wrapText="1"/>
    </xf>
    <xf numFmtId="173" fontId="0" fillId="44" borderId="49" xfId="49" applyFont="1" applyFill="1" applyBorder="1" applyAlignment="1" applyProtection="1">
      <alignment horizontal="center" vertical="center"/>
    </xf>
    <xf numFmtId="4" fontId="0" fillId="44" borderId="49" xfId="0" applyNumberFormat="1" applyFill="1" applyBorder="1" applyAlignment="1">
      <alignment horizontal="center" vertical="center"/>
    </xf>
    <xf numFmtId="0" fontId="0" fillId="44" borderId="47" xfId="0" applyFill="1" applyBorder="1" applyAlignment="1">
      <alignment vertical="center" wrapText="1"/>
    </xf>
    <xf numFmtId="0" fontId="59" fillId="0" borderId="48" xfId="0" applyFont="1" applyBorder="1" applyAlignment="1">
      <alignment vertical="center"/>
    </xf>
    <xf numFmtId="0" fontId="59" fillId="44" borderId="49" xfId="0" applyFont="1" applyFill="1" applyBorder="1" applyAlignment="1">
      <alignment vertical="center" wrapText="1"/>
    </xf>
    <xf numFmtId="173" fontId="0" fillId="0" borderId="50" xfId="49" applyFont="1" applyBorder="1" applyAlignment="1" applyProtection="1">
      <alignment horizontal="center" vertical="center"/>
    </xf>
    <xf numFmtId="4" fontId="63" fillId="0" borderId="50" xfId="0" applyNumberFormat="1" applyFont="1" applyBorder="1" applyAlignment="1">
      <alignment horizontal="center" vertical="center"/>
    </xf>
    <xf numFmtId="173" fontId="59" fillId="0" borderId="47" xfId="49" applyFont="1" applyBorder="1" applyAlignment="1" applyProtection="1">
      <alignment horizontal="center" vertical="center"/>
    </xf>
    <xf numFmtId="0" fontId="59" fillId="44" borderId="48" xfId="0" applyFont="1" applyFill="1" applyBorder="1" applyAlignment="1">
      <alignment vertical="center"/>
    </xf>
    <xf numFmtId="4" fontId="0" fillId="44" borderId="50" xfId="0" applyNumberFormat="1" applyFill="1" applyBorder="1" applyAlignment="1">
      <alignment horizontal="center" vertical="center"/>
    </xf>
    <xf numFmtId="4" fontId="0" fillId="44" borderId="0" xfId="0" applyNumberFormat="1" applyFill="1"/>
    <xf numFmtId="0" fontId="59" fillId="65" borderId="48" xfId="0" applyFont="1" applyFill="1" applyBorder="1" applyAlignment="1">
      <alignment vertical="center"/>
    </xf>
    <xf numFmtId="0" fontId="65" fillId="65" borderId="50" xfId="0" applyFont="1" applyFill="1" applyBorder="1" applyAlignment="1">
      <alignment horizontal="center" vertical="center"/>
    </xf>
    <xf numFmtId="0" fontId="0" fillId="44" borderId="0" xfId="0" applyFill="1" applyAlignment="1">
      <alignment horizontal="right"/>
    </xf>
    <xf numFmtId="0" fontId="0" fillId="44" borderId="49" xfId="0" applyFill="1" applyBorder="1" applyAlignment="1">
      <alignment horizontal="center" vertical="center" wrapText="1"/>
    </xf>
    <xf numFmtId="4" fontId="59" fillId="44" borderId="50" xfId="0" applyNumberFormat="1" applyFont="1" applyFill="1" applyBorder="1" applyAlignment="1">
      <alignment horizontal="center" vertical="center" wrapText="1"/>
    </xf>
    <xf numFmtId="173" fontId="59" fillId="66" borderId="47" xfId="49" applyFont="1" applyFill="1" applyBorder="1" applyAlignment="1" applyProtection="1">
      <alignment horizontal="center" vertical="center"/>
    </xf>
    <xf numFmtId="0" fontId="0" fillId="44" borderId="49" xfId="0" applyFill="1" applyBorder="1"/>
    <xf numFmtId="0" fontId="59" fillId="44" borderId="50" xfId="0" applyFont="1" applyFill="1" applyBorder="1" applyAlignment="1">
      <alignment vertical="center" wrapText="1"/>
    </xf>
    <xf numFmtId="0" fontId="59" fillId="69" borderId="49" xfId="0" applyFont="1" applyFill="1" applyBorder="1" applyAlignment="1">
      <alignment vertical="center" wrapText="1"/>
    </xf>
    <xf numFmtId="0" fontId="59" fillId="69" borderId="49" xfId="0" applyFont="1" applyFill="1" applyBorder="1" applyAlignment="1">
      <alignment vertical="center"/>
    </xf>
    <xf numFmtId="0" fontId="0" fillId="69" borderId="50" xfId="0" applyFill="1" applyBorder="1" applyAlignment="1">
      <alignment horizontal="center" vertical="center" wrapText="1"/>
    </xf>
    <xf numFmtId="0" fontId="59" fillId="69" borderId="45" xfId="0" applyFont="1" applyFill="1" applyBorder="1" applyAlignment="1">
      <alignment horizontal="right" vertical="center" wrapText="1"/>
    </xf>
    <xf numFmtId="0" fontId="59" fillId="69" borderId="55" xfId="0" applyFont="1" applyFill="1" applyBorder="1" applyAlignment="1">
      <alignment horizontal="left" vertical="center" wrapText="1"/>
    </xf>
    <xf numFmtId="173" fontId="59" fillId="69" borderId="47" xfId="49" applyFont="1" applyFill="1" applyBorder="1" applyAlignment="1" applyProtection="1">
      <alignment horizontal="center" vertical="center" wrapText="1"/>
    </xf>
    <xf numFmtId="0" fontId="0" fillId="44" borderId="0" xfId="0" applyFill="1" applyAlignment="1">
      <alignment horizontal="center" vertical="center" wrapText="1"/>
    </xf>
    <xf numFmtId="0" fontId="0" fillId="44" borderId="0" xfId="0" applyFill="1" applyAlignment="1">
      <alignment horizontal="center"/>
    </xf>
    <xf numFmtId="0" fontId="62" fillId="44" borderId="0" xfId="0" applyFont="1" applyFill="1"/>
    <xf numFmtId="0" fontId="62" fillId="44" borderId="0" xfId="0" applyFont="1" applyFill="1" applyAlignment="1">
      <alignment horizontal="center" vertical="center" wrapText="1"/>
    </xf>
    <xf numFmtId="0" fontId="62" fillId="44" borderId="0" xfId="0" applyFont="1" applyFill="1" applyAlignment="1">
      <alignment horizontal="center"/>
    </xf>
    <xf numFmtId="0" fontId="59" fillId="0" borderId="49" xfId="0" applyFont="1" applyBorder="1" applyAlignment="1">
      <alignment horizontal="center" vertical="center" wrapText="1"/>
    </xf>
    <xf numFmtId="0" fontId="59" fillId="44" borderId="49" xfId="0" applyFont="1" applyFill="1" applyBorder="1" applyAlignment="1">
      <alignment vertical="center"/>
    </xf>
    <xf numFmtId="173" fontId="59" fillId="0" borderId="49" xfId="49" applyFont="1" applyBorder="1" applyAlignment="1" applyProtection="1">
      <alignment horizontal="center" vertical="center"/>
    </xf>
    <xf numFmtId="0" fontId="0" fillId="0" borderId="50" xfId="0" applyBorder="1" applyAlignment="1">
      <alignment vertical="center" wrapText="1"/>
    </xf>
    <xf numFmtId="0" fontId="59" fillId="0" borderId="48" xfId="0" applyFont="1" applyBorder="1" applyAlignment="1">
      <alignment horizontal="center" vertical="center" wrapText="1"/>
    </xf>
    <xf numFmtId="0" fontId="59" fillId="44" borderId="49" xfId="0" applyFont="1" applyFill="1" applyBorder="1" applyAlignment="1">
      <alignment horizontal="center" vertical="center" wrapText="1"/>
    </xf>
    <xf numFmtId="173" fontId="59" fillId="0" borderId="56" xfId="49" applyFont="1" applyBorder="1" applyAlignment="1" applyProtection="1">
      <alignment horizontal="center" vertical="center"/>
    </xf>
    <xf numFmtId="0" fontId="59" fillId="65" borderId="28" xfId="0" applyFont="1" applyFill="1" applyBorder="1" applyAlignment="1">
      <alignment horizontal="center" vertical="center"/>
    </xf>
    <xf numFmtId="0" fontId="59" fillId="65" borderId="28" xfId="0" applyFont="1" applyFill="1" applyBorder="1" applyAlignment="1">
      <alignment horizontal="center" vertical="center" wrapText="1"/>
    </xf>
    <xf numFmtId="0" fontId="59" fillId="65" borderId="48" xfId="0" applyFont="1" applyFill="1" applyBorder="1" applyAlignment="1">
      <alignment horizontal="center" vertical="center" wrapText="1"/>
    </xf>
    <xf numFmtId="0" fontId="59" fillId="65" borderId="50" xfId="0" applyFont="1" applyFill="1" applyBorder="1" applyAlignment="1">
      <alignment vertical="center" wrapText="1"/>
    </xf>
    <xf numFmtId="0" fontId="59" fillId="65" borderId="50" xfId="0" applyFont="1" applyFill="1" applyBorder="1" applyAlignment="1">
      <alignment horizontal="center" vertical="center" wrapText="1"/>
    </xf>
    <xf numFmtId="184" fontId="59" fillId="65" borderId="50" xfId="0" applyNumberFormat="1" applyFont="1" applyFill="1" applyBorder="1" applyAlignment="1">
      <alignment horizontal="center" vertical="center" wrapText="1"/>
    </xf>
    <xf numFmtId="181" fontId="59" fillId="65" borderId="50" xfId="0" applyNumberFormat="1" applyFont="1" applyFill="1" applyBorder="1" applyAlignment="1">
      <alignment horizontal="center" vertical="center" wrapText="1"/>
    </xf>
    <xf numFmtId="0" fontId="0" fillId="44" borderId="0" xfId="0" applyFill="1" applyAlignment="1">
      <alignment vertical="center"/>
    </xf>
    <xf numFmtId="4" fontId="62" fillId="44" borderId="49" xfId="0" applyNumberFormat="1" applyFont="1" applyFill="1" applyBorder="1" applyAlignment="1">
      <alignment horizontal="center" vertical="center"/>
    </xf>
    <xf numFmtId="184" fontId="0" fillId="44" borderId="49" xfId="0" applyNumberFormat="1" applyFill="1" applyBorder="1" applyAlignment="1">
      <alignment horizontal="center" vertical="center" wrapText="1"/>
    </xf>
    <xf numFmtId="181" fontId="0" fillId="44" borderId="49" xfId="0" applyNumberFormat="1" applyFill="1" applyBorder="1" applyAlignment="1">
      <alignment horizontal="center" vertical="center" wrapText="1"/>
    </xf>
    <xf numFmtId="184" fontId="62" fillId="44" borderId="50" xfId="49" applyNumberFormat="1" applyFont="1" applyFill="1" applyBorder="1" applyAlignment="1" applyProtection="1">
      <alignment horizontal="right" vertical="center"/>
    </xf>
    <xf numFmtId="0" fontId="0" fillId="44" borderId="48" xfId="0" applyFill="1" applyBorder="1" applyAlignment="1">
      <alignment horizontal="center" vertical="center" wrapText="1"/>
    </xf>
    <xf numFmtId="184" fontId="62" fillId="44" borderId="50" xfId="0" applyNumberFormat="1" applyFont="1" applyFill="1" applyBorder="1" applyAlignment="1">
      <alignment horizontal="right" vertical="center" wrapText="1"/>
    </xf>
    <xf numFmtId="0" fontId="59" fillId="0" borderId="48" xfId="0" applyFont="1" applyBorder="1" applyAlignment="1">
      <alignment horizontal="left" vertical="center"/>
    </xf>
    <xf numFmtId="4" fontId="63" fillId="0" borderId="47" xfId="0" applyNumberFormat="1" applyFont="1" applyBorder="1" applyAlignment="1">
      <alignment horizontal="center" vertical="center"/>
    </xf>
    <xf numFmtId="184" fontId="59" fillId="44" borderId="49" xfId="0" applyNumberFormat="1" applyFont="1" applyFill="1" applyBorder="1" applyAlignment="1">
      <alignment horizontal="center" vertical="center" wrapText="1"/>
    </xf>
    <xf numFmtId="181" fontId="59" fillId="44" borderId="47" xfId="0" applyNumberFormat="1" applyFont="1" applyFill="1" applyBorder="1" applyAlignment="1">
      <alignment horizontal="center" vertical="center" wrapText="1"/>
    </xf>
    <xf numFmtId="184" fontId="59" fillId="0" borderId="47" xfId="49" applyNumberFormat="1" applyFont="1" applyBorder="1" applyAlignment="1" applyProtection="1">
      <alignment horizontal="right" vertical="center"/>
    </xf>
    <xf numFmtId="181" fontId="59" fillId="66" borderId="47" xfId="0" applyNumberFormat="1" applyFont="1" applyFill="1" applyBorder="1" applyAlignment="1">
      <alignment horizontal="center" vertical="center" wrapText="1"/>
    </xf>
    <xf numFmtId="184" fontId="59" fillId="66" borderId="47" xfId="49" applyNumberFormat="1" applyFont="1" applyFill="1" applyBorder="1" applyAlignment="1" applyProtection="1">
      <alignment horizontal="right" vertical="center"/>
    </xf>
    <xf numFmtId="184" fontId="64" fillId="44" borderId="49" xfId="0" applyNumberFormat="1" applyFont="1" applyFill="1" applyBorder="1" applyAlignment="1">
      <alignment horizontal="right" vertical="center" wrapText="1"/>
    </xf>
    <xf numFmtId="181" fontId="0" fillId="44" borderId="49" xfId="0" applyNumberFormat="1" applyFill="1" applyBorder="1"/>
    <xf numFmtId="184" fontId="0" fillId="44" borderId="0" xfId="0" applyNumberFormat="1" applyFill="1"/>
    <xf numFmtId="4" fontId="63" fillId="44" borderId="47" xfId="0" applyNumberFormat="1" applyFont="1" applyFill="1" applyBorder="1" applyAlignment="1">
      <alignment horizontal="center" vertical="center" wrapText="1"/>
    </xf>
    <xf numFmtId="0" fontId="62" fillId="44" borderId="53" xfId="0" applyFont="1" applyFill="1" applyBorder="1" applyAlignment="1">
      <alignment horizontal="center" vertical="center"/>
    </xf>
    <xf numFmtId="184" fontId="0" fillId="44" borderId="0" xfId="0" applyNumberFormat="1" applyFill="1" applyAlignment="1">
      <alignment vertical="center"/>
    </xf>
    <xf numFmtId="0" fontId="62" fillId="44" borderId="55" xfId="0" applyFont="1" applyFill="1" applyBorder="1" applyAlignment="1">
      <alignment horizontal="center" vertical="center" wrapText="1"/>
    </xf>
    <xf numFmtId="181" fontId="59" fillId="69" borderId="55" xfId="0" applyNumberFormat="1" applyFont="1" applyFill="1" applyBorder="1" applyAlignment="1">
      <alignment horizontal="left" vertical="center" wrapText="1"/>
    </xf>
    <xf numFmtId="184" fontId="59" fillId="69" borderId="47" xfId="49" applyNumberFormat="1" applyFont="1" applyFill="1" applyBorder="1" applyAlignment="1" applyProtection="1">
      <alignment horizontal="right" vertical="center" wrapText="1"/>
    </xf>
    <xf numFmtId="0" fontId="0" fillId="44" borderId="0" xfId="0" applyFill="1" applyAlignment="1">
      <alignment vertical="center" wrapText="1"/>
    </xf>
    <xf numFmtId="184" fontId="0" fillId="44" borderId="0" xfId="0" applyNumberFormat="1" applyFill="1" applyAlignment="1">
      <alignment horizontal="center" vertical="center" wrapText="1"/>
    </xf>
    <xf numFmtId="181" fontId="0" fillId="44" borderId="0" xfId="0" applyNumberFormat="1" applyFill="1" applyAlignment="1">
      <alignment horizontal="center" vertical="center" wrapText="1"/>
    </xf>
    <xf numFmtId="184" fontId="0" fillId="44" borderId="0" xfId="0" applyNumberFormat="1" applyFill="1" applyAlignment="1">
      <alignment horizontal="right" vertical="center" wrapText="1"/>
    </xf>
    <xf numFmtId="0" fontId="0" fillId="0" borderId="0" xfId="0" applyAlignment="1">
      <alignment vertical="center" wrapText="1"/>
    </xf>
    <xf numFmtId="0" fontId="62" fillId="44" borderId="0" xfId="0" applyFont="1" applyFill="1" applyAlignment="1">
      <alignment horizontal="center" vertical="center"/>
    </xf>
    <xf numFmtId="0" fontId="62" fillId="44" borderId="0" xfId="0" applyFont="1" applyFill="1" applyAlignment="1">
      <alignment vertical="center"/>
    </xf>
    <xf numFmtId="184" fontId="62" fillId="44" borderId="0" xfId="0" applyNumberFormat="1" applyFont="1" applyFill="1" applyAlignment="1">
      <alignment horizontal="center" vertical="center" wrapText="1"/>
    </xf>
    <xf numFmtId="181" fontId="62" fillId="44" borderId="0" xfId="0" applyNumberFormat="1" applyFont="1" applyFill="1" applyAlignment="1">
      <alignment horizontal="center" vertical="center" wrapText="1"/>
    </xf>
    <xf numFmtId="184" fontId="0" fillId="0" borderId="0" xfId="0" applyNumberFormat="1" applyAlignment="1">
      <alignment horizontal="center" vertical="center"/>
    </xf>
    <xf numFmtId="181" fontId="0" fillId="0" borderId="0" xfId="0" applyNumberFormat="1" applyAlignment="1">
      <alignment horizontal="center" vertical="center"/>
    </xf>
    <xf numFmtId="184" fontId="0" fillId="0" borderId="0" xfId="0" applyNumberFormat="1" applyAlignment="1">
      <alignment horizontal="right" vertical="center"/>
    </xf>
    <xf numFmtId="0" fontId="59" fillId="0" borderId="56" xfId="0" applyFont="1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184" fontId="0" fillId="0" borderId="56" xfId="0" applyNumberFormat="1" applyBorder="1" applyAlignment="1">
      <alignment horizontal="center" vertical="center" wrapText="1"/>
    </xf>
    <xf numFmtId="181" fontId="0" fillId="0" borderId="56" xfId="0" applyNumberFormat="1" applyBorder="1" applyAlignment="1">
      <alignment horizontal="center" vertical="center" wrapText="1"/>
    </xf>
    <xf numFmtId="184" fontId="0" fillId="0" borderId="56" xfId="0" applyNumberFormat="1" applyBorder="1" applyAlignment="1">
      <alignment horizontal="right" vertical="center" wrapText="1"/>
    </xf>
    <xf numFmtId="4" fontId="0" fillId="0" borderId="47" xfId="0" applyNumberFormat="1" applyBorder="1" applyAlignment="1">
      <alignment vertical="center" wrapText="1"/>
    </xf>
    <xf numFmtId="4" fontId="0" fillId="0" borderId="0" xfId="0" applyNumberFormat="1"/>
    <xf numFmtId="4" fontId="0" fillId="0" borderId="50" xfId="0" applyNumberFormat="1" applyBorder="1" applyAlignment="1">
      <alignment vertical="center" wrapText="1"/>
    </xf>
    <xf numFmtId="176" fontId="59" fillId="66" borderId="47" xfId="49" applyNumberFormat="1" applyFont="1" applyFill="1" applyBorder="1" applyAlignment="1" applyProtection="1">
      <alignment horizontal="right" vertical="center"/>
    </xf>
    <xf numFmtId="0" fontId="59" fillId="0" borderId="45" xfId="0" applyFont="1" applyBorder="1" applyAlignment="1">
      <alignment horizontal="center" vertical="center" wrapText="1"/>
    </xf>
    <xf numFmtId="0" fontId="59" fillId="0" borderId="35" xfId="0" applyFont="1" applyBorder="1" applyAlignment="1">
      <alignment horizontal="center" vertical="center" wrapText="1"/>
    </xf>
    <xf numFmtId="0" fontId="59" fillId="65" borderId="45" xfId="0" applyFont="1" applyFill="1" applyBorder="1" applyAlignment="1">
      <alignment horizontal="center" vertical="center"/>
    </xf>
    <xf numFmtId="0" fontId="59" fillId="65" borderId="54" xfId="0" applyFont="1" applyFill="1" applyBorder="1" applyAlignment="1">
      <alignment horizontal="center" vertical="center"/>
    </xf>
    <xf numFmtId="0" fontId="59" fillId="65" borderId="54" xfId="0" applyFont="1" applyFill="1" applyBorder="1" applyAlignment="1">
      <alignment vertical="center"/>
    </xf>
    <xf numFmtId="184" fontId="59" fillId="65" borderId="54" xfId="0" applyNumberFormat="1" applyFont="1" applyFill="1" applyBorder="1" applyAlignment="1">
      <alignment horizontal="center" vertical="center"/>
    </xf>
    <xf numFmtId="181" fontId="59" fillId="66" borderId="56" xfId="0" applyNumberFormat="1" applyFont="1" applyFill="1" applyBorder="1" applyAlignment="1">
      <alignment horizontal="center" vertical="center" wrapText="1"/>
    </xf>
    <xf numFmtId="184" fontId="59" fillId="66" borderId="56" xfId="49" applyNumberFormat="1" applyFont="1" applyFill="1" applyBorder="1" applyAlignment="1" applyProtection="1">
      <alignment horizontal="right" vertical="center"/>
    </xf>
    <xf numFmtId="0" fontId="0" fillId="0" borderId="49" xfId="0" applyBorder="1" applyAlignment="1">
      <alignment vertical="center" wrapText="1"/>
    </xf>
    <xf numFmtId="4" fontId="0" fillId="0" borderId="50" xfId="0" applyNumberFormat="1" applyBorder="1" applyAlignment="1">
      <alignment horizontal="center" vertical="center"/>
    </xf>
    <xf numFmtId="0" fontId="0" fillId="44" borderId="47" xfId="0" quotePrefix="1" applyFill="1" applyBorder="1" applyAlignment="1">
      <alignment vertical="center" wrapText="1"/>
    </xf>
    <xf numFmtId="0" fontId="42" fillId="44" borderId="47" xfId="0" applyFont="1" applyFill="1" applyBorder="1" applyAlignment="1">
      <alignment vertical="center" wrapText="1"/>
    </xf>
    <xf numFmtId="0" fontId="0" fillId="66" borderId="0" xfId="0" applyFill="1" applyAlignment="1">
      <alignment vertical="center"/>
    </xf>
    <xf numFmtId="185" fontId="0" fillId="66" borderId="98" xfId="0" applyNumberFormat="1" applyFill="1" applyBorder="1" applyAlignment="1">
      <alignment vertical="center"/>
    </xf>
    <xf numFmtId="185" fontId="0" fillId="66" borderId="0" xfId="0" applyNumberFormat="1" applyFill="1" applyAlignment="1">
      <alignment vertical="center"/>
    </xf>
    <xf numFmtId="185" fontId="0" fillId="44" borderId="98" xfId="0" applyNumberFormat="1" applyFill="1" applyBorder="1" applyAlignment="1">
      <alignment vertical="center"/>
    </xf>
    <xf numFmtId="185" fontId="0" fillId="44" borderId="0" xfId="0" applyNumberFormat="1" applyFill="1" applyAlignment="1">
      <alignment vertical="center"/>
    </xf>
    <xf numFmtId="0" fontId="59" fillId="67" borderId="0" xfId="0" applyFont="1" applyFill="1" applyAlignment="1">
      <alignment horizontal="center" vertical="center"/>
    </xf>
    <xf numFmtId="185" fontId="59" fillId="67" borderId="98" xfId="0" applyNumberFormat="1" applyFont="1" applyFill="1" applyBorder="1" applyAlignment="1">
      <alignment vertical="center"/>
    </xf>
    <xf numFmtId="185" fontId="59" fillId="67" borderId="0" xfId="0" applyNumberFormat="1" applyFont="1" applyFill="1" applyAlignment="1">
      <alignment vertical="center"/>
    </xf>
    <xf numFmtId="0" fontId="0" fillId="44" borderId="99" xfId="0" applyFill="1" applyBorder="1" applyAlignment="1">
      <alignment horizontal="center" vertical="center"/>
    </xf>
    <xf numFmtId="0" fontId="59" fillId="70" borderId="52" xfId="0" applyFont="1" applyFill="1" applyBorder="1" applyAlignment="1">
      <alignment horizontal="center" vertical="center" wrapText="1"/>
    </xf>
    <xf numFmtId="0" fontId="59" fillId="70" borderId="97" xfId="0" applyFont="1" applyFill="1" applyBorder="1" applyAlignment="1">
      <alignment horizontal="center" vertical="center" wrapText="1"/>
    </xf>
    <xf numFmtId="0" fontId="33" fillId="36" borderId="47" xfId="0" applyFont="1" applyFill="1" applyBorder="1" applyAlignment="1">
      <alignment horizontal="center"/>
    </xf>
    <xf numFmtId="166" fontId="33" fillId="29" borderId="47" xfId="0" applyNumberFormat="1" applyFont="1" applyFill="1" applyBorder="1" applyAlignment="1">
      <alignment horizontal="center"/>
    </xf>
    <xf numFmtId="10" fontId="33" fillId="29" borderId="47" xfId="0" applyNumberFormat="1" applyFont="1" applyFill="1" applyBorder="1" applyAlignment="1">
      <alignment horizontal="center"/>
    </xf>
    <xf numFmtId="168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47" xfId="0" applyNumberFormat="1" applyBorder="1" applyAlignment="1">
      <alignment horizontal="center" vertical="center"/>
    </xf>
    <xf numFmtId="168" fontId="0" fillId="0" borderId="47" xfId="0" applyNumberFormat="1" applyBorder="1" applyAlignment="1">
      <alignment horizontal="center" vertical="center"/>
    </xf>
    <xf numFmtId="0" fontId="24" fillId="72" borderId="47" xfId="0" applyFont="1" applyFill="1" applyBorder="1" applyAlignment="1">
      <alignment horizontal="center" vertical="center" wrapText="1"/>
    </xf>
    <xf numFmtId="0" fontId="26" fillId="55" borderId="52" xfId="0" applyFont="1" applyFill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24" fillId="55" borderId="0" xfId="0" applyFont="1" applyFill="1" applyBorder="1" applyAlignment="1">
      <alignment horizontal="center" vertical="center" wrapText="1"/>
    </xf>
    <xf numFmtId="0" fontId="67" fillId="0" borderId="47" xfId="0" applyFont="1" applyBorder="1" applyAlignment="1">
      <alignment vertical="center" wrapText="1"/>
    </xf>
    <xf numFmtId="0" fontId="67" fillId="0" borderId="47" xfId="0" applyFont="1" applyBorder="1" applyAlignment="1">
      <alignment horizontal="center" vertical="center" wrapText="1"/>
    </xf>
    <xf numFmtId="0" fontId="67" fillId="0" borderId="56" xfId="0" applyFont="1" applyBorder="1" applyAlignment="1">
      <alignment horizontal="right" vertical="center" wrapText="1"/>
    </xf>
    <xf numFmtId="0" fontId="67" fillId="0" borderId="28" xfId="0" applyFont="1" applyBorder="1" applyAlignment="1">
      <alignment horizontal="right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10" fontId="67" fillId="0" borderId="28" xfId="0" applyNumberFormat="1" applyFont="1" applyBorder="1"/>
    <xf numFmtId="176" fontId="68" fillId="73" borderId="56" xfId="0" applyNumberFormat="1" applyFont="1" applyFill="1" applyBorder="1" applyAlignment="1">
      <alignment vertical="center" wrapText="1"/>
    </xf>
    <xf numFmtId="176" fontId="67" fillId="73" borderId="28" xfId="0" applyNumberFormat="1" applyFont="1" applyFill="1" applyBorder="1" applyAlignment="1">
      <alignment horizontal="center" vertical="center"/>
    </xf>
    <xf numFmtId="176" fontId="67" fillId="73" borderId="56" xfId="0" applyNumberFormat="1" applyFont="1" applyFill="1" applyBorder="1" applyAlignment="1">
      <alignment vertical="center" wrapText="1"/>
    </xf>
    <xf numFmtId="0" fontId="67" fillId="0" borderId="47" xfId="0" applyFont="1" applyBorder="1" applyAlignment="1">
      <alignment horizontal="center" vertical="center"/>
    </xf>
    <xf numFmtId="176" fontId="67" fillId="0" borderId="47" xfId="31" applyNumberFormat="1" applyFont="1" applyFill="1" applyBorder="1" applyAlignment="1" applyProtection="1">
      <alignment horizontal="center" vertical="center"/>
    </xf>
    <xf numFmtId="0" fontId="69" fillId="0" borderId="21" xfId="0" applyFont="1" applyBorder="1" applyAlignment="1">
      <alignment horizontal="left" vertical="center" wrapText="1"/>
    </xf>
    <xf numFmtId="0" fontId="70" fillId="0" borderId="21" xfId="0" applyFont="1" applyBorder="1" applyAlignment="1">
      <alignment horizontal="center" vertical="center" wrapText="1"/>
    </xf>
    <xf numFmtId="0" fontId="70" fillId="0" borderId="47" xfId="0" applyFont="1" applyBorder="1" applyAlignment="1">
      <alignment horizontal="center" vertical="center" wrapText="1"/>
    </xf>
    <xf numFmtId="0" fontId="67" fillId="27" borderId="21" xfId="0" applyFont="1" applyFill="1" applyBorder="1" applyAlignment="1">
      <alignment horizontal="center" vertical="center"/>
    </xf>
    <xf numFmtId="176" fontId="51" fillId="27" borderId="47" xfId="0" applyNumberFormat="1" applyFont="1" applyFill="1" applyBorder="1" applyAlignment="1">
      <alignment horizontal="center" vertical="center"/>
    </xf>
    <xf numFmtId="0" fontId="67" fillId="71" borderId="47" xfId="0" applyFont="1" applyFill="1" applyBorder="1" applyAlignment="1">
      <alignment horizontal="center" vertical="center"/>
    </xf>
    <xf numFmtId="176" fontId="51" fillId="70" borderId="47" xfId="43" applyNumberFormat="1" applyFont="1" applyFill="1" applyBorder="1" applyAlignment="1" applyProtection="1">
      <alignment horizontal="center" vertical="center"/>
      <protection locked="0"/>
    </xf>
    <xf numFmtId="176" fontId="67" fillId="0" borderId="47" xfId="0" applyNumberFormat="1" applyFont="1" applyBorder="1" applyAlignment="1">
      <alignment horizontal="center" vertical="center"/>
    </xf>
    <xf numFmtId="0" fontId="69" fillId="0" borderId="18" xfId="0" applyFont="1" applyBorder="1" applyAlignment="1">
      <alignment horizontal="left" vertical="center" wrapText="1"/>
    </xf>
    <xf numFmtId="0" fontId="69" fillId="0" borderId="47" xfId="0" applyFont="1" applyBorder="1" applyAlignment="1">
      <alignment horizontal="left" vertical="center" wrapText="1"/>
    </xf>
    <xf numFmtId="0" fontId="67" fillId="27" borderId="47" xfId="0" applyFont="1" applyFill="1" applyBorder="1" applyAlignment="1">
      <alignment horizontal="center" vertical="center"/>
    </xf>
    <xf numFmtId="0" fontId="67" fillId="0" borderId="21" xfId="0" applyFont="1" applyBorder="1" applyAlignment="1">
      <alignment horizontal="center" vertical="center" wrapText="1"/>
    </xf>
    <xf numFmtId="0" fontId="67" fillId="27" borderId="21" xfId="0" applyFont="1" applyFill="1" applyBorder="1" applyAlignment="1">
      <alignment horizontal="center" vertical="center" wrapText="1"/>
    </xf>
    <xf numFmtId="176" fontId="51" fillId="27" borderId="47" xfId="0" applyNumberFormat="1" applyFont="1" applyFill="1" applyBorder="1" applyAlignment="1">
      <alignment horizontal="center" vertical="center" wrapText="1"/>
    </xf>
    <xf numFmtId="164" fontId="24" fillId="75" borderId="47" xfId="43" applyFont="1" applyFill="1" applyBorder="1" applyAlignment="1" applyProtection="1">
      <alignment horizontal="center" vertical="center" wrapText="1"/>
    </xf>
    <xf numFmtId="0" fontId="24" fillId="75" borderId="47" xfId="0" applyFont="1" applyFill="1" applyBorder="1" applyAlignment="1">
      <alignment horizontal="center" vertical="center" wrapText="1"/>
    </xf>
    <xf numFmtId="0" fontId="0" fillId="76" borderId="0" xfId="0" applyFill="1" applyAlignment="1">
      <alignment vertical="center"/>
    </xf>
    <xf numFmtId="185" fontId="0" fillId="76" borderId="98" xfId="0" applyNumberFormat="1" applyFill="1" applyBorder="1" applyAlignment="1">
      <alignment vertical="center"/>
    </xf>
    <xf numFmtId="185" fontId="0" fillId="56" borderId="0" xfId="0" applyNumberFormat="1" applyFill="1" applyAlignment="1">
      <alignment vertical="center"/>
    </xf>
    <xf numFmtId="185" fontId="0" fillId="76" borderId="0" xfId="0" applyNumberFormat="1" applyFill="1" applyAlignment="1">
      <alignment vertical="center"/>
    </xf>
    <xf numFmtId="0" fontId="0" fillId="39" borderId="47" xfId="0" applyFill="1" applyBorder="1" applyAlignment="1">
      <alignment horizontal="center"/>
    </xf>
    <xf numFmtId="176" fontId="39" fillId="39" borderId="47" xfId="0" applyNumberFormat="1" applyFont="1" applyFill="1" applyBorder="1" applyAlignment="1">
      <alignment horizontal="center" vertical="center"/>
    </xf>
    <xf numFmtId="4" fontId="0" fillId="66" borderId="0" xfId="0" applyNumberFormat="1" applyFill="1" applyAlignment="1">
      <alignment vertical="center"/>
    </xf>
    <xf numFmtId="185" fontId="0" fillId="66" borderId="98" xfId="0" applyNumberFormat="1" applyFill="1" applyBorder="1" applyAlignment="1">
      <alignment horizontal="center" vertical="center"/>
    </xf>
    <xf numFmtId="185" fontId="0" fillId="44" borderId="98" xfId="0" applyNumberFormat="1" applyFill="1" applyBorder="1" applyAlignment="1">
      <alignment horizontal="center" vertical="center"/>
    </xf>
    <xf numFmtId="168" fontId="33" fillId="0" borderId="14" xfId="0" applyNumberFormat="1" applyFont="1" applyBorder="1" applyAlignment="1">
      <alignment horizontal="center" vertical="center"/>
    </xf>
    <xf numFmtId="168" fontId="33" fillId="0" borderId="10" xfId="0" applyNumberFormat="1" applyFont="1" applyBorder="1" applyAlignment="1">
      <alignment horizontal="center" vertical="center"/>
    </xf>
    <xf numFmtId="168" fontId="33" fillId="0" borderId="10" xfId="0" applyNumberFormat="1" applyFont="1" applyBorder="1" applyAlignment="1">
      <alignment horizontal="center" vertical="center"/>
    </xf>
    <xf numFmtId="10" fontId="33" fillId="0" borderId="61" xfId="0" applyNumberFormat="1" applyFont="1" applyBorder="1" applyAlignment="1">
      <alignment horizontal="center" vertical="center"/>
    </xf>
    <xf numFmtId="0" fontId="33" fillId="0" borderId="10" xfId="0" applyFont="1" applyBorder="1" applyAlignment="1">
      <alignment vertical="center"/>
    </xf>
    <xf numFmtId="9" fontId="33" fillId="0" borderId="10" xfId="0" applyNumberFormat="1" applyFont="1" applyBorder="1" applyAlignment="1">
      <alignment horizontal="center" vertical="center"/>
    </xf>
    <xf numFmtId="176" fontId="33" fillId="0" borderId="10" xfId="31" applyNumberFormat="1" applyFont="1" applyFill="1" applyBorder="1" applyAlignment="1" applyProtection="1">
      <alignment horizontal="center" vertical="center"/>
    </xf>
    <xf numFmtId="168" fontId="33" fillId="0" borderId="14" xfId="0" applyNumberFormat="1" applyFont="1" applyBorder="1" applyAlignment="1">
      <alignment horizontal="center" vertical="center"/>
    </xf>
    <xf numFmtId="168" fontId="33" fillId="0" borderId="10" xfId="0" applyNumberFormat="1" applyFont="1" applyBorder="1" applyAlignment="1">
      <alignment horizontal="center" vertical="center"/>
    </xf>
    <xf numFmtId="0" fontId="33" fillId="0" borderId="84" xfId="0" applyFont="1" applyBorder="1" applyAlignment="1">
      <alignment horizontal="center" vertical="center"/>
    </xf>
    <xf numFmtId="168" fontId="33" fillId="0" borderId="18" xfId="0" applyNumberFormat="1" applyFont="1" applyBorder="1" applyAlignment="1">
      <alignment horizontal="center" vertical="center"/>
    </xf>
    <xf numFmtId="0" fontId="33" fillId="30" borderId="81" xfId="0" applyFont="1" applyFill="1" applyBorder="1" applyAlignment="1">
      <alignment horizontal="center" vertical="center"/>
    </xf>
    <xf numFmtId="0" fontId="33" fillId="0" borderId="18" xfId="0" applyFont="1" applyBorder="1" applyAlignment="1">
      <alignment horizontal="center" vertical="center"/>
    </xf>
    <xf numFmtId="168" fontId="33" fillId="0" borderId="14" xfId="0" applyNumberFormat="1" applyFont="1" applyBorder="1" applyAlignment="1">
      <alignment horizontal="center" vertical="center"/>
    </xf>
    <xf numFmtId="168" fontId="33" fillId="0" borderId="10" xfId="0" applyNumberFormat="1" applyFont="1" applyBorder="1" applyAlignment="1">
      <alignment horizontal="center" vertical="center"/>
    </xf>
    <xf numFmtId="176" fontId="33" fillId="0" borderId="10" xfId="31" applyNumberFormat="1" applyFont="1" applyFill="1" applyBorder="1" applyAlignment="1" applyProtection="1">
      <alignment horizontal="center" vertical="center"/>
    </xf>
    <xf numFmtId="0" fontId="33" fillId="0" borderId="84" xfId="0" applyFont="1" applyBorder="1" applyAlignment="1">
      <alignment horizontal="center" vertical="center"/>
    </xf>
    <xf numFmtId="0" fontId="35" fillId="30" borderId="10" xfId="0" applyFont="1" applyFill="1" applyBorder="1" applyAlignment="1">
      <alignment horizontal="center" vertical="center"/>
    </xf>
    <xf numFmtId="0" fontId="35" fillId="30" borderId="14" xfId="0" applyFont="1" applyFill="1" applyBorder="1" applyAlignment="1">
      <alignment horizontal="center" vertical="center"/>
    </xf>
    <xf numFmtId="0" fontId="33" fillId="30" borderId="10" xfId="0" applyFont="1" applyFill="1" applyBorder="1" applyAlignment="1">
      <alignment horizontal="center" vertical="center"/>
    </xf>
    <xf numFmtId="168" fontId="33" fillId="0" borderId="59" xfId="0" applyNumberFormat="1" applyFont="1" applyBorder="1" applyAlignment="1">
      <alignment horizontal="center" vertical="center"/>
    </xf>
    <xf numFmtId="0" fontId="33" fillId="0" borderId="18" xfId="0" applyFont="1" applyBorder="1" applyAlignment="1">
      <alignment horizontal="center" vertical="center"/>
    </xf>
    <xf numFmtId="0" fontId="35" fillId="30" borderId="59" xfId="0" applyFont="1" applyFill="1" applyBorder="1" applyAlignment="1">
      <alignment horizontal="center" vertical="center"/>
    </xf>
    <xf numFmtId="0" fontId="33" fillId="30" borderId="81" xfId="0" applyFont="1" applyFill="1" applyBorder="1" applyAlignment="1">
      <alignment horizontal="center" vertical="center"/>
    </xf>
    <xf numFmtId="0" fontId="33" fillId="0" borderId="61" xfId="0" applyFont="1" applyBorder="1" applyAlignment="1">
      <alignment horizontal="center" vertical="center"/>
    </xf>
    <xf numFmtId="10" fontId="33" fillId="0" borderId="82" xfId="44" applyNumberFormat="1" applyFont="1" applyFill="1" applyBorder="1" applyAlignment="1" applyProtection="1">
      <alignment horizontal="center" vertical="center"/>
    </xf>
    <xf numFmtId="0" fontId="33" fillId="49" borderId="84" xfId="0" applyFont="1" applyFill="1" applyBorder="1" applyAlignment="1">
      <alignment horizontal="center" vertical="center"/>
    </xf>
    <xf numFmtId="0" fontId="33" fillId="0" borderId="18" xfId="0" applyFont="1" applyBorder="1" applyAlignment="1">
      <alignment vertical="center"/>
    </xf>
    <xf numFmtId="0" fontId="33" fillId="0" borderId="83" xfId="0" applyFont="1" applyBorder="1" applyAlignment="1">
      <alignment vertical="center"/>
    </xf>
    <xf numFmtId="10" fontId="33" fillId="0" borderId="83" xfId="0" applyNumberFormat="1" applyFont="1" applyBorder="1" applyAlignment="1">
      <alignment horizontal="center" vertical="center"/>
    </xf>
    <xf numFmtId="0" fontId="33" fillId="0" borderId="57" xfId="0" applyFont="1" applyBorder="1" applyAlignment="1">
      <alignment vertical="center"/>
    </xf>
    <xf numFmtId="0" fontId="33" fillId="0" borderId="86" xfId="0" applyFont="1" applyBorder="1" applyAlignment="1">
      <alignment vertical="center"/>
    </xf>
    <xf numFmtId="10" fontId="33" fillId="0" borderId="83" xfId="44" applyNumberFormat="1" applyFont="1" applyFill="1" applyBorder="1" applyAlignment="1" applyProtection="1">
      <alignment horizontal="center" vertical="center"/>
    </xf>
    <xf numFmtId="9" fontId="33" fillId="0" borderId="18" xfId="0" applyNumberFormat="1" applyFont="1" applyBorder="1" applyAlignment="1">
      <alignment horizontal="center" vertical="center"/>
    </xf>
    <xf numFmtId="0" fontId="33" fillId="47" borderId="14" xfId="0" applyFont="1" applyFill="1" applyBorder="1" applyAlignment="1">
      <alignment horizontal="center" vertical="center"/>
    </xf>
    <xf numFmtId="0" fontId="33" fillId="47" borderId="10" xfId="0" applyFont="1" applyFill="1" applyBorder="1" applyAlignment="1">
      <alignment horizontal="center" vertical="center"/>
    </xf>
    <xf numFmtId="0" fontId="33" fillId="47" borderId="44" xfId="0" applyFont="1" applyFill="1" applyBorder="1" applyAlignment="1">
      <alignment horizontal="center" vertical="center"/>
    </xf>
    <xf numFmtId="0" fontId="33" fillId="0" borderId="66" xfId="0" applyFont="1" applyBorder="1" applyAlignment="1">
      <alignment horizontal="center" vertical="center"/>
    </xf>
    <xf numFmtId="0" fontId="33" fillId="47" borderId="66" xfId="0" applyFont="1" applyFill="1" applyBorder="1" applyAlignment="1">
      <alignment horizontal="center" vertical="center"/>
    </xf>
    <xf numFmtId="0" fontId="33" fillId="47" borderId="18" xfId="0" applyFont="1" applyFill="1" applyBorder="1" applyAlignment="1">
      <alignment horizontal="center" vertical="center"/>
    </xf>
    <xf numFmtId="0" fontId="33" fillId="0" borderId="59" xfId="0" applyFont="1" applyBorder="1" applyAlignment="1">
      <alignment horizontal="center" vertical="center"/>
    </xf>
    <xf numFmtId="0" fontId="29" fillId="39" borderId="47" xfId="0" applyFont="1" applyFill="1" applyBorder="1" applyAlignment="1">
      <alignment horizontal="center" vertical="center" wrapText="1"/>
    </xf>
    <xf numFmtId="0" fontId="33" fillId="0" borderId="59" xfId="0" applyFont="1" applyBorder="1" applyAlignment="1">
      <alignment horizontal="center" vertical="center"/>
    </xf>
    <xf numFmtId="176" fontId="33" fillId="0" borderId="18" xfId="31" applyNumberFormat="1" applyFont="1" applyFill="1" applyBorder="1" applyAlignment="1" applyProtection="1">
      <alignment horizontal="center" vertical="center"/>
    </xf>
    <xf numFmtId="0" fontId="66" fillId="47" borderId="0" xfId="0" applyFont="1" applyFill="1" applyBorder="1" applyAlignment="1">
      <alignment horizontal="center" vertical="center" wrapText="1"/>
    </xf>
    <xf numFmtId="0" fontId="49" fillId="33" borderId="18" xfId="0" applyFont="1" applyFill="1" applyBorder="1" applyAlignment="1">
      <alignment horizontal="center" vertical="center"/>
    </xf>
    <xf numFmtId="0" fontId="50" fillId="27" borderId="18" xfId="0" applyFont="1" applyFill="1" applyBorder="1" applyAlignment="1">
      <alignment horizontal="center" vertical="center" wrapText="1"/>
    </xf>
    <xf numFmtId="0" fontId="49" fillId="58" borderId="73" xfId="0" applyFont="1" applyFill="1" applyBorder="1" applyAlignment="1">
      <alignment horizontal="center" vertical="center"/>
    </xf>
    <xf numFmtId="0" fontId="49" fillId="58" borderId="0" xfId="0" applyFont="1" applyFill="1" applyAlignment="1">
      <alignment horizontal="center" vertical="center"/>
    </xf>
    <xf numFmtId="0" fontId="49" fillId="58" borderId="74" xfId="0" applyFont="1" applyFill="1" applyBorder="1" applyAlignment="1">
      <alignment horizontal="center" vertical="center"/>
    </xf>
    <xf numFmtId="0" fontId="49" fillId="58" borderId="45" xfId="0" applyFont="1" applyFill="1" applyBorder="1" applyAlignment="1">
      <alignment horizontal="center" vertical="center"/>
    </xf>
    <xf numFmtId="0" fontId="49" fillId="58" borderId="75" xfId="0" applyFont="1" applyFill="1" applyBorder="1" applyAlignment="1">
      <alignment horizontal="center" vertical="center"/>
    </xf>
    <xf numFmtId="0" fontId="49" fillId="58" borderId="69" xfId="0" applyFont="1" applyFill="1" applyBorder="1" applyAlignment="1">
      <alignment horizontal="center" vertical="center"/>
    </xf>
    <xf numFmtId="0" fontId="52" fillId="48" borderId="71" xfId="0" applyFont="1" applyFill="1" applyBorder="1" applyAlignment="1">
      <alignment horizontal="center" vertical="center" wrapText="1"/>
    </xf>
    <xf numFmtId="0" fontId="52" fillId="48" borderId="70" xfId="0" applyFont="1" applyFill="1" applyBorder="1" applyAlignment="1">
      <alignment horizontal="center" vertical="center" wrapText="1"/>
    </xf>
    <xf numFmtId="0" fontId="52" fillId="48" borderId="72" xfId="0" applyFont="1" applyFill="1" applyBorder="1" applyAlignment="1">
      <alignment horizontal="center" vertical="center" wrapText="1"/>
    </xf>
    <xf numFmtId="0" fontId="52" fillId="48" borderId="73" xfId="0" applyFont="1" applyFill="1" applyBorder="1" applyAlignment="1">
      <alignment horizontal="center" vertical="center" wrapText="1"/>
    </xf>
    <xf numFmtId="0" fontId="52" fillId="48" borderId="0" xfId="0" applyFont="1" applyFill="1" applyAlignment="1">
      <alignment horizontal="center" vertical="center" wrapText="1"/>
    </xf>
    <xf numFmtId="0" fontId="52" fillId="48" borderId="74" xfId="0" applyFont="1" applyFill="1" applyBorder="1" applyAlignment="1">
      <alignment horizontal="center" vertical="center" wrapText="1"/>
    </xf>
    <xf numFmtId="0" fontId="52" fillId="48" borderId="45" xfId="0" applyFont="1" applyFill="1" applyBorder="1" applyAlignment="1">
      <alignment horizontal="center" vertical="center" wrapText="1"/>
    </xf>
    <xf numFmtId="0" fontId="52" fillId="48" borderId="75" xfId="0" applyFont="1" applyFill="1" applyBorder="1" applyAlignment="1">
      <alignment horizontal="center" vertical="center" wrapText="1"/>
    </xf>
    <xf numFmtId="0" fontId="52" fillId="48" borderId="69" xfId="0" applyFont="1" applyFill="1" applyBorder="1" applyAlignment="1">
      <alignment horizontal="center" vertical="center" wrapText="1"/>
    </xf>
    <xf numFmtId="0" fontId="52" fillId="48" borderId="41" xfId="0" applyFont="1" applyFill="1" applyBorder="1" applyAlignment="1">
      <alignment horizontal="center" vertical="center" wrapText="1"/>
    </xf>
    <xf numFmtId="0" fontId="52" fillId="48" borderId="40" xfId="0" applyFont="1" applyFill="1" applyBorder="1" applyAlignment="1">
      <alignment horizontal="center" vertical="center" wrapText="1"/>
    </xf>
    <xf numFmtId="0" fontId="52" fillId="48" borderId="43" xfId="0" applyFont="1" applyFill="1" applyBorder="1" applyAlignment="1">
      <alignment horizontal="center" vertical="center" wrapText="1"/>
    </xf>
    <xf numFmtId="0" fontId="26" fillId="55" borderId="0" xfId="0" applyFont="1" applyFill="1" applyAlignment="1">
      <alignment horizontal="center" vertical="center" wrapText="1"/>
    </xf>
    <xf numFmtId="4" fontId="0" fillId="47" borderId="0" xfId="0" applyNumberFormat="1" applyFill="1" applyAlignment="1">
      <alignment horizontal="center" vertical="center"/>
    </xf>
    <xf numFmtId="164" fontId="0" fillId="47" borderId="0" xfId="43" applyFont="1" applyFill="1" applyBorder="1" applyAlignment="1" applyProtection="1">
      <alignment horizontal="center" vertical="center"/>
    </xf>
    <xf numFmtId="4" fontId="18" fillId="55" borderId="0" xfId="0" applyNumberFormat="1" applyFont="1" applyFill="1" applyAlignment="1">
      <alignment horizontal="right" vertical="center"/>
    </xf>
    <xf numFmtId="176" fontId="18" fillId="55" borderId="0" xfId="0" applyNumberFormat="1" applyFont="1" applyFill="1" applyAlignment="1">
      <alignment horizontal="center" vertical="center"/>
    </xf>
    <xf numFmtId="176" fontId="18" fillId="55" borderId="0" xfId="43" applyNumberFormat="1" applyFont="1" applyFill="1" applyBorder="1" applyAlignment="1" applyProtection="1">
      <alignment horizontal="center" vertical="center"/>
    </xf>
    <xf numFmtId="4" fontId="18" fillId="47" borderId="0" xfId="0" applyNumberFormat="1" applyFont="1" applyFill="1" applyAlignment="1">
      <alignment horizontal="center" vertical="center"/>
    </xf>
    <xf numFmtId="4" fontId="39" fillId="55" borderId="0" xfId="0" applyNumberFormat="1" applyFont="1" applyFill="1" applyAlignment="1">
      <alignment horizontal="right" vertical="center"/>
    </xf>
    <xf numFmtId="176" fontId="39" fillId="55" borderId="0" xfId="0" applyNumberFormat="1" applyFont="1" applyFill="1" applyAlignment="1">
      <alignment horizontal="center" vertical="center"/>
    </xf>
    <xf numFmtId="176" fontId="39" fillId="55" borderId="0" xfId="43" applyNumberFormat="1" applyFont="1" applyFill="1" applyBorder="1" applyAlignment="1" applyProtection="1">
      <alignment horizontal="center" vertical="center"/>
    </xf>
    <xf numFmtId="4" fontId="0" fillId="47" borderId="0" xfId="0" applyNumberFormat="1" applyFill="1" applyAlignment="1">
      <alignment horizontal="left" vertical="center"/>
    </xf>
    <xf numFmtId="176" fontId="0" fillId="47" borderId="0" xfId="0" applyNumberFormat="1" applyFill="1" applyAlignment="1">
      <alignment horizontal="center" vertical="center"/>
    </xf>
    <xf numFmtId="176" fontId="0" fillId="47" borderId="0" xfId="43" applyNumberFormat="1" applyFont="1" applyFill="1" applyBorder="1" applyAlignment="1" applyProtection="1">
      <alignment horizontal="center" vertical="center"/>
    </xf>
    <xf numFmtId="0" fontId="42" fillId="47" borderId="0" xfId="0" applyFont="1" applyFill="1" applyAlignment="1">
      <alignment horizontal="center" vertical="center" wrapText="1"/>
    </xf>
    <xf numFmtId="0" fontId="39" fillId="47" borderId="0" xfId="0" applyFont="1" applyFill="1" applyAlignment="1">
      <alignment horizontal="center" vertical="center"/>
    </xf>
    <xf numFmtId="0" fontId="25" fillId="55" borderId="0" xfId="0" applyFont="1" applyFill="1" applyAlignment="1">
      <alignment horizontal="left" vertical="center"/>
    </xf>
    <xf numFmtId="0" fontId="25" fillId="55" borderId="0" xfId="0" applyFont="1" applyFill="1" applyAlignment="1">
      <alignment horizontal="center" vertical="center"/>
    </xf>
    <xf numFmtId="0" fontId="25" fillId="55" borderId="0" xfId="0" applyFont="1" applyFill="1" applyAlignment="1">
      <alignment horizontal="center" vertical="center" wrapText="1"/>
    </xf>
    <xf numFmtId="9" fontId="33" fillId="24" borderId="65" xfId="45" applyFont="1" applyFill="1" applyBorder="1" applyAlignment="1" applyProtection="1">
      <alignment horizontal="center" vertical="center" wrapText="1"/>
    </xf>
    <xf numFmtId="9" fontId="33" fillId="24" borderId="61" xfId="45" applyFont="1" applyFill="1" applyBorder="1" applyAlignment="1" applyProtection="1">
      <alignment horizontal="center" vertical="center" wrapText="1"/>
    </xf>
    <xf numFmtId="0" fontId="23" fillId="47" borderId="0" xfId="0" applyFont="1" applyFill="1" applyAlignment="1">
      <alignment horizontal="center" vertical="center"/>
    </xf>
    <xf numFmtId="0" fontId="24" fillId="47" borderId="0" xfId="0" applyFont="1" applyFill="1" applyAlignment="1">
      <alignment horizontal="center" vertical="center"/>
    </xf>
    <xf numFmtId="10" fontId="33" fillId="0" borderId="21" xfId="0" applyNumberFormat="1" applyFont="1" applyBorder="1" applyAlignment="1">
      <alignment horizontal="center" vertical="center" wrapText="1"/>
    </xf>
    <xf numFmtId="0" fontId="33" fillId="40" borderId="18" xfId="0" applyFont="1" applyFill="1" applyBorder="1" applyAlignment="1">
      <alignment horizontal="center" vertical="center" wrapText="1"/>
    </xf>
    <xf numFmtId="0" fontId="35" fillId="40" borderId="18" xfId="0" applyFont="1" applyFill="1" applyBorder="1" applyAlignment="1">
      <alignment horizontal="center" vertical="center" wrapText="1"/>
    </xf>
    <xf numFmtId="0" fontId="21" fillId="43" borderId="18" xfId="0" applyFont="1" applyFill="1" applyBorder="1" applyAlignment="1">
      <alignment horizontal="center" vertical="center" wrapText="1"/>
    </xf>
    <xf numFmtId="0" fontId="33" fillId="40" borderId="18" xfId="0" applyFont="1" applyFill="1" applyBorder="1" applyAlignment="1">
      <alignment horizontal="center" vertical="center"/>
    </xf>
    <xf numFmtId="0" fontId="35" fillId="35" borderId="10" xfId="0" applyFont="1" applyFill="1" applyBorder="1" applyAlignment="1">
      <alignment horizontal="center" vertical="center"/>
    </xf>
    <xf numFmtId="0" fontId="33" fillId="42" borderId="18" xfId="0" applyFont="1" applyFill="1" applyBorder="1" applyAlignment="1" applyProtection="1">
      <alignment horizontal="left" vertical="center"/>
      <protection locked="0"/>
    </xf>
    <xf numFmtId="0" fontId="33" fillId="40" borderId="30" xfId="0" applyFont="1" applyFill="1" applyBorder="1" applyAlignment="1">
      <alignment horizontal="center" vertical="center" wrapText="1"/>
    </xf>
    <xf numFmtId="0" fontId="33" fillId="40" borderId="29" xfId="0" applyFont="1" applyFill="1" applyBorder="1" applyAlignment="1">
      <alignment horizontal="center" vertical="center" wrapText="1"/>
    </xf>
    <xf numFmtId="0" fontId="49" fillId="58" borderId="18" xfId="0" applyFont="1" applyFill="1" applyBorder="1" applyAlignment="1">
      <alignment horizontal="center" vertical="center"/>
    </xf>
    <xf numFmtId="0" fontId="49" fillId="58" borderId="42" xfId="0" applyFont="1" applyFill="1" applyBorder="1" applyAlignment="1">
      <alignment horizontal="center" vertical="center"/>
    </xf>
    <xf numFmtId="0" fontId="0" fillId="27" borderId="28" xfId="0" applyFill="1" applyBorder="1" applyAlignment="1" applyProtection="1">
      <alignment horizontal="left" vertical="center"/>
      <protection locked="0"/>
    </xf>
    <xf numFmtId="0" fontId="0" fillId="27" borderId="18" xfId="0" applyFill="1" applyBorder="1" applyAlignment="1" applyProtection="1">
      <alignment horizontal="left" vertical="center"/>
      <protection locked="0"/>
    </xf>
    <xf numFmtId="0" fontId="0" fillId="27" borderId="42" xfId="0" applyFill="1" applyBorder="1" applyAlignment="1" applyProtection="1">
      <alignment horizontal="center" vertical="center"/>
      <protection locked="0"/>
    </xf>
    <xf numFmtId="0" fontId="0" fillId="27" borderId="35" xfId="0" applyFill="1" applyBorder="1" applyAlignment="1" applyProtection="1">
      <alignment horizontal="center" vertical="center"/>
      <protection locked="0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33" fillId="25" borderId="18" xfId="0" applyFont="1" applyFill="1" applyBorder="1" applyAlignment="1" applyProtection="1">
      <alignment horizontal="center" vertical="center" wrapText="1"/>
      <protection locked="0"/>
    </xf>
    <xf numFmtId="166" fontId="33" fillId="42" borderId="18" xfId="0" applyNumberFormat="1" applyFont="1" applyFill="1" applyBorder="1" applyAlignment="1" applyProtection="1">
      <alignment horizontal="center" vertical="center" wrapText="1"/>
      <protection locked="0"/>
    </xf>
    <xf numFmtId="10" fontId="37" fillId="0" borderId="18" xfId="44" applyNumberFormat="1" applyFont="1" applyFill="1" applyBorder="1" applyAlignment="1" applyProtection="1">
      <alignment horizontal="center" vertical="center"/>
    </xf>
    <xf numFmtId="0" fontId="33" fillId="0" borderId="21" xfId="0" applyFont="1" applyBorder="1" applyAlignment="1">
      <alignment horizontal="center" vertical="center" wrapText="1"/>
    </xf>
    <xf numFmtId="0" fontId="33" fillId="0" borderId="0" xfId="0" applyFont="1"/>
    <xf numFmtId="0" fontId="33" fillId="36" borderId="18" xfId="0" applyFont="1" applyFill="1" applyBorder="1" applyAlignment="1">
      <alignment horizontal="center" vertical="center" wrapText="1"/>
    </xf>
    <xf numFmtId="0" fontId="35" fillId="35" borderId="18" xfId="0" applyFont="1" applyFill="1" applyBorder="1" applyAlignment="1">
      <alignment horizontal="center" vertical="center"/>
    </xf>
    <xf numFmtId="10" fontId="33" fillId="25" borderId="18" xfId="0" applyNumberFormat="1" applyFont="1" applyFill="1" applyBorder="1" applyAlignment="1" applyProtection="1">
      <alignment horizontal="center" vertical="center"/>
      <protection locked="0"/>
    </xf>
    <xf numFmtId="9" fontId="33" fillId="24" borderId="10" xfId="45" applyFont="1" applyFill="1" applyBorder="1" applyAlignment="1" applyProtection="1">
      <alignment horizontal="center" vertical="center" wrapText="1"/>
    </xf>
    <xf numFmtId="0" fontId="33" fillId="25" borderId="32" xfId="0" applyFont="1" applyFill="1" applyBorder="1" applyAlignment="1" applyProtection="1">
      <alignment horizontal="center" vertical="center" wrapText="1"/>
      <protection locked="0"/>
    </xf>
    <xf numFmtId="0" fontId="33" fillId="24" borderId="0" xfId="0" applyFont="1" applyFill="1"/>
    <xf numFmtId="0" fontId="33" fillId="0" borderId="20" xfId="0" applyFont="1" applyBorder="1"/>
    <xf numFmtId="0" fontId="33" fillId="38" borderId="10" xfId="0" applyFont="1" applyFill="1" applyBorder="1"/>
    <xf numFmtId="166" fontId="35" fillId="40" borderId="66" xfId="0" applyNumberFormat="1" applyFont="1" applyFill="1" applyBorder="1" applyAlignment="1" applyProtection="1">
      <alignment horizontal="center" vertical="center"/>
      <protection locked="0"/>
    </xf>
    <xf numFmtId="166" fontId="35" fillId="40" borderId="67" xfId="0" applyNumberFormat="1" applyFont="1" applyFill="1" applyBorder="1" applyAlignment="1" applyProtection="1">
      <alignment horizontal="center" vertical="center"/>
      <protection locked="0"/>
    </xf>
    <xf numFmtId="166" fontId="35" fillId="40" borderId="62" xfId="0" applyNumberFormat="1" applyFont="1" applyFill="1" applyBorder="1" applyAlignment="1" applyProtection="1">
      <alignment horizontal="center" vertical="center"/>
      <protection locked="0"/>
    </xf>
    <xf numFmtId="166" fontId="35" fillId="40" borderId="57" xfId="0" applyNumberFormat="1" applyFont="1" applyFill="1" applyBorder="1" applyAlignment="1" applyProtection="1">
      <alignment horizontal="center" vertical="center"/>
      <protection locked="0"/>
    </xf>
    <xf numFmtId="166" fontId="35" fillId="40" borderId="86" xfId="0" applyNumberFormat="1" applyFont="1" applyFill="1" applyBorder="1" applyAlignment="1" applyProtection="1">
      <alignment horizontal="center" vertical="center"/>
      <protection locked="0"/>
    </xf>
    <xf numFmtId="166" fontId="35" fillId="40" borderId="64" xfId="0" applyNumberFormat="1" applyFont="1" applyFill="1" applyBorder="1" applyAlignment="1" applyProtection="1">
      <alignment horizontal="center" vertical="center"/>
      <protection locked="0"/>
    </xf>
    <xf numFmtId="166" fontId="39" fillId="24" borderId="10" xfId="0" applyNumberFormat="1" applyFont="1" applyFill="1" applyBorder="1" applyAlignment="1">
      <alignment horizontal="center" vertical="center"/>
    </xf>
    <xf numFmtId="166" fontId="39" fillId="24" borderId="11" xfId="0" applyNumberFormat="1" applyFont="1" applyFill="1" applyBorder="1" applyAlignment="1">
      <alignment horizontal="center" vertical="center"/>
    </xf>
    <xf numFmtId="166" fontId="39" fillId="24" borderId="13" xfId="0" applyNumberFormat="1" applyFont="1" applyFill="1" applyBorder="1" applyAlignment="1">
      <alignment horizontal="center" vertical="center"/>
    </xf>
    <xf numFmtId="166" fontId="36" fillId="27" borderId="10" xfId="0" applyNumberFormat="1" applyFont="1" applyFill="1" applyBorder="1" applyAlignment="1" applyProtection="1">
      <alignment horizontal="center" vertical="center"/>
      <protection locked="0"/>
    </xf>
    <xf numFmtId="166" fontId="36" fillId="25" borderId="11" xfId="0" applyNumberFormat="1" applyFont="1" applyFill="1" applyBorder="1" applyAlignment="1" applyProtection="1">
      <alignment horizontal="center" vertical="center"/>
      <protection locked="0"/>
    </xf>
    <xf numFmtId="166" fontId="36" fillId="25" borderId="13" xfId="0" applyNumberFormat="1" applyFont="1" applyFill="1" applyBorder="1" applyAlignment="1" applyProtection="1">
      <alignment horizontal="center" vertical="center"/>
      <protection locked="0"/>
    </xf>
    <xf numFmtId="0" fontId="33" fillId="24" borderId="11" xfId="0" applyFont="1" applyFill="1" applyBorder="1"/>
    <xf numFmtId="0" fontId="33" fillId="0" borderId="16" xfId="0" applyFont="1" applyBorder="1"/>
    <xf numFmtId="166" fontId="71" fillId="48" borderId="16" xfId="0" applyNumberFormat="1" applyFont="1" applyFill="1" applyBorder="1" applyAlignment="1">
      <alignment horizontal="center" vertical="center"/>
    </xf>
    <xf numFmtId="3" fontId="71" fillId="48" borderId="14" xfId="0" applyNumberFormat="1" applyFont="1" applyFill="1" applyBorder="1" applyAlignment="1">
      <alignment horizontal="center" vertical="center" wrapText="1"/>
    </xf>
    <xf numFmtId="166" fontId="37" fillId="35" borderId="21" xfId="0" applyNumberFormat="1" applyFont="1" applyFill="1" applyBorder="1" applyAlignment="1">
      <alignment horizontal="center" vertical="center"/>
    </xf>
    <xf numFmtId="0" fontId="33" fillId="40" borderId="10" xfId="0" applyFont="1" applyFill="1" applyBorder="1" applyAlignment="1">
      <alignment horizontal="center" vertical="center"/>
    </xf>
    <xf numFmtId="9" fontId="33" fillId="25" borderId="10" xfId="0" applyNumberFormat="1" applyFont="1" applyFill="1" applyBorder="1" applyAlignment="1" applyProtection="1">
      <alignment horizontal="center" vertical="center"/>
      <protection locked="0"/>
    </xf>
    <xf numFmtId="166" fontId="35" fillId="40" borderId="10" xfId="0" applyNumberFormat="1" applyFont="1" applyFill="1" applyBorder="1" applyAlignment="1">
      <alignment horizontal="center" vertical="center"/>
    </xf>
    <xf numFmtId="166" fontId="35" fillId="39" borderId="10" xfId="0" applyNumberFormat="1" applyFont="1" applyFill="1" applyBorder="1" applyAlignment="1">
      <alignment horizontal="center" vertical="center"/>
    </xf>
    <xf numFmtId="166" fontId="35" fillId="39" borderId="11" xfId="0" applyNumberFormat="1" applyFont="1" applyFill="1" applyBorder="1" applyAlignment="1">
      <alignment horizontal="center" vertical="center"/>
    </xf>
    <xf numFmtId="166" fontId="35" fillId="39" borderId="13" xfId="0" applyNumberFormat="1" applyFont="1" applyFill="1" applyBorder="1" applyAlignment="1">
      <alignment horizontal="center" vertical="center"/>
    </xf>
    <xf numFmtId="166" fontId="36" fillId="52" borderId="10" xfId="0" applyNumberFormat="1" applyFont="1" applyFill="1" applyBorder="1" applyAlignment="1" applyProtection="1">
      <alignment horizontal="center" vertical="center"/>
      <protection locked="0"/>
    </xf>
    <xf numFmtId="0" fontId="36" fillId="40" borderId="0" xfId="0" applyFont="1" applyFill="1" applyAlignment="1">
      <alignment horizontal="center" vertical="center"/>
    </xf>
    <xf numFmtId="0" fontId="35" fillId="24" borderId="17" xfId="0" applyFont="1" applyFill="1" applyBorder="1" applyAlignment="1">
      <alignment horizontal="center" vertical="center"/>
    </xf>
    <xf numFmtId="0" fontId="33" fillId="0" borderId="10" xfId="0" applyFont="1" applyBorder="1"/>
    <xf numFmtId="166" fontId="37" fillId="35" borderId="10" xfId="0" applyNumberFormat="1" applyFont="1" applyFill="1" applyBorder="1" applyAlignment="1">
      <alignment horizontal="center" vertical="center"/>
    </xf>
    <xf numFmtId="168" fontId="34" fillId="52" borderId="30" xfId="0" applyNumberFormat="1" applyFont="1" applyFill="1" applyBorder="1" applyAlignment="1" applyProtection="1">
      <alignment horizontal="center" vertical="center" wrapText="1"/>
      <protection locked="0"/>
    </xf>
    <xf numFmtId="168" fontId="34" fillId="52" borderId="31" xfId="0" applyNumberFormat="1" applyFont="1" applyFill="1" applyBorder="1" applyAlignment="1" applyProtection="1">
      <alignment horizontal="center" vertical="center" wrapText="1"/>
      <protection locked="0"/>
    </xf>
    <xf numFmtId="168" fontId="34" fillId="52" borderId="29" xfId="0" applyNumberFormat="1" applyFont="1" applyFill="1" applyBorder="1" applyAlignment="1" applyProtection="1">
      <alignment horizontal="center" vertical="center" wrapText="1"/>
      <protection locked="0"/>
    </xf>
    <xf numFmtId="0" fontId="33" fillId="41" borderId="28" xfId="0" applyFont="1" applyFill="1" applyBorder="1" applyAlignment="1">
      <alignment horizontal="center" vertical="center" wrapText="1"/>
    </xf>
    <xf numFmtId="0" fontId="33" fillId="41" borderId="18" xfId="0" applyFont="1" applyFill="1" applyBorder="1" applyAlignment="1">
      <alignment horizontal="center" vertical="center" wrapText="1"/>
    </xf>
    <xf numFmtId="0" fontId="33" fillId="40" borderId="69" xfId="0" applyFont="1" applyFill="1" applyBorder="1" applyAlignment="1">
      <alignment horizontal="center" vertical="center"/>
    </xf>
    <xf numFmtId="0" fontId="33" fillId="40" borderId="28" xfId="0" applyFont="1" applyFill="1" applyBorder="1" applyAlignment="1">
      <alignment horizontal="center" vertical="center"/>
    </xf>
    <xf numFmtId="0" fontId="33" fillId="40" borderId="43" xfId="0" applyFont="1" applyFill="1" applyBorder="1" applyAlignment="1">
      <alignment horizontal="center" vertical="center"/>
    </xf>
    <xf numFmtId="0" fontId="33" fillId="40" borderId="41" xfId="0" applyFont="1" applyFill="1" applyBorder="1" applyAlignment="1">
      <alignment horizontal="center" vertical="center"/>
    </xf>
    <xf numFmtId="168" fontId="34" fillId="52" borderId="41" xfId="0" applyNumberFormat="1" applyFont="1" applyFill="1" applyBorder="1" applyAlignment="1" applyProtection="1">
      <alignment horizontal="center" vertical="center" wrapText="1"/>
      <protection locked="0"/>
    </xf>
    <xf numFmtId="168" fontId="34" fillId="52" borderId="85" xfId="0" applyNumberFormat="1" applyFont="1" applyFill="1" applyBorder="1" applyAlignment="1" applyProtection="1">
      <alignment horizontal="center" vertical="center" wrapText="1"/>
      <protection locked="0"/>
    </xf>
    <xf numFmtId="168" fontId="34" fillId="52" borderId="43" xfId="0" applyNumberFormat="1" applyFont="1" applyFill="1" applyBorder="1" applyAlignment="1" applyProtection="1">
      <alignment horizontal="center" vertical="center" wrapText="1"/>
      <protection locked="0"/>
    </xf>
    <xf numFmtId="0" fontId="30" fillId="35" borderId="10" xfId="0" applyFont="1" applyFill="1" applyBorder="1" applyAlignment="1">
      <alignment horizontal="center" vertical="center" wrapText="1"/>
    </xf>
    <xf numFmtId="0" fontId="30" fillId="35" borderId="15" xfId="0" applyFont="1" applyFill="1" applyBorder="1" applyAlignment="1">
      <alignment horizontal="center" vertical="center" wrapText="1"/>
    </xf>
    <xf numFmtId="168" fontId="72" fillId="52" borderId="28" xfId="0" applyNumberFormat="1" applyFont="1" applyFill="1" applyBorder="1" applyAlignment="1" applyProtection="1">
      <alignment horizontal="center" vertical="center" wrapText="1"/>
      <protection locked="0"/>
    </xf>
    <xf numFmtId="0" fontId="0" fillId="47" borderId="41" xfId="0" applyFill="1" applyBorder="1" applyAlignment="1">
      <alignment horizontal="center" vertical="center"/>
    </xf>
    <xf numFmtId="0" fontId="0" fillId="47" borderId="40" xfId="0" applyFill="1" applyBorder="1" applyAlignment="1">
      <alignment horizontal="center" vertical="center"/>
    </xf>
    <xf numFmtId="0" fontId="18" fillId="47" borderId="40" xfId="0" applyFont="1" applyFill="1" applyBorder="1" applyAlignment="1">
      <alignment horizontal="center" vertical="center"/>
    </xf>
    <xf numFmtId="0" fontId="18" fillId="47" borderId="43" xfId="0" applyFont="1" applyFill="1" applyBorder="1" applyAlignment="1">
      <alignment horizontal="center" vertical="center"/>
    </xf>
    <xf numFmtId="0" fontId="20" fillId="40" borderId="56" xfId="0" applyFont="1" applyFill="1" applyBorder="1" applyAlignment="1">
      <alignment horizontal="center" vertical="center"/>
    </xf>
    <xf numFmtId="0" fontId="20" fillId="47" borderId="49" xfId="0" applyFont="1" applyFill="1" applyBorder="1" applyAlignment="1">
      <alignment horizontal="center" vertical="center"/>
    </xf>
    <xf numFmtId="166" fontId="33" fillId="25" borderId="10" xfId="0" applyNumberFormat="1" applyFont="1" applyFill="1" applyBorder="1" applyAlignment="1" applyProtection="1">
      <alignment horizontal="center" vertical="center" wrapText="1"/>
      <protection locked="0"/>
    </xf>
    <xf numFmtId="166" fontId="35" fillId="40" borderId="15" xfId="0" applyNumberFormat="1" applyFont="1" applyFill="1" applyBorder="1" applyAlignment="1">
      <alignment horizontal="center" vertical="center"/>
    </xf>
    <xf numFmtId="166" fontId="33" fillId="25" borderId="11" xfId="0" applyNumberFormat="1" applyFont="1" applyFill="1" applyBorder="1" applyAlignment="1" applyProtection="1">
      <alignment horizontal="center" vertical="center"/>
      <protection locked="0"/>
    </xf>
    <xf numFmtId="166" fontId="33" fillId="25" borderId="13" xfId="0" applyNumberFormat="1" applyFont="1" applyFill="1" applyBorder="1" applyAlignment="1" applyProtection="1">
      <alignment horizontal="center" vertical="center"/>
      <protection locked="0"/>
    </xf>
    <xf numFmtId="0" fontId="35" fillId="0" borderId="10" xfId="0" applyFont="1" applyBorder="1" applyAlignment="1">
      <alignment horizontal="center" vertical="center"/>
    </xf>
    <xf numFmtId="10" fontId="33" fillId="27" borderId="10" xfId="0" applyNumberFormat="1" applyFont="1" applyFill="1" applyBorder="1" applyAlignment="1" applyProtection="1">
      <alignment horizontal="center" vertical="center"/>
      <protection locked="0"/>
    </xf>
    <xf numFmtId="166" fontId="35" fillId="0" borderId="11" xfId="0" applyNumberFormat="1" applyFont="1" applyBorder="1" applyAlignment="1">
      <alignment horizontal="center" vertical="center" wrapText="1"/>
    </xf>
    <xf numFmtId="166" fontId="35" fillId="0" borderId="13" xfId="0" applyNumberFormat="1" applyFont="1" applyBorder="1" applyAlignment="1">
      <alignment horizontal="center" vertical="center" wrapText="1"/>
    </xf>
    <xf numFmtId="166" fontId="53" fillId="52" borderId="10" xfId="0" applyNumberFormat="1" applyFont="1" applyFill="1" applyBorder="1" applyAlignment="1" applyProtection="1">
      <alignment horizontal="center" vertical="center"/>
      <protection locked="0"/>
    </xf>
    <xf numFmtId="166" fontId="20" fillId="0" borderId="10" xfId="0" applyNumberFormat="1" applyFont="1" applyBorder="1" applyAlignment="1">
      <alignment horizontal="center" vertical="center" wrapText="1"/>
    </xf>
    <xf numFmtId="166" fontId="35" fillId="0" borderId="10" xfId="0" applyNumberFormat="1" applyFont="1" applyBorder="1" applyAlignment="1">
      <alignment horizontal="center" vertical="center" wrapText="1"/>
    </xf>
    <xf numFmtId="0" fontId="39" fillId="34" borderId="18" xfId="0" applyFont="1" applyFill="1" applyBorder="1" applyAlignment="1">
      <alignment horizontal="center" vertical="center"/>
    </xf>
    <xf numFmtId="176" fontId="67" fillId="74" borderId="56" xfId="0" applyNumberFormat="1" applyFont="1" applyFill="1" applyBorder="1" applyAlignment="1">
      <alignment horizontal="center" vertical="center" wrapText="1"/>
    </xf>
    <xf numFmtId="176" fontId="67" fillId="74" borderId="28" xfId="0" applyNumberFormat="1" applyFont="1" applyFill="1" applyBorder="1" applyAlignment="1">
      <alignment horizontal="center" vertical="center" wrapText="1"/>
    </xf>
    <xf numFmtId="0" fontId="24" fillId="72" borderId="47" xfId="0" applyFont="1" applyFill="1" applyBorder="1" applyAlignment="1">
      <alignment horizontal="center" vertical="center" wrapText="1"/>
    </xf>
    <xf numFmtId="0" fontId="26" fillId="72" borderId="47" xfId="0" applyFont="1" applyFill="1" applyBorder="1" applyAlignment="1">
      <alignment horizontal="center" vertical="center" wrapText="1"/>
    </xf>
    <xf numFmtId="0" fontId="24" fillId="75" borderId="47" xfId="0" applyFont="1" applyFill="1" applyBorder="1" applyAlignment="1">
      <alignment horizontal="center" vertical="center" wrapText="1"/>
    </xf>
    <xf numFmtId="0" fontId="67" fillId="0" borderId="56" xfId="0" applyFont="1" applyBorder="1" applyAlignment="1">
      <alignment horizontal="right" vertical="center"/>
    </xf>
    <xf numFmtId="0" fontId="67" fillId="0" borderId="28" xfId="0" applyFont="1" applyBorder="1" applyAlignment="1">
      <alignment horizontal="right" vertical="center"/>
    </xf>
    <xf numFmtId="0" fontId="24" fillId="72" borderId="48" xfId="0" applyFont="1" applyFill="1" applyBorder="1" applyAlignment="1">
      <alignment horizontal="center" vertical="center" wrapText="1"/>
    </xf>
    <xf numFmtId="0" fontId="24" fillId="72" borderId="50" xfId="0" applyFont="1" applyFill="1" applyBorder="1" applyAlignment="1">
      <alignment horizontal="center" vertical="center" wrapText="1"/>
    </xf>
    <xf numFmtId="0" fontId="24" fillId="75" borderId="48" xfId="0" applyFont="1" applyFill="1" applyBorder="1" applyAlignment="1">
      <alignment horizontal="center" vertical="center" wrapText="1"/>
    </xf>
    <xf numFmtId="0" fontId="24" fillId="75" borderId="50" xfId="0" applyFont="1" applyFill="1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7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00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18" fillId="39" borderId="18" xfId="0" applyFont="1" applyFill="1" applyBorder="1" applyAlignment="1">
      <alignment horizontal="center" vertical="center"/>
    </xf>
    <xf numFmtId="0" fontId="39" fillId="39" borderId="18" xfId="0" applyFont="1" applyFill="1" applyBorder="1" applyAlignment="1">
      <alignment horizontal="center" vertical="center"/>
    </xf>
    <xf numFmtId="0" fontId="0" fillId="47" borderId="0" xfId="0" applyFill="1" applyBorder="1" applyAlignment="1">
      <alignment horizontal="center"/>
    </xf>
    <xf numFmtId="4" fontId="18" fillId="39" borderId="48" xfId="0" applyNumberFormat="1" applyFont="1" applyFill="1" applyBorder="1" applyAlignment="1">
      <alignment horizontal="center" vertical="center"/>
    </xf>
    <xf numFmtId="4" fontId="18" fillId="39" borderId="49" xfId="0" applyNumberFormat="1" applyFont="1" applyFill="1" applyBorder="1" applyAlignment="1">
      <alignment horizontal="center" vertical="center"/>
    </xf>
    <xf numFmtId="4" fontId="18" fillId="39" borderId="50" xfId="0" applyNumberFormat="1" applyFont="1" applyFill="1" applyBorder="1" applyAlignment="1">
      <alignment horizontal="center" vertical="center"/>
    </xf>
    <xf numFmtId="0" fontId="0" fillId="47" borderId="45" xfId="0" applyFill="1" applyBorder="1" applyAlignment="1">
      <alignment horizontal="center"/>
    </xf>
    <xf numFmtId="0" fontId="0" fillId="47" borderId="54" xfId="0" applyFill="1" applyBorder="1" applyAlignment="1">
      <alignment horizontal="center"/>
    </xf>
    <xf numFmtId="0" fontId="0" fillId="47" borderId="49" xfId="0" applyFill="1" applyBorder="1" applyAlignment="1">
      <alignment horizontal="center"/>
    </xf>
    <xf numFmtId="0" fontId="0" fillId="47" borderId="50" xfId="0" applyFill="1" applyBorder="1" applyAlignment="1">
      <alignment horizontal="center"/>
    </xf>
    <xf numFmtId="180" fontId="59" fillId="65" borderId="45" xfId="0" applyNumberFormat="1" applyFont="1" applyFill="1" applyBorder="1" applyAlignment="1" applyProtection="1">
      <alignment horizontal="center" vertical="center" wrapText="1"/>
      <protection locked="0"/>
    </xf>
    <xf numFmtId="180" fontId="59" fillId="65" borderId="54" xfId="0" applyNumberFormat="1" applyFont="1" applyFill="1" applyBorder="1" applyAlignment="1" applyProtection="1">
      <alignment horizontal="center" vertical="center" wrapText="1"/>
      <protection locked="0"/>
    </xf>
    <xf numFmtId="180" fontId="59" fillId="65" borderId="48" xfId="0" applyNumberFormat="1" applyFont="1" applyFill="1" applyBorder="1" applyAlignment="1" applyProtection="1">
      <alignment horizontal="center" vertical="center" wrapText="1"/>
      <protection locked="0"/>
    </xf>
    <xf numFmtId="180" fontId="59" fillId="65" borderId="49" xfId="0" applyNumberFormat="1" applyFont="1" applyFill="1" applyBorder="1" applyAlignment="1" applyProtection="1">
      <alignment horizontal="center" vertical="center" wrapText="1"/>
      <protection locked="0"/>
    </xf>
    <xf numFmtId="1" fontId="29" fillId="62" borderId="56" xfId="0" applyNumberFormat="1" applyFont="1" applyFill="1" applyBorder="1" applyAlignment="1" applyProtection="1">
      <alignment horizontal="center" vertical="center" wrapText="1"/>
      <protection locked="0"/>
    </xf>
    <xf numFmtId="1" fontId="29" fillId="62" borderId="28" xfId="0" applyNumberFormat="1" applyFont="1" applyFill="1" applyBorder="1" applyAlignment="1" applyProtection="1">
      <alignment horizontal="center" vertical="center" wrapText="1"/>
      <protection locked="0"/>
    </xf>
    <xf numFmtId="1" fontId="29" fillId="61" borderId="48" xfId="0" applyNumberFormat="1" applyFont="1" applyFill="1" applyBorder="1" applyAlignment="1" applyProtection="1">
      <alignment horizontal="center" vertical="center" wrapText="1"/>
      <protection locked="0"/>
    </xf>
    <xf numFmtId="1" fontId="29" fillId="61" borderId="50" xfId="0" applyNumberFormat="1" applyFont="1" applyFill="1" applyBorder="1" applyAlignment="1" applyProtection="1">
      <alignment horizontal="center" vertical="center" wrapText="1"/>
      <protection locked="0"/>
    </xf>
    <xf numFmtId="1" fontId="29" fillId="62" borderId="48" xfId="0" applyNumberFormat="1" applyFont="1" applyFill="1" applyBorder="1" applyAlignment="1" applyProtection="1">
      <alignment horizontal="center" vertical="center" wrapText="1"/>
      <protection locked="0"/>
    </xf>
    <xf numFmtId="1" fontId="29" fillId="62" borderId="50" xfId="0" applyNumberFormat="1" applyFont="1" applyFill="1" applyBorder="1" applyAlignment="1" applyProtection="1">
      <alignment horizontal="center" vertical="center" wrapText="1"/>
      <protection locked="0"/>
    </xf>
    <xf numFmtId="1" fontId="29" fillId="61" borderId="49" xfId="0" applyNumberFormat="1" applyFont="1" applyFill="1" applyBorder="1" applyAlignment="1" applyProtection="1">
      <alignment horizontal="center" vertical="center" wrapText="1"/>
      <protection locked="0"/>
    </xf>
    <xf numFmtId="1" fontId="29" fillId="62" borderId="49" xfId="0" applyNumberFormat="1" applyFont="1" applyFill="1" applyBorder="1" applyAlignment="1" applyProtection="1">
      <alignment horizontal="center" vertical="center" wrapText="1"/>
      <protection locked="0"/>
    </xf>
    <xf numFmtId="1" fontId="29" fillId="77" borderId="48" xfId="0" applyNumberFormat="1" applyFont="1" applyFill="1" applyBorder="1" applyAlignment="1" applyProtection="1">
      <alignment horizontal="center" vertical="center" wrapText="1"/>
      <protection locked="0"/>
    </xf>
    <xf numFmtId="1" fontId="29" fillId="77" borderId="49" xfId="0" applyNumberFormat="1" applyFont="1" applyFill="1" applyBorder="1" applyAlignment="1" applyProtection="1">
      <alignment horizontal="center" vertical="center" wrapText="1"/>
      <protection locked="0"/>
    </xf>
    <xf numFmtId="1" fontId="29" fillId="77" borderId="50" xfId="0" applyNumberFormat="1" applyFont="1" applyFill="1" applyBorder="1" applyAlignment="1" applyProtection="1">
      <alignment horizontal="center" vertical="center" wrapText="1"/>
      <protection locked="0"/>
    </xf>
    <xf numFmtId="0" fontId="42" fillId="31" borderId="48" xfId="0" applyFont="1" applyFill="1" applyBorder="1" applyAlignment="1" applyProtection="1">
      <alignment horizontal="center" vertical="center" wrapText="1"/>
      <protection locked="0"/>
    </xf>
    <xf numFmtId="0" fontId="42" fillId="31" borderId="49" xfId="0" applyFont="1" applyFill="1" applyBorder="1" applyAlignment="1" applyProtection="1">
      <alignment horizontal="center" vertical="center" wrapText="1"/>
      <protection locked="0"/>
    </xf>
    <xf numFmtId="0" fontId="42" fillId="31" borderId="50" xfId="0" applyFont="1" applyFill="1" applyBorder="1" applyAlignment="1" applyProtection="1">
      <alignment horizontal="center" vertical="center" wrapText="1"/>
      <protection locked="0"/>
    </xf>
    <xf numFmtId="4" fontId="42" fillId="63" borderId="48" xfId="0" applyNumberFormat="1" applyFont="1" applyFill="1" applyBorder="1" applyAlignment="1" applyProtection="1">
      <alignment horizontal="center" vertical="center" wrapText="1"/>
    </xf>
    <xf numFmtId="4" fontId="42" fillId="63" borderId="50" xfId="0" applyNumberFormat="1" applyFont="1" applyFill="1" applyBorder="1" applyAlignment="1" applyProtection="1">
      <alignment horizontal="center" vertical="center" wrapText="1"/>
    </xf>
    <xf numFmtId="1" fontId="56" fillId="63" borderId="48" xfId="0" applyNumberFormat="1" applyFont="1" applyFill="1" applyBorder="1" applyAlignment="1" applyProtection="1">
      <alignment horizontal="center" vertical="center" wrapText="1"/>
    </xf>
    <xf numFmtId="1" fontId="56" fillId="63" borderId="50" xfId="0" applyNumberFormat="1" applyFont="1" applyFill="1" applyBorder="1" applyAlignment="1" applyProtection="1">
      <alignment horizontal="center" vertical="center" wrapText="1"/>
    </xf>
    <xf numFmtId="0" fontId="29" fillId="60" borderId="51" xfId="0" applyFont="1" applyFill="1" applyBorder="1" applyAlignment="1" applyProtection="1">
      <alignment horizontal="center" vertical="center" wrapText="1"/>
      <protection locked="0"/>
    </xf>
    <xf numFmtId="0" fontId="29" fillId="60" borderId="52" xfId="0" applyFont="1" applyFill="1" applyBorder="1" applyAlignment="1" applyProtection="1">
      <alignment horizontal="center" vertical="center" wrapText="1"/>
      <protection locked="0"/>
    </xf>
    <xf numFmtId="0" fontId="29" fillId="60" borderId="53" xfId="0" applyFont="1" applyFill="1" applyBorder="1" applyAlignment="1" applyProtection="1">
      <alignment horizontal="center" vertical="center" wrapText="1"/>
      <protection locked="0"/>
    </xf>
    <xf numFmtId="0" fontId="29" fillId="60" borderId="45" xfId="0" applyFont="1" applyFill="1" applyBorder="1" applyAlignment="1" applyProtection="1">
      <alignment horizontal="center" vertical="center" wrapText="1"/>
      <protection locked="0"/>
    </xf>
    <xf numFmtId="0" fontId="29" fillId="60" borderId="54" xfId="0" applyFont="1" applyFill="1" applyBorder="1" applyAlignment="1" applyProtection="1">
      <alignment horizontal="center" vertical="center" wrapText="1"/>
      <protection locked="0"/>
    </xf>
    <xf numFmtId="0" fontId="29" fillId="60" borderId="55" xfId="0" applyFont="1" applyFill="1" applyBorder="1" applyAlignment="1" applyProtection="1">
      <alignment horizontal="center" vertical="center" wrapText="1"/>
      <protection locked="0"/>
    </xf>
    <xf numFmtId="0" fontId="29" fillId="0" borderId="56" xfId="0" applyFont="1" applyBorder="1" applyAlignment="1" applyProtection="1">
      <alignment horizontal="center" vertical="center" wrapText="1"/>
      <protection locked="0"/>
    </xf>
    <xf numFmtId="0" fontId="29" fillId="0" borderId="28" xfId="0" applyFont="1" applyBorder="1" applyAlignment="1" applyProtection="1">
      <alignment horizontal="center" vertical="center" wrapText="1"/>
      <protection locked="0"/>
    </xf>
    <xf numFmtId="1" fontId="29" fillId="77" borderId="48" xfId="0" applyNumberFormat="1" applyFont="1" applyFill="1" applyBorder="1" applyAlignment="1" applyProtection="1">
      <alignment horizontal="center" vertical="center" wrapText="1"/>
    </xf>
    <xf numFmtId="1" fontId="29" fillId="77" borderId="49" xfId="0" applyNumberFormat="1" applyFont="1" applyFill="1" applyBorder="1" applyAlignment="1" applyProtection="1">
      <alignment horizontal="center" vertical="center" wrapText="1"/>
    </xf>
    <xf numFmtId="1" fontId="29" fillId="77" borderId="50" xfId="0" applyNumberFormat="1" applyFont="1" applyFill="1" applyBorder="1" applyAlignment="1" applyProtection="1">
      <alignment horizontal="center" vertical="center" wrapText="1"/>
    </xf>
    <xf numFmtId="1" fontId="29" fillId="61" borderId="48" xfId="0" applyNumberFormat="1" applyFont="1" applyFill="1" applyBorder="1" applyAlignment="1" applyProtection="1">
      <alignment horizontal="center" vertical="center" wrapText="1"/>
    </xf>
    <xf numFmtId="1" fontId="29" fillId="61" borderId="49" xfId="0" applyNumberFormat="1" applyFont="1" applyFill="1" applyBorder="1" applyAlignment="1" applyProtection="1">
      <alignment horizontal="center" vertical="center" wrapText="1"/>
    </xf>
    <xf numFmtId="1" fontId="29" fillId="61" borderId="50" xfId="0" applyNumberFormat="1" applyFont="1" applyFill="1" applyBorder="1" applyAlignment="1" applyProtection="1">
      <alignment horizontal="center" vertical="center" wrapText="1"/>
    </xf>
    <xf numFmtId="1" fontId="29" fillId="47" borderId="56" xfId="0" applyNumberFormat="1" applyFont="1" applyFill="1" applyBorder="1" applyAlignment="1" applyProtection="1">
      <alignment horizontal="center" vertical="center" wrapText="1"/>
    </xf>
    <xf numFmtId="1" fontId="29" fillId="47" borderId="28" xfId="0" applyNumberFormat="1" applyFont="1" applyFill="1" applyBorder="1" applyAlignment="1" applyProtection="1">
      <alignment horizontal="center" vertical="center" wrapText="1"/>
    </xf>
    <xf numFmtId="1" fontId="29" fillId="62" borderId="48" xfId="0" applyNumberFormat="1" applyFont="1" applyFill="1" applyBorder="1" applyAlignment="1" applyProtection="1">
      <alignment horizontal="center" vertical="center" wrapText="1"/>
    </xf>
    <xf numFmtId="1" fontId="29" fillId="62" borderId="50" xfId="0" applyNumberFormat="1" applyFont="1" applyFill="1" applyBorder="1" applyAlignment="1" applyProtection="1">
      <alignment horizontal="center" vertical="center" wrapText="1"/>
    </xf>
    <xf numFmtId="0" fontId="29" fillId="39" borderId="48" xfId="0" applyFont="1" applyFill="1" applyBorder="1" applyAlignment="1">
      <alignment horizontal="center" vertical="center" wrapText="1"/>
    </xf>
    <xf numFmtId="0" fontId="29" fillId="39" borderId="49" xfId="0" applyFont="1" applyFill="1" applyBorder="1" applyAlignment="1">
      <alignment horizontal="center" vertical="center" wrapText="1"/>
    </xf>
    <xf numFmtId="4" fontId="29" fillId="39" borderId="49" xfId="0" applyNumberFormat="1" applyFont="1" applyFill="1" applyBorder="1" applyAlignment="1" applyProtection="1">
      <alignment horizontal="center" vertical="center"/>
    </xf>
    <xf numFmtId="4" fontId="29" fillId="39" borderId="50" xfId="0" applyNumberFormat="1" applyFont="1" applyFill="1" applyBorder="1" applyAlignment="1" applyProtection="1">
      <alignment horizontal="center" vertical="center"/>
    </xf>
    <xf numFmtId="4" fontId="29" fillId="47" borderId="48" xfId="0" applyNumberFormat="1" applyFont="1" applyFill="1" applyBorder="1" applyAlignment="1" applyProtection="1">
      <alignment horizontal="center" vertical="center"/>
    </xf>
    <xf numFmtId="4" fontId="29" fillId="47" borderId="49" xfId="0" applyNumberFormat="1" applyFont="1" applyFill="1" applyBorder="1" applyAlignment="1" applyProtection="1">
      <alignment horizontal="center" vertical="center"/>
    </xf>
    <xf numFmtId="4" fontId="29" fillId="47" borderId="50" xfId="0" applyNumberFormat="1" applyFont="1" applyFill="1" applyBorder="1" applyAlignment="1" applyProtection="1">
      <alignment horizontal="center" vertical="center"/>
    </xf>
    <xf numFmtId="4" fontId="29" fillId="39" borderId="48" xfId="0" applyNumberFormat="1" applyFont="1" applyFill="1" applyBorder="1" applyAlignment="1" applyProtection="1">
      <alignment horizontal="center" vertical="center"/>
    </xf>
    <xf numFmtId="1" fontId="29" fillId="62" borderId="49" xfId="0" applyNumberFormat="1" applyFont="1" applyFill="1" applyBorder="1" applyAlignment="1" applyProtection="1">
      <alignment horizontal="center" vertical="center" wrapText="1"/>
    </xf>
    <xf numFmtId="0" fontId="42" fillId="31" borderId="48" xfId="0" applyFont="1" applyFill="1" applyBorder="1" applyAlignment="1" applyProtection="1">
      <alignment horizontal="center" vertical="center"/>
      <protection locked="0"/>
    </xf>
    <xf numFmtId="0" fontId="42" fillId="31" borderId="49" xfId="0" applyFont="1" applyFill="1" applyBorder="1" applyAlignment="1" applyProtection="1">
      <alignment horizontal="center" vertical="center"/>
      <protection locked="0"/>
    </xf>
    <xf numFmtId="0" fontId="42" fillId="31" borderId="50" xfId="0" applyFont="1" applyFill="1" applyBorder="1" applyAlignment="1" applyProtection="1">
      <alignment horizontal="center" vertical="center"/>
      <protection locked="0"/>
    </xf>
    <xf numFmtId="0" fontId="33" fillId="30" borderId="84" xfId="0" applyFont="1" applyFill="1" applyBorder="1" applyAlignment="1">
      <alignment horizontal="center" vertical="center"/>
    </xf>
    <xf numFmtId="0" fontId="33" fillId="30" borderId="59" xfId="0" applyFont="1" applyFill="1" applyBorder="1" applyAlignment="1">
      <alignment horizontal="center" vertical="center"/>
    </xf>
    <xf numFmtId="0" fontId="35" fillId="16" borderId="10" xfId="0" applyFont="1" applyFill="1" applyBorder="1" applyAlignment="1">
      <alignment horizontal="center" vertical="center"/>
    </xf>
    <xf numFmtId="0" fontId="35" fillId="28" borderId="10" xfId="0" applyFont="1" applyFill="1" applyBorder="1" applyAlignment="1">
      <alignment horizontal="center" vertical="center"/>
    </xf>
    <xf numFmtId="0" fontId="33" fillId="0" borderId="10" xfId="0" applyFont="1" applyBorder="1" applyAlignment="1">
      <alignment horizontal="right" vertical="center"/>
    </xf>
    <xf numFmtId="0" fontId="33" fillId="0" borderId="10" xfId="0" applyFont="1" applyBorder="1" applyAlignment="1">
      <alignment horizontal="center" vertical="center"/>
    </xf>
    <xf numFmtId="0" fontId="33" fillId="0" borderId="15" xfId="0" applyFont="1" applyBorder="1" applyAlignment="1">
      <alignment horizontal="center" vertical="center"/>
    </xf>
    <xf numFmtId="0" fontId="33" fillId="0" borderId="14" xfId="0" applyFont="1" applyBorder="1" applyAlignment="1">
      <alignment horizontal="center" vertical="center"/>
    </xf>
    <xf numFmtId="14" fontId="33" fillId="49" borderId="14" xfId="0" applyNumberFormat="1" applyFont="1" applyFill="1" applyBorder="1" applyAlignment="1">
      <alignment horizontal="center" vertical="center"/>
    </xf>
    <xf numFmtId="0" fontId="33" fillId="0" borderId="18" xfId="0" applyFont="1" applyBorder="1" applyAlignment="1">
      <alignment horizontal="left" vertical="center"/>
    </xf>
    <xf numFmtId="0" fontId="33" fillId="49" borderId="18" xfId="0" applyFont="1" applyFill="1" applyBorder="1" applyAlignment="1">
      <alignment horizontal="center" vertical="center" wrapText="1"/>
    </xf>
    <xf numFmtId="0" fontId="33" fillId="47" borderId="10" xfId="0" applyFont="1" applyFill="1" applyBorder="1" applyAlignment="1">
      <alignment horizontal="center" vertical="center"/>
    </xf>
    <xf numFmtId="0" fontId="33" fillId="0" borderId="10" xfId="0" applyFont="1" applyBorder="1" applyAlignment="1">
      <alignment horizontal="center" vertical="center" wrapText="1"/>
    </xf>
    <xf numFmtId="14" fontId="33" fillId="0" borderId="10" xfId="0" applyNumberFormat="1" applyFont="1" applyBorder="1" applyAlignment="1">
      <alignment horizontal="center" vertical="center"/>
    </xf>
    <xf numFmtId="0" fontId="33" fillId="0" borderId="10" xfId="0" applyFont="1" applyBorder="1" applyAlignment="1">
      <alignment horizontal="left" vertical="center"/>
    </xf>
    <xf numFmtId="0" fontId="33" fillId="49" borderId="10" xfId="0" applyFont="1" applyFill="1" applyBorder="1" applyAlignment="1">
      <alignment horizontal="center" vertical="center"/>
    </xf>
    <xf numFmtId="0" fontId="33" fillId="49" borderId="14" xfId="0" applyFont="1" applyFill="1" applyBorder="1" applyAlignment="1">
      <alignment horizontal="center" vertical="center"/>
    </xf>
    <xf numFmtId="0" fontId="35" fillId="0" borderId="12" xfId="0" applyFont="1" applyBorder="1" applyAlignment="1">
      <alignment horizontal="center" vertical="center"/>
    </xf>
    <xf numFmtId="0" fontId="35" fillId="54" borderId="12" xfId="0" applyFont="1" applyFill="1" applyBorder="1" applyAlignment="1">
      <alignment horizontal="center" vertical="center"/>
    </xf>
    <xf numFmtId="0" fontId="33" fillId="0" borderId="32" xfId="0" applyFont="1" applyBorder="1" applyAlignment="1">
      <alignment horizontal="left" vertical="center"/>
    </xf>
    <xf numFmtId="0" fontId="33" fillId="0" borderId="32" xfId="0" applyFont="1" applyBorder="1" applyAlignment="1">
      <alignment horizontal="center" vertical="center" wrapText="1"/>
    </xf>
    <xf numFmtId="168" fontId="35" fillId="49" borderId="18" xfId="0" applyNumberFormat="1" applyFont="1" applyFill="1" applyBorder="1" applyAlignment="1">
      <alignment horizontal="center" vertical="center"/>
    </xf>
    <xf numFmtId="0" fontId="33" fillId="0" borderId="12" xfId="0" applyFont="1" applyBorder="1"/>
    <xf numFmtId="0" fontId="33" fillId="16" borderId="10" xfId="0" applyFont="1" applyFill="1" applyBorder="1" applyAlignment="1">
      <alignment horizontal="center" vertical="center"/>
    </xf>
    <xf numFmtId="168" fontId="33" fillId="0" borderId="10" xfId="0" applyNumberFormat="1" applyFont="1" applyBorder="1" applyAlignment="1">
      <alignment horizontal="left" vertical="center"/>
    </xf>
    <xf numFmtId="0" fontId="35" fillId="30" borderId="10" xfId="0" applyFont="1" applyFill="1" applyBorder="1" applyAlignment="1">
      <alignment horizontal="center" vertical="center"/>
    </xf>
    <xf numFmtId="0" fontId="35" fillId="28" borderId="21" xfId="0" applyFont="1" applyFill="1" applyBorder="1" applyAlignment="1">
      <alignment horizontal="center" vertical="center"/>
    </xf>
    <xf numFmtId="174" fontId="33" fillId="49" borderId="18" xfId="0" applyNumberFormat="1" applyFont="1" applyFill="1" applyBorder="1" applyAlignment="1">
      <alignment horizontal="center" vertical="center"/>
    </xf>
    <xf numFmtId="0" fontId="33" fillId="28" borderId="14" xfId="0" applyFont="1" applyFill="1" applyBorder="1" applyAlignment="1">
      <alignment horizontal="center" vertical="center"/>
    </xf>
    <xf numFmtId="0" fontId="33" fillId="28" borderId="10" xfId="0" applyFont="1" applyFill="1" applyBorder="1" applyAlignment="1">
      <alignment horizontal="center" vertical="center"/>
    </xf>
    <xf numFmtId="0" fontId="33" fillId="0" borderId="81" xfId="0" applyFont="1" applyBorder="1" applyAlignment="1">
      <alignment horizontal="left" vertical="center"/>
    </xf>
    <xf numFmtId="0" fontId="33" fillId="0" borderId="20" xfId="0" applyFont="1" applyBorder="1" applyAlignment="1">
      <alignment horizontal="left" vertical="center"/>
    </xf>
    <xf numFmtId="0" fontId="20" fillId="28" borderId="18" xfId="0" applyFont="1" applyFill="1" applyBorder="1" applyAlignment="1">
      <alignment horizontal="center" vertical="center"/>
    </xf>
    <xf numFmtId="0" fontId="35" fillId="30" borderId="59" xfId="0" applyFont="1" applyFill="1" applyBorder="1" applyAlignment="1">
      <alignment horizontal="center" vertical="center"/>
    </xf>
    <xf numFmtId="176" fontId="33" fillId="0" borderId="10" xfId="31" applyNumberFormat="1" applyFont="1" applyFill="1" applyBorder="1" applyAlignment="1" applyProtection="1">
      <alignment horizontal="center" vertical="center"/>
    </xf>
    <xf numFmtId="0" fontId="35" fillId="28" borderId="18" xfId="0" applyFont="1" applyFill="1" applyBorder="1" applyAlignment="1">
      <alignment horizontal="center" vertical="center"/>
    </xf>
    <xf numFmtId="0" fontId="33" fillId="0" borderId="65" xfId="0" applyFont="1" applyBorder="1" applyAlignment="1">
      <alignment horizontal="left" vertical="center" wrapText="1"/>
    </xf>
    <xf numFmtId="0" fontId="33" fillId="0" borderId="60" xfId="0" applyFont="1" applyBorder="1" applyAlignment="1">
      <alignment horizontal="left" vertical="center" wrapText="1"/>
    </xf>
    <xf numFmtId="0" fontId="33" fillId="0" borderId="61" xfId="0" applyFont="1" applyBorder="1" applyAlignment="1">
      <alignment horizontal="left" vertical="center" wrapText="1"/>
    </xf>
    <xf numFmtId="0" fontId="35" fillId="30" borderId="14" xfId="0" applyFont="1" applyFill="1" applyBorder="1" applyAlignment="1">
      <alignment horizontal="center" vertical="center"/>
    </xf>
    <xf numFmtId="0" fontId="33" fillId="0" borderId="11" xfId="0" applyFont="1" applyBorder="1" applyAlignment="1">
      <alignment horizontal="left" vertical="center"/>
    </xf>
    <xf numFmtId="0" fontId="33" fillId="0" borderId="12" xfId="0" applyFont="1" applyBorder="1" applyAlignment="1">
      <alignment horizontal="left" vertical="center"/>
    </xf>
    <xf numFmtId="0" fontId="33" fillId="0" borderId="13" xfId="0" applyFont="1" applyBorder="1" applyAlignment="1">
      <alignment horizontal="left" vertical="center"/>
    </xf>
    <xf numFmtId="0" fontId="33" fillId="30" borderId="76" xfId="0" applyFont="1" applyFill="1" applyBorder="1" applyAlignment="1">
      <alignment horizontal="center" vertical="center"/>
    </xf>
    <xf numFmtId="0" fontId="33" fillId="0" borderId="14" xfId="0" applyFont="1" applyBorder="1" applyAlignment="1">
      <alignment horizontal="left" vertical="center"/>
    </xf>
    <xf numFmtId="10" fontId="33" fillId="0" borderId="14" xfId="44" applyNumberFormat="1" applyFont="1" applyFill="1" applyBorder="1" applyAlignment="1" applyProtection="1">
      <alignment horizontal="center" vertical="center"/>
    </xf>
    <xf numFmtId="10" fontId="33" fillId="0" borderId="10" xfId="44" applyNumberFormat="1" applyFont="1" applyFill="1" applyBorder="1" applyAlignment="1" applyProtection="1">
      <alignment horizontal="center" vertical="center"/>
    </xf>
    <xf numFmtId="168" fontId="33" fillId="0" borderId="14" xfId="0" applyNumberFormat="1" applyFont="1" applyBorder="1" applyAlignment="1">
      <alignment horizontal="center" vertical="center"/>
    </xf>
    <xf numFmtId="168" fontId="33" fillId="0" borderId="10" xfId="0" applyNumberFormat="1" applyFont="1" applyBorder="1" applyAlignment="1">
      <alignment horizontal="center" vertical="center"/>
    </xf>
    <xf numFmtId="0" fontId="33" fillId="0" borderId="65" xfId="0" applyFont="1" applyBorder="1" applyAlignment="1">
      <alignment horizontal="left" vertical="center"/>
    </xf>
    <xf numFmtId="0" fontId="33" fillId="0" borderId="60" xfId="0" applyFont="1" applyBorder="1" applyAlignment="1">
      <alignment horizontal="left" vertical="center"/>
    </xf>
    <xf numFmtId="0" fontId="33" fillId="0" borderId="61" xfId="0" applyFont="1" applyBorder="1" applyAlignment="1">
      <alignment horizontal="left" vertical="center"/>
    </xf>
    <xf numFmtId="0" fontId="33" fillId="0" borderId="82" xfId="0" applyFont="1" applyBorder="1" applyAlignment="1">
      <alignment horizontal="left" vertical="center"/>
    </xf>
    <xf numFmtId="0" fontId="33" fillId="0" borderId="66" xfId="0" applyFont="1" applyBorder="1" applyAlignment="1">
      <alignment horizontal="left" vertical="center"/>
    </xf>
    <xf numFmtId="0" fontId="33" fillId="0" borderId="67" xfId="0" applyFont="1" applyBorder="1" applyAlignment="1">
      <alignment horizontal="left" vertical="center"/>
    </xf>
    <xf numFmtId="0" fontId="35" fillId="30" borderId="57" xfId="0" applyFont="1" applyFill="1" applyBorder="1" applyAlignment="1">
      <alignment horizontal="center" vertical="center"/>
    </xf>
    <xf numFmtId="0" fontId="35" fillId="30" borderId="86" xfId="0" applyFont="1" applyFill="1" applyBorder="1" applyAlignment="1">
      <alignment horizontal="center" vertical="center"/>
    </xf>
    <xf numFmtId="0" fontId="35" fillId="30" borderId="82" xfId="0" applyFont="1" applyFill="1" applyBorder="1" applyAlignment="1">
      <alignment horizontal="center" vertical="center"/>
    </xf>
    <xf numFmtId="0" fontId="33" fillId="0" borderId="84" xfId="0" applyFont="1" applyBorder="1" applyAlignment="1">
      <alignment horizontal="center" vertical="center"/>
    </xf>
    <xf numFmtId="0" fontId="35" fillId="0" borderId="10" xfId="0" applyFont="1" applyBorder="1" applyAlignment="1">
      <alignment horizontal="left" vertical="center"/>
    </xf>
    <xf numFmtId="0" fontId="35" fillId="30" borderId="44" xfId="0" applyFont="1" applyFill="1" applyBorder="1" applyAlignment="1">
      <alignment horizontal="center" vertical="center"/>
    </xf>
    <xf numFmtId="0" fontId="35" fillId="30" borderId="60" xfId="0" applyFont="1" applyFill="1" applyBorder="1" applyAlignment="1">
      <alignment horizontal="center" vertical="center"/>
    </xf>
    <xf numFmtId="0" fontId="35" fillId="30" borderId="83" xfId="0" applyFont="1" applyFill="1" applyBorder="1" applyAlignment="1">
      <alignment horizontal="center" vertical="center"/>
    </xf>
    <xf numFmtId="0" fontId="35" fillId="0" borderId="12" xfId="0" applyFont="1" applyBorder="1" applyAlignment="1">
      <alignment horizontal="left" vertical="center"/>
    </xf>
    <xf numFmtId="10" fontId="33" fillId="0" borderId="10" xfId="0" applyNumberFormat="1" applyFont="1" applyBorder="1" applyAlignment="1">
      <alignment horizontal="center" vertical="center"/>
    </xf>
    <xf numFmtId="0" fontId="33" fillId="30" borderId="32" xfId="0" applyFont="1" applyFill="1" applyBorder="1" applyAlignment="1">
      <alignment horizontal="center" vertical="center"/>
    </xf>
    <xf numFmtId="0" fontId="33" fillId="30" borderId="10" xfId="0" applyFont="1" applyFill="1" applyBorder="1" applyAlignment="1">
      <alignment horizontal="center" vertical="center"/>
    </xf>
    <xf numFmtId="0" fontId="33" fillId="30" borderId="81" xfId="0" applyFont="1" applyFill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3" fillId="0" borderId="17" xfId="0" applyFont="1" applyBorder="1" applyAlignment="1">
      <alignment horizontal="left" vertical="center"/>
    </xf>
    <xf numFmtId="0" fontId="35" fillId="0" borderId="14" xfId="0" applyFont="1" applyBorder="1" applyAlignment="1">
      <alignment horizontal="left" vertical="center"/>
    </xf>
    <xf numFmtId="0" fontId="33" fillId="49" borderId="10" xfId="0" applyFont="1" applyFill="1" applyBorder="1" applyAlignment="1">
      <alignment horizontal="left" vertical="center"/>
    </xf>
    <xf numFmtId="0" fontId="35" fillId="30" borderId="81" xfId="0" applyFont="1" applyFill="1" applyBorder="1" applyAlignment="1">
      <alignment horizontal="center" vertical="center"/>
    </xf>
    <xf numFmtId="0" fontId="33" fillId="0" borderId="41" xfId="0" applyFont="1" applyBorder="1" applyAlignment="1">
      <alignment horizontal="left" vertical="center"/>
    </xf>
    <xf numFmtId="0" fontId="33" fillId="0" borderId="43" xfId="0" applyFont="1" applyBorder="1" applyAlignment="1">
      <alignment horizontal="left" vertical="center"/>
    </xf>
    <xf numFmtId="0" fontId="33" fillId="0" borderId="59" xfId="0" applyFont="1" applyBorder="1" applyAlignment="1">
      <alignment horizontal="left" vertical="center"/>
    </xf>
    <xf numFmtId="0" fontId="0" fillId="0" borderId="42" xfId="0" applyBorder="1" applyAlignment="1">
      <alignment horizontal="center"/>
    </xf>
    <xf numFmtId="0" fontId="0" fillId="0" borderId="18" xfId="0" applyBorder="1" applyAlignment="1">
      <alignment horizontal="center" wrapText="1"/>
    </xf>
    <xf numFmtId="14" fontId="33" fillId="49" borderId="10" xfId="0" applyNumberFormat="1" applyFont="1" applyFill="1" applyBorder="1" applyAlignment="1">
      <alignment horizontal="center"/>
    </xf>
    <xf numFmtId="0" fontId="33" fillId="49" borderId="59" xfId="0" applyFont="1" applyFill="1" applyBorder="1" applyAlignment="1">
      <alignment horizontal="center" vertical="center"/>
    </xf>
    <xf numFmtId="168" fontId="35" fillId="49" borderId="15" xfId="0" applyNumberFormat="1" applyFont="1" applyFill="1" applyBorder="1" applyAlignment="1">
      <alignment horizontal="center" vertical="center"/>
    </xf>
    <xf numFmtId="174" fontId="33" fillId="49" borderId="14" xfId="0" applyNumberFormat="1" applyFont="1" applyFill="1" applyBorder="1" applyAlignment="1">
      <alignment horizontal="center" vertical="center"/>
    </xf>
    <xf numFmtId="0" fontId="35" fillId="28" borderId="41" xfId="0" applyFont="1" applyFill="1" applyBorder="1" applyAlignment="1">
      <alignment horizontal="center" vertical="center"/>
    </xf>
    <xf numFmtId="0" fontId="35" fillId="28" borderId="85" xfId="0" applyFont="1" applyFill="1" applyBorder="1" applyAlignment="1">
      <alignment horizontal="center" vertical="center"/>
    </xf>
    <xf numFmtId="0" fontId="35" fillId="28" borderId="43" xfId="0" applyFont="1" applyFill="1" applyBorder="1" applyAlignment="1">
      <alignment horizontal="center" vertical="center"/>
    </xf>
    <xf numFmtId="0" fontId="33" fillId="28" borderId="41" xfId="0" applyFont="1" applyFill="1" applyBorder="1" applyAlignment="1">
      <alignment horizontal="center" vertical="center"/>
    </xf>
    <xf numFmtId="0" fontId="33" fillId="28" borderId="85" xfId="0" applyFont="1" applyFill="1" applyBorder="1" applyAlignment="1">
      <alignment horizontal="center" vertical="center"/>
    </xf>
    <xf numFmtId="0" fontId="33" fillId="28" borderId="43" xfId="0" applyFont="1" applyFill="1" applyBorder="1" applyAlignment="1">
      <alignment horizontal="center" vertical="center"/>
    </xf>
    <xf numFmtId="0" fontId="35" fillId="30" borderId="61" xfId="0" applyFont="1" applyFill="1" applyBorder="1" applyAlignment="1">
      <alignment horizontal="center" vertical="center"/>
    </xf>
    <xf numFmtId="0" fontId="35" fillId="30" borderId="11" xfId="0" applyFont="1" applyFill="1" applyBorder="1" applyAlignment="1">
      <alignment horizontal="center" vertical="center"/>
    </xf>
    <xf numFmtId="0" fontId="33" fillId="50" borderId="66" xfId="0" applyFont="1" applyFill="1" applyBorder="1" applyAlignment="1">
      <alignment horizontal="center" vertical="center"/>
    </xf>
    <xf numFmtId="0" fontId="33" fillId="50" borderId="67" xfId="0" applyFont="1" applyFill="1" applyBorder="1" applyAlignment="1">
      <alignment horizontal="center" vertical="center"/>
    </xf>
    <xf numFmtId="0" fontId="33" fillId="28" borderId="18" xfId="0" applyFont="1" applyFill="1" applyBorder="1" applyAlignment="1">
      <alignment horizontal="center" vertical="center"/>
    </xf>
    <xf numFmtId="0" fontId="33" fillId="30" borderId="15" xfId="0" applyFont="1" applyFill="1" applyBorder="1" applyAlignment="1">
      <alignment horizontal="center" vertical="center"/>
    </xf>
    <xf numFmtId="0" fontId="33" fillId="30" borderId="14" xfId="0" applyFont="1" applyFill="1" applyBorder="1" applyAlignment="1">
      <alignment horizontal="center" vertical="center"/>
    </xf>
    <xf numFmtId="0" fontId="33" fillId="30" borderId="24" xfId="0" applyFont="1" applyFill="1" applyBorder="1" applyAlignment="1">
      <alignment horizontal="center" vertical="center"/>
    </xf>
    <xf numFmtId="0" fontId="33" fillId="0" borderId="68" xfId="0" applyFont="1" applyBorder="1" applyAlignment="1">
      <alignment horizontal="left" vertical="center"/>
    </xf>
    <xf numFmtId="0" fontId="35" fillId="28" borderId="25" xfId="0" applyFont="1" applyFill="1" applyBorder="1" applyAlignment="1">
      <alignment horizontal="center" vertical="center"/>
    </xf>
    <xf numFmtId="0" fontId="35" fillId="28" borderId="26" xfId="0" applyFont="1" applyFill="1" applyBorder="1" applyAlignment="1">
      <alignment horizontal="center" vertical="center"/>
    </xf>
    <xf numFmtId="0" fontId="33" fillId="28" borderId="41" xfId="0" applyFont="1" applyFill="1" applyBorder="1" applyAlignment="1">
      <alignment horizontal="left" vertical="center"/>
    </xf>
    <xf numFmtId="0" fontId="33" fillId="28" borderId="85" xfId="0" applyFont="1" applyFill="1" applyBorder="1" applyAlignment="1">
      <alignment horizontal="left" vertical="center"/>
    </xf>
    <xf numFmtId="0" fontId="33" fillId="28" borderId="43" xfId="0" applyFont="1" applyFill="1" applyBorder="1" applyAlignment="1">
      <alignment horizontal="left" vertical="center"/>
    </xf>
    <xf numFmtId="0" fontId="35" fillId="30" borderId="19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168" fontId="33" fillId="0" borderId="59" xfId="0" applyNumberFormat="1" applyFont="1" applyBorder="1" applyAlignment="1">
      <alignment horizontal="center" vertical="center"/>
    </xf>
    <xf numFmtId="0" fontId="35" fillId="28" borderId="73" xfId="0" applyFont="1" applyFill="1" applyBorder="1" applyAlignment="1">
      <alignment horizontal="center" vertical="center"/>
    </xf>
    <xf numFmtId="0" fontId="35" fillId="28" borderId="0" xfId="0" applyFont="1" applyFill="1" applyBorder="1" applyAlignment="1">
      <alignment horizontal="center" vertical="center"/>
    </xf>
    <xf numFmtId="0" fontId="33" fillId="0" borderId="83" xfId="0" applyFont="1" applyBorder="1" applyAlignment="1">
      <alignment horizontal="left" vertical="center"/>
    </xf>
    <xf numFmtId="10" fontId="33" fillId="0" borderId="59" xfId="44" applyNumberFormat="1" applyFont="1" applyFill="1" applyBorder="1" applyAlignment="1" applyProtection="1">
      <alignment horizontal="center" vertical="center"/>
    </xf>
    <xf numFmtId="0" fontId="33" fillId="0" borderId="81" xfId="0" applyFont="1" applyBorder="1" applyAlignment="1">
      <alignment horizontal="center" vertical="center"/>
    </xf>
    <xf numFmtId="0" fontId="33" fillId="0" borderId="82" xfId="0" applyFont="1" applyBorder="1" applyAlignment="1">
      <alignment horizontal="center" vertical="center"/>
    </xf>
    <xf numFmtId="0" fontId="35" fillId="0" borderId="67" xfId="0" applyFont="1" applyBorder="1" applyAlignment="1">
      <alignment horizontal="center" vertical="center"/>
    </xf>
    <xf numFmtId="0" fontId="35" fillId="54" borderId="18" xfId="0" applyFont="1" applyFill="1" applyBorder="1" applyAlignment="1">
      <alignment horizontal="center" vertical="center"/>
    </xf>
    <xf numFmtId="0" fontId="33" fillId="0" borderId="59" xfId="0" applyFont="1" applyBorder="1" applyAlignment="1">
      <alignment horizontal="center" vertical="center"/>
    </xf>
    <xf numFmtId="14" fontId="33" fillId="49" borderId="59" xfId="0" applyNumberFormat="1" applyFont="1" applyFill="1" applyBorder="1" applyAlignment="1">
      <alignment horizontal="center"/>
    </xf>
    <xf numFmtId="176" fontId="33" fillId="0" borderId="32" xfId="31" applyNumberFormat="1" applyFont="1" applyFill="1" applyBorder="1" applyAlignment="1" applyProtection="1">
      <alignment horizontal="center" vertical="center"/>
    </xf>
    <xf numFmtId="176" fontId="33" fillId="0" borderId="24" xfId="31" applyNumberFormat="1" applyFont="1" applyFill="1" applyBorder="1" applyAlignment="1" applyProtection="1">
      <alignment horizontal="center" vertical="center"/>
    </xf>
    <xf numFmtId="176" fontId="33" fillId="0" borderId="59" xfId="31" applyNumberFormat="1" applyFont="1" applyFill="1" applyBorder="1" applyAlignment="1" applyProtection="1">
      <alignment horizontal="center" vertical="center"/>
    </xf>
    <xf numFmtId="0" fontId="33" fillId="0" borderId="91" xfId="0" applyFont="1" applyBorder="1" applyAlignment="1">
      <alignment horizontal="left" vertical="center"/>
    </xf>
    <xf numFmtId="0" fontId="33" fillId="0" borderId="92" xfId="0" applyFont="1" applyBorder="1" applyAlignment="1">
      <alignment horizontal="left" vertical="center"/>
    </xf>
    <xf numFmtId="0" fontId="33" fillId="0" borderId="93" xfId="0" applyFont="1" applyBorder="1" applyAlignment="1">
      <alignment horizontal="left" vertical="center"/>
    </xf>
    <xf numFmtId="0" fontId="35" fillId="28" borderId="48" xfId="0" applyFont="1" applyFill="1" applyBorder="1" applyAlignment="1">
      <alignment horizontal="center" vertical="center"/>
    </xf>
    <xf numFmtId="0" fontId="35" fillId="28" borderId="49" xfId="0" applyFont="1" applyFill="1" applyBorder="1" applyAlignment="1">
      <alignment horizontal="center" vertical="center"/>
    </xf>
    <xf numFmtId="0" fontId="35" fillId="28" borderId="50" xfId="0" applyFont="1" applyFill="1" applyBorder="1" applyAlignment="1">
      <alignment horizontal="center" vertical="center"/>
    </xf>
    <xf numFmtId="0" fontId="33" fillId="28" borderId="48" xfId="0" applyFont="1" applyFill="1" applyBorder="1" applyAlignment="1">
      <alignment horizontal="center" vertical="center"/>
    </xf>
    <xf numFmtId="0" fontId="33" fillId="28" borderId="49" xfId="0" applyFont="1" applyFill="1" applyBorder="1" applyAlignment="1">
      <alignment horizontal="center" vertical="center"/>
    </xf>
    <xf numFmtId="0" fontId="33" fillId="28" borderId="50" xfId="0" applyFont="1" applyFill="1" applyBorder="1" applyAlignment="1">
      <alignment horizontal="center" vertical="center"/>
    </xf>
    <xf numFmtId="0" fontId="33" fillId="30" borderId="103" xfId="0" applyFont="1" applyFill="1" applyBorder="1" applyAlignment="1">
      <alignment horizontal="center" vertical="center"/>
    </xf>
    <xf numFmtId="168" fontId="33" fillId="0" borderId="76" xfId="0" applyNumberFormat="1" applyFont="1" applyBorder="1" applyAlignment="1">
      <alignment horizontal="center" vertical="center"/>
    </xf>
    <xf numFmtId="0" fontId="33" fillId="0" borderId="0" xfId="0" applyFont="1" applyBorder="1" applyAlignment="1">
      <alignment horizontal="left" vertical="center"/>
    </xf>
    <xf numFmtId="0" fontId="20" fillId="28" borderId="48" xfId="0" applyFont="1" applyFill="1" applyBorder="1" applyAlignment="1">
      <alignment horizontal="center" vertical="center"/>
    </xf>
    <xf numFmtId="0" fontId="20" fillId="28" borderId="49" xfId="0" applyFont="1" applyFill="1" applyBorder="1" applyAlignment="1">
      <alignment horizontal="center" vertical="center"/>
    </xf>
    <xf numFmtId="0" fontId="20" fillId="28" borderId="50" xfId="0" applyFont="1" applyFill="1" applyBorder="1" applyAlignment="1">
      <alignment horizontal="center" vertical="center"/>
    </xf>
    <xf numFmtId="174" fontId="33" fillId="49" borderId="77" xfId="0" applyNumberFormat="1" applyFont="1" applyFill="1" applyBorder="1" applyAlignment="1">
      <alignment horizontal="center" vertical="center"/>
    </xf>
    <xf numFmtId="174" fontId="33" fillId="49" borderId="78" xfId="0" applyNumberFormat="1" applyFont="1" applyFill="1" applyBorder="1" applyAlignment="1">
      <alignment horizontal="center" vertical="center"/>
    </xf>
    <xf numFmtId="0" fontId="33" fillId="49" borderId="81" xfId="0" applyFont="1" applyFill="1" applyBorder="1" applyAlignment="1">
      <alignment horizontal="center" vertical="center"/>
    </xf>
    <xf numFmtId="0" fontId="33" fillId="0" borderId="81" xfId="0" applyFont="1" applyBorder="1" applyAlignment="1">
      <alignment horizontal="center" vertical="center" wrapText="1"/>
    </xf>
    <xf numFmtId="0" fontId="33" fillId="0" borderId="82" xfId="0" applyFont="1" applyBorder="1" applyAlignment="1">
      <alignment horizontal="center" vertical="center" wrapText="1"/>
    </xf>
    <xf numFmtId="168" fontId="35" fillId="49" borderId="79" xfId="0" applyNumberFormat="1" applyFont="1" applyFill="1" applyBorder="1" applyAlignment="1">
      <alignment horizontal="center" vertical="center"/>
    </xf>
    <xf numFmtId="168" fontId="35" fillId="49" borderId="80" xfId="0" applyNumberFormat="1" applyFont="1" applyFill="1" applyBorder="1" applyAlignment="1">
      <alignment horizontal="center" vertical="center"/>
    </xf>
    <xf numFmtId="0" fontId="33" fillId="49" borderId="41" xfId="0" applyFont="1" applyFill="1" applyBorder="1" applyAlignment="1">
      <alignment horizontal="center" vertical="center" wrapText="1"/>
    </xf>
    <xf numFmtId="0" fontId="33" fillId="49" borderId="43" xfId="0" applyFont="1" applyFill="1" applyBorder="1" applyAlignment="1">
      <alignment horizontal="center" vertical="center" wrapText="1"/>
    </xf>
    <xf numFmtId="14" fontId="33" fillId="49" borderId="10" xfId="0" applyNumberFormat="1" applyFont="1" applyFill="1" applyBorder="1" applyAlignment="1">
      <alignment horizontal="center" vertical="center"/>
    </xf>
    <xf numFmtId="168" fontId="33" fillId="0" borderId="28" xfId="0" applyNumberFormat="1" applyFont="1" applyBorder="1" applyAlignment="1">
      <alignment horizontal="center" vertical="center"/>
    </xf>
    <xf numFmtId="168" fontId="33" fillId="0" borderId="18" xfId="0" applyNumberFormat="1" applyFont="1" applyBorder="1" applyAlignment="1">
      <alignment horizontal="center" vertical="center"/>
    </xf>
    <xf numFmtId="10" fontId="33" fillId="0" borderId="28" xfId="44" applyNumberFormat="1" applyFont="1" applyFill="1" applyBorder="1" applyAlignment="1" applyProtection="1">
      <alignment horizontal="center" vertical="center"/>
    </xf>
    <xf numFmtId="10" fontId="33" fillId="0" borderId="18" xfId="44" applyNumberFormat="1" applyFont="1" applyFill="1" applyBorder="1" applyAlignment="1" applyProtection="1">
      <alignment horizontal="center" vertical="center"/>
    </xf>
    <xf numFmtId="0" fontId="33" fillId="0" borderId="18" xfId="0" applyFont="1" applyBorder="1" applyAlignment="1">
      <alignment horizontal="center" vertical="center"/>
    </xf>
    <xf numFmtId="0" fontId="33" fillId="0" borderId="28" xfId="0" applyFont="1" applyBorder="1" applyAlignment="1">
      <alignment horizontal="left" vertical="center"/>
    </xf>
    <xf numFmtId="0" fontId="33" fillId="0" borderId="57" xfId="0" applyFont="1" applyBorder="1" applyAlignment="1">
      <alignment horizontal="left" vertical="center"/>
    </xf>
    <xf numFmtId="0" fontId="33" fillId="0" borderId="86" xfId="0" applyFont="1" applyBorder="1" applyAlignment="1">
      <alignment horizontal="left" vertical="center"/>
    </xf>
    <xf numFmtId="0" fontId="33" fillId="0" borderId="64" xfId="0" applyFont="1" applyBorder="1" applyAlignment="1">
      <alignment horizontal="left" vertical="center"/>
    </xf>
    <xf numFmtId="0" fontId="33" fillId="30" borderId="101" xfId="0" applyFont="1" applyFill="1" applyBorder="1" applyAlignment="1">
      <alignment horizontal="center" vertical="center"/>
    </xf>
    <xf numFmtId="0" fontId="33" fillId="30" borderId="102" xfId="0" applyFont="1" applyFill="1" applyBorder="1" applyAlignment="1">
      <alignment horizontal="center" vertical="center"/>
    </xf>
    <xf numFmtId="0" fontId="33" fillId="0" borderId="67" xfId="0" applyFont="1" applyBorder="1"/>
    <xf numFmtId="0" fontId="33" fillId="0" borderId="33" xfId="0" applyFont="1" applyBorder="1" applyAlignment="1">
      <alignment horizontal="left" vertical="center"/>
    </xf>
    <xf numFmtId="0" fontId="33" fillId="0" borderId="62" xfId="0" applyFont="1" applyBorder="1" applyAlignment="1">
      <alignment horizontal="left" vertical="center"/>
    </xf>
    <xf numFmtId="0" fontId="33" fillId="0" borderId="44" xfId="0" applyFont="1" applyBorder="1" applyAlignment="1">
      <alignment horizontal="left" vertical="center"/>
    </xf>
    <xf numFmtId="0" fontId="33" fillId="0" borderId="58" xfId="0" applyFont="1" applyBorder="1" applyAlignment="1">
      <alignment horizontal="left" vertical="center"/>
    </xf>
    <xf numFmtId="0" fontId="33" fillId="0" borderId="63" xfId="0" applyFont="1" applyBorder="1" applyAlignment="1">
      <alignment horizontal="left" vertical="center"/>
    </xf>
    <xf numFmtId="176" fontId="33" fillId="0" borderId="18" xfId="31" applyNumberFormat="1" applyFont="1" applyFill="1" applyBorder="1" applyAlignment="1" applyProtection="1">
      <alignment horizontal="center" vertical="center"/>
    </xf>
    <xf numFmtId="176" fontId="33" fillId="0" borderId="66" xfId="31" applyNumberFormat="1" applyFont="1" applyFill="1" applyBorder="1" applyAlignment="1" applyProtection="1">
      <alignment horizontal="center" vertical="center"/>
    </xf>
    <xf numFmtId="176" fontId="33" fillId="0" borderId="58" xfId="31" applyNumberFormat="1" applyFont="1" applyFill="1" applyBorder="1" applyAlignment="1" applyProtection="1">
      <alignment horizontal="center" vertical="center"/>
    </xf>
    <xf numFmtId="176" fontId="33" fillId="0" borderId="57" xfId="31" applyNumberFormat="1" applyFont="1" applyFill="1" applyBorder="1" applyAlignment="1" applyProtection="1">
      <alignment horizontal="center" vertical="center"/>
    </xf>
    <xf numFmtId="0" fontId="35" fillId="0" borderId="81" xfId="0" applyFont="1" applyBorder="1" applyAlignment="1">
      <alignment horizontal="left" vertical="center"/>
    </xf>
    <xf numFmtId="0" fontId="35" fillId="0" borderId="83" xfId="0" applyFont="1" applyBorder="1" applyAlignment="1">
      <alignment horizontal="left" vertical="center"/>
    </xf>
    <xf numFmtId="10" fontId="33" fillId="0" borderId="32" xfId="0" applyNumberFormat="1" applyFont="1" applyBorder="1" applyAlignment="1">
      <alignment horizontal="center" vertical="center"/>
    </xf>
    <xf numFmtId="10" fontId="33" fillId="0" borderId="24" xfId="0" applyNumberFormat="1" applyFont="1" applyBorder="1" applyAlignment="1">
      <alignment horizontal="center" vertical="center"/>
    </xf>
    <xf numFmtId="10" fontId="33" fillId="0" borderId="59" xfId="0" applyNumberFormat="1" applyFont="1" applyBorder="1" applyAlignment="1">
      <alignment horizontal="center" vertical="center"/>
    </xf>
    <xf numFmtId="0" fontId="35" fillId="0" borderId="57" xfId="0" applyFont="1" applyBorder="1" applyAlignment="1">
      <alignment horizontal="left" vertical="center"/>
    </xf>
    <xf numFmtId="0" fontId="33" fillId="49" borderId="81" xfId="0" applyFont="1" applyFill="1" applyBorder="1" applyAlignment="1">
      <alignment horizontal="left" vertical="center"/>
    </xf>
    <xf numFmtId="0" fontId="33" fillId="0" borderId="23" xfId="0" applyFont="1" applyBorder="1" applyAlignment="1">
      <alignment horizontal="left" vertical="center"/>
    </xf>
    <xf numFmtId="0" fontId="54" fillId="32" borderId="88" xfId="0" applyFont="1" applyFill="1" applyBorder="1" applyAlignment="1">
      <alignment horizontal="center" vertical="center" wrapText="1"/>
    </xf>
    <xf numFmtId="0" fontId="54" fillId="32" borderId="89" xfId="0" applyFont="1" applyFill="1" applyBorder="1" applyAlignment="1">
      <alignment horizontal="center" vertical="center" wrapText="1"/>
    </xf>
    <xf numFmtId="0" fontId="54" fillId="32" borderId="90" xfId="0" applyFont="1" applyFill="1" applyBorder="1" applyAlignment="1">
      <alignment horizontal="center" vertical="center" wrapText="1"/>
    </xf>
    <xf numFmtId="0" fontId="54" fillId="32" borderId="94" xfId="0" applyFont="1" applyFill="1" applyBorder="1" applyAlignment="1">
      <alignment horizontal="center" vertical="center" wrapText="1"/>
    </xf>
    <xf numFmtId="0" fontId="46" fillId="0" borderId="42" xfId="0" applyFont="1" applyBorder="1" applyAlignment="1">
      <alignment horizontal="center" vertical="center" wrapText="1"/>
    </xf>
    <xf numFmtId="0" fontId="46" fillId="0" borderId="28" xfId="0" applyFont="1" applyBorder="1" applyAlignment="1">
      <alignment horizontal="center" vertical="center" wrapText="1"/>
    </xf>
    <xf numFmtId="0" fontId="46" fillId="39" borderId="18" xfId="0" applyFont="1" applyFill="1" applyBorder="1" applyAlignment="1">
      <alignment horizontal="center" vertical="center" wrapText="1"/>
    </xf>
    <xf numFmtId="0" fontId="46" fillId="0" borderId="36" xfId="0" applyFont="1" applyBorder="1" applyAlignment="1">
      <alignment horizontal="center" vertical="center" wrapText="1"/>
    </xf>
    <xf numFmtId="0" fontId="46" fillId="47" borderId="36" xfId="0" applyFont="1" applyFill="1" applyBorder="1" applyAlignment="1">
      <alignment horizontal="center" vertical="center" wrapText="1"/>
    </xf>
    <xf numFmtId="0" fontId="48" fillId="31" borderId="36" xfId="0" applyFont="1" applyFill="1" applyBorder="1" applyAlignment="1">
      <alignment horizontal="center" vertical="center"/>
    </xf>
    <xf numFmtId="0" fontId="46" fillId="32" borderId="37" xfId="0" applyFont="1" applyFill="1" applyBorder="1" applyAlignment="1">
      <alignment horizontal="center" vertical="center"/>
    </xf>
    <xf numFmtId="0" fontId="46" fillId="32" borderId="38" xfId="0" applyFont="1" applyFill="1" applyBorder="1" applyAlignment="1">
      <alignment horizontal="center" vertical="center"/>
    </xf>
    <xf numFmtId="0" fontId="46" fillId="32" borderId="39" xfId="0" applyFont="1" applyFill="1" applyBorder="1" applyAlignment="1">
      <alignment horizontal="center" vertical="center"/>
    </xf>
    <xf numFmtId="0" fontId="46" fillId="39" borderId="37" xfId="0" applyFont="1" applyFill="1" applyBorder="1" applyAlignment="1">
      <alignment horizontal="center" vertical="center" wrapText="1"/>
    </xf>
    <xf numFmtId="0" fontId="46" fillId="39" borderId="38" xfId="0" applyFont="1" applyFill="1" applyBorder="1" applyAlignment="1">
      <alignment horizontal="center" vertical="center" wrapText="1"/>
    </xf>
    <xf numFmtId="0" fontId="46" fillId="39" borderId="39" xfId="0" applyFont="1" applyFill="1" applyBorder="1" applyAlignment="1">
      <alignment horizontal="center" vertical="center" wrapText="1"/>
    </xf>
    <xf numFmtId="0" fontId="46" fillId="0" borderId="37" xfId="0" applyFont="1" applyBorder="1" applyAlignment="1">
      <alignment horizontal="center" vertical="center"/>
    </xf>
    <xf numFmtId="0" fontId="46" fillId="0" borderId="38" xfId="0" applyFont="1" applyBorder="1" applyAlignment="1">
      <alignment horizontal="center" vertical="center"/>
    </xf>
    <xf numFmtId="0" fontId="46" fillId="39" borderId="36" xfId="0" applyFont="1" applyFill="1" applyBorder="1" applyAlignment="1">
      <alignment horizontal="center" vertical="center" wrapText="1"/>
    </xf>
    <xf numFmtId="0" fontId="46" fillId="0" borderId="39" xfId="0" applyFont="1" applyBorder="1" applyAlignment="1">
      <alignment horizontal="center" vertical="center"/>
    </xf>
    <xf numFmtId="173" fontId="64" fillId="44" borderId="52" xfId="49" applyFont="1" applyFill="1" applyBorder="1" applyAlignment="1" applyProtection="1">
      <alignment horizontal="center" vertical="center"/>
    </xf>
    <xf numFmtId="173" fontId="64" fillId="44" borderId="54" xfId="49" applyFont="1" applyFill="1" applyBorder="1" applyAlignment="1" applyProtection="1">
      <alignment horizontal="center" vertical="center"/>
    </xf>
    <xf numFmtId="0" fontId="59" fillId="0" borderId="48" xfId="0" applyFont="1" applyBorder="1" applyAlignment="1">
      <alignment horizontal="center" vertical="center" wrapText="1"/>
    </xf>
    <xf numFmtId="0" fontId="59" fillId="0" borderId="56" xfId="0" applyFont="1" applyBorder="1" applyAlignment="1">
      <alignment horizontal="center" vertical="center" wrapText="1"/>
    </xf>
    <xf numFmtId="0" fontId="59" fillId="0" borderId="35" xfId="0" applyFont="1" applyBorder="1" applyAlignment="1">
      <alignment horizontal="center" vertical="center" wrapText="1"/>
    </xf>
    <xf numFmtId="0" fontId="59" fillId="0" borderId="48" xfId="0" applyFont="1" applyBorder="1" applyAlignment="1">
      <alignment horizontal="left" vertical="center"/>
    </xf>
    <xf numFmtId="0" fontId="59" fillId="0" borderId="49" xfId="0" applyFont="1" applyBorder="1" applyAlignment="1">
      <alignment horizontal="left" vertical="center"/>
    </xf>
    <xf numFmtId="0" fontId="59" fillId="0" borderId="50" xfId="0" applyFont="1" applyBorder="1" applyAlignment="1">
      <alignment horizontal="left" vertical="center"/>
    </xf>
    <xf numFmtId="0" fontId="59" fillId="44" borderId="48" xfId="0" applyFont="1" applyFill="1" applyBorder="1" applyAlignment="1">
      <alignment horizontal="left" vertical="center"/>
    </xf>
    <xf numFmtId="0" fontId="59" fillId="44" borderId="49" xfId="0" applyFont="1" applyFill="1" applyBorder="1" applyAlignment="1">
      <alignment horizontal="left" vertical="center"/>
    </xf>
    <xf numFmtId="0" fontId="59" fillId="44" borderId="50" xfId="0" applyFont="1" applyFill="1" applyBorder="1" applyAlignment="1">
      <alignment horizontal="left" vertical="center"/>
    </xf>
    <xf numFmtId="0" fontId="59" fillId="0" borderId="47" xfId="0" applyFont="1" applyBorder="1" applyAlignment="1">
      <alignment horizontal="center" vertical="center" wrapText="1"/>
    </xf>
    <xf numFmtId="0" fontId="59" fillId="0" borderId="49" xfId="0" applyFont="1" applyBorder="1" applyAlignment="1">
      <alignment horizontal="center" vertical="center" wrapText="1"/>
    </xf>
    <xf numFmtId="0" fontId="59" fillId="65" borderId="28" xfId="0" applyFont="1" applyFill="1" applyBorder="1" applyAlignment="1">
      <alignment horizontal="center" vertical="center" wrapText="1"/>
    </xf>
    <xf numFmtId="0" fontId="59" fillId="65" borderId="47" xfId="0" applyFont="1" applyFill="1" applyBorder="1" applyAlignment="1">
      <alignment horizontal="center" vertical="center" wrapText="1"/>
    </xf>
    <xf numFmtId="0" fontId="59" fillId="65" borderId="49" xfId="0" applyFont="1" applyFill="1" applyBorder="1" applyAlignment="1">
      <alignment horizontal="center" vertical="center"/>
    </xf>
    <xf numFmtId="0" fontId="59" fillId="0" borderId="50" xfId="0" applyFont="1" applyBorder="1" applyAlignment="1">
      <alignment horizontal="center" vertical="center" wrapText="1"/>
    </xf>
    <xf numFmtId="0" fontId="59" fillId="47" borderId="52" xfId="0" applyFont="1" applyFill="1" applyBorder="1" applyAlignment="1">
      <alignment horizontal="center" vertical="center" wrapText="1"/>
    </xf>
    <xf numFmtId="0" fontId="59" fillId="47" borderId="54" xfId="0" applyFont="1" applyFill="1" applyBorder="1" applyAlignment="1">
      <alignment horizontal="center" vertical="center" wrapText="1"/>
    </xf>
    <xf numFmtId="0" fontId="59" fillId="66" borderId="48" xfId="0" applyFont="1" applyFill="1" applyBorder="1" applyAlignment="1">
      <alignment horizontal="left" vertical="center"/>
    </xf>
    <xf numFmtId="0" fontId="59" fillId="66" borderId="49" xfId="0" applyFont="1" applyFill="1" applyBorder="1" applyAlignment="1">
      <alignment horizontal="left" vertical="center"/>
    </xf>
    <xf numFmtId="0" fontId="59" fillId="66" borderId="50" xfId="0" applyFont="1" applyFill="1" applyBorder="1" applyAlignment="1">
      <alignment horizontal="left" vertical="center"/>
    </xf>
    <xf numFmtId="184" fontId="0" fillId="0" borderId="47" xfId="0" applyNumberFormat="1" applyBorder="1" applyAlignment="1">
      <alignment horizontal="right" vertical="center" wrapText="1"/>
    </xf>
    <xf numFmtId="0" fontId="59" fillId="0" borderId="28" xfId="0" applyFont="1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184" fontId="0" fillId="0" borderId="47" xfId="0" applyNumberFormat="1" applyBorder="1" applyAlignment="1">
      <alignment horizontal="center" vertical="center" wrapText="1"/>
    </xf>
    <xf numFmtId="181" fontId="0" fillId="0" borderId="47" xfId="0" applyNumberFormat="1" applyBorder="1" applyAlignment="1">
      <alignment horizontal="center" vertical="center" wrapText="1"/>
    </xf>
    <xf numFmtId="0" fontId="59" fillId="69" borderId="50" xfId="0" applyFont="1" applyFill="1" applyBorder="1" applyAlignment="1">
      <alignment horizontal="center" vertical="center"/>
    </xf>
    <xf numFmtId="181" fontId="0" fillId="0" borderId="56" xfId="0" applyNumberFormat="1" applyBorder="1" applyAlignment="1">
      <alignment horizontal="center" vertical="center" wrapText="1"/>
    </xf>
    <xf numFmtId="181" fontId="0" fillId="0" borderId="28" xfId="0" applyNumberFormat="1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184" fontId="0" fillId="0" borderId="56" xfId="0" applyNumberFormat="1" applyBorder="1" applyAlignment="1">
      <alignment horizontal="center" vertical="center" wrapText="1"/>
    </xf>
    <xf numFmtId="184" fontId="0" fillId="0" borderId="28" xfId="0" applyNumberFormat="1" applyBorder="1" applyAlignment="1">
      <alignment horizontal="center" vertical="center" wrapText="1"/>
    </xf>
    <xf numFmtId="0" fontId="59" fillId="0" borderId="53" xfId="0" applyFont="1" applyBorder="1" applyAlignment="1">
      <alignment horizontal="center" vertical="center" wrapText="1"/>
    </xf>
    <xf numFmtId="0" fontId="59" fillId="0" borderId="95" xfId="0" applyFont="1" applyBorder="1" applyAlignment="1">
      <alignment horizontal="center" vertical="center" wrapText="1"/>
    </xf>
    <xf numFmtId="0" fontId="59" fillId="0" borderId="55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84" fontId="0" fillId="0" borderId="35" xfId="0" applyNumberFormat="1" applyBorder="1" applyAlignment="1">
      <alignment horizontal="center" vertical="center" wrapText="1"/>
    </xf>
    <xf numFmtId="181" fontId="0" fillId="0" borderId="35" xfId="0" applyNumberFormat="1" applyBorder="1" applyAlignment="1">
      <alignment horizontal="center" vertical="center" wrapText="1"/>
    </xf>
    <xf numFmtId="0" fontId="59" fillId="66" borderId="51" xfId="0" applyFont="1" applyFill="1" applyBorder="1" applyAlignment="1">
      <alignment horizontal="left" vertical="center"/>
    </xf>
    <xf numFmtId="0" fontId="59" fillId="66" borderId="52" xfId="0" applyFont="1" applyFill="1" applyBorder="1" applyAlignment="1">
      <alignment horizontal="left" vertical="center"/>
    </xf>
    <xf numFmtId="0" fontId="59" fillId="66" borderId="53" xfId="0" applyFont="1" applyFill="1" applyBorder="1" applyAlignment="1">
      <alignment horizontal="left" vertical="center"/>
    </xf>
    <xf numFmtId="0" fontId="59" fillId="65" borderId="55" xfId="0" applyFont="1" applyFill="1" applyBorder="1" applyAlignment="1">
      <alignment horizontal="center" vertical="center" wrapText="1"/>
    </xf>
    <xf numFmtId="0" fontId="59" fillId="44" borderId="47" xfId="0" applyFont="1" applyFill="1" applyBorder="1" applyAlignment="1">
      <alignment horizontal="right" vertical="center" wrapText="1"/>
    </xf>
    <xf numFmtId="184" fontId="0" fillId="0" borderId="56" xfId="0" applyNumberFormat="1" applyBorder="1" applyAlignment="1">
      <alignment horizontal="right" vertical="center" wrapText="1"/>
    </xf>
    <xf numFmtId="184" fontId="0" fillId="0" borderId="35" xfId="0" applyNumberFormat="1" applyBorder="1" applyAlignment="1">
      <alignment horizontal="right" vertical="center" wrapText="1"/>
    </xf>
    <xf numFmtId="184" fontId="0" fillId="0" borderId="28" xfId="0" applyNumberFormat="1" applyBorder="1" applyAlignment="1">
      <alignment horizontal="right" vertical="center" wrapText="1"/>
    </xf>
    <xf numFmtId="0" fontId="59" fillId="0" borderId="96" xfId="0" applyFont="1" applyBorder="1" applyAlignment="1">
      <alignment horizontal="center" vertical="center" wrapText="1"/>
    </xf>
    <xf numFmtId="0" fontId="59" fillId="67" borderId="0" xfId="0" applyFont="1" applyFill="1" applyAlignment="1">
      <alignment horizontal="center" vertical="center"/>
    </xf>
    <xf numFmtId="184" fontId="59" fillId="67" borderId="0" xfId="0" applyNumberFormat="1" applyFont="1" applyFill="1" applyAlignment="1">
      <alignment horizontal="center" vertical="center"/>
    </xf>
    <xf numFmtId="0" fontId="0" fillId="44" borderId="99" xfId="0" applyFill="1" applyBorder="1" applyAlignment="1">
      <alignment horizontal="center" vertical="center"/>
    </xf>
    <xf numFmtId="14" fontId="35" fillId="42" borderId="28" xfId="0" applyNumberFormat="1" applyFont="1" applyFill="1" applyBorder="1" applyAlignment="1">
      <alignment horizontal="center" vertical="center" wrapText="1"/>
    </xf>
    <xf numFmtId="0" fontId="35" fillId="42" borderId="28" xfId="0" applyFont="1" applyFill="1" applyBorder="1" applyAlignment="1">
      <alignment horizontal="center" vertical="center" wrapText="1"/>
    </xf>
    <xf numFmtId="0" fontId="35" fillId="42" borderId="18" xfId="0" applyFont="1" applyFill="1" applyBorder="1" applyAlignment="1">
      <alignment horizontal="center" vertical="center" wrapText="1"/>
    </xf>
    <xf numFmtId="176" fontId="0" fillId="27" borderId="21" xfId="0" applyNumberFormat="1" applyFont="1" applyFill="1" applyBorder="1" applyAlignment="1" applyProtection="1">
      <alignment horizontal="center" vertical="center"/>
      <protection locked="0"/>
    </xf>
    <xf numFmtId="176" fontId="0" fillId="27" borderId="47" xfId="0" applyNumberFormat="1" applyFont="1" applyFill="1" applyBorder="1" applyAlignment="1" applyProtection="1">
      <alignment horizontal="center" vertical="center"/>
      <protection locked="0"/>
    </xf>
    <xf numFmtId="176" fontId="67" fillId="73" borderId="56" xfId="0" applyNumberFormat="1" applyFont="1" applyFill="1" applyBorder="1" applyAlignment="1">
      <alignment horizontal="center" vertical="center" wrapText="1"/>
    </xf>
    <xf numFmtId="0" fontId="33" fillId="49" borderId="64" xfId="0" applyFont="1" applyFill="1" applyBorder="1" applyAlignment="1">
      <alignment horizontal="center" vertical="center"/>
    </xf>
    <xf numFmtId="14" fontId="33" fillId="49" borderId="57" xfId="0" applyNumberFormat="1" applyFont="1" applyFill="1" applyBorder="1" applyAlignment="1">
      <alignment horizontal="center" vertical="center"/>
    </xf>
    <xf numFmtId="14" fontId="33" fillId="49" borderId="64" xfId="0" applyNumberFormat="1" applyFont="1" applyFill="1" applyBorder="1" applyAlignment="1">
      <alignment horizontal="center" vertical="center"/>
    </xf>
    <xf numFmtId="14" fontId="33" fillId="49" borderId="59" xfId="0" applyNumberFormat="1" applyFont="1" applyFill="1" applyBorder="1" applyAlignment="1">
      <alignment horizontal="center" vertical="center"/>
    </xf>
  </cellXfs>
  <cellStyles count="50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Excel Built-in Currency" xfId="48"/>
    <cellStyle name="Excel Built-in Explanatory Text" xfId="49"/>
    <cellStyle name="Excel Built-in Percent 1" xfId="45"/>
    <cellStyle name="Incorreto" xfId="30"/>
    <cellStyle name="Moeda" xfId="31" builtinId="4"/>
    <cellStyle name="Moeda 2" xfId="46"/>
    <cellStyle name="Neutra" xfId="32"/>
    <cellStyle name="Normal" xfId="0" builtinId="0"/>
    <cellStyle name="Nota" xfId="33" builtinId="10" customBuiltin="1"/>
    <cellStyle name="Porcentagem" xfId="44" builtinId="5"/>
    <cellStyle name="Porcentagem 2" xfId="47"/>
    <cellStyle name="Saída" xfId="34" builtinId="21" customBuiltin="1"/>
    <cellStyle name="Texto de Aviso" xfId="35" builtinId="11" customBuiltin="1"/>
    <cellStyle name="Texto Explicativo" xfId="36" builtinId="53" customBuiltin="1"/>
    <cellStyle name="Título 1" xfId="37" builtinId="16" customBuiltin="1"/>
    <cellStyle name="Título 2" xfId="38" builtinId="17" customBuiltin="1"/>
    <cellStyle name="Título 3" xfId="39" builtinId="18" customBuiltin="1"/>
    <cellStyle name="Título 4" xfId="40" builtinId="19" customBuiltin="1"/>
    <cellStyle name="Título 5" xfId="41"/>
    <cellStyle name="Total" xfId="42" builtinId="25" customBuiltin="1"/>
    <cellStyle name="Vírgula" xfId="43" builtinId="3"/>
  </cellStyles>
  <dxfs count="4">
    <dxf>
      <font>
        <b/>
        <i val="0"/>
      </font>
    </dxf>
    <dxf>
      <font>
        <b/>
        <i val="0"/>
      </font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009900"/>
      <rgbColor rgb="00800080"/>
      <rgbColor rgb="00006B6B"/>
      <rgbColor rgb="00C0C0C0"/>
      <rgbColor rgb="00808080"/>
      <rgbColor rgb="009999FF"/>
      <rgbColor rgb="00FF3300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66"/>
      <rgbColor rgb="0000FFFF"/>
      <rgbColor rgb="00800080"/>
      <rgbColor rgb="00800000"/>
      <rgbColor rgb="00009933"/>
      <rgbColor rgb="003333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0047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  <color rgb="FFFBFECE"/>
      <color rgb="FFF7FF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GBox" noThreeD="1"/>
</file>

<file path=xl/ctrlProps/ctrlProp8.xml><?xml version="1.0" encoding="utf-8"?>
<formControlPr xmlns="http://schemas.microsoft.com/office/spreadsheetml/2009/9/main" objectType="GBox" noThreeD="1"/>
</file>

<file path=xl/ctrlProps/ctrlProp9.xml><?xml version="1.0" encoding="utf-8"?>
<formControlPr xmlns="http://schemas.microsoft.com/office/spreadsheetml/2009/9/main" objectType="GBox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24</xdr:row>
          <xdr:rowOff>0</xdr:rowOff>
        </xdr:from>
        <xdr:to>
          <xdr:col>4</xdr:col>
          <xdr:colOff>0</xdr:colOff>
          <xdr:row>25</xdr:row>
          <xdr:rowOff>0</xdr:rowOff>
        </xdr:to>
        <xdr:sp macro="" textlink="">
          <xdr:nvSpPr>
            <xdr:cNvPr id="29752" name="Group Box 56" hidden="1">
              <a:extLst>
                <a:ext uri="{63B3BB69-23CF-44E3-9099-C40C66FF867C}">
                  <a14:compatExt spid="_x0000_s29752"/>
                </a:ext>
                <a:ext uri="{FF2B5EF4-FFF2-40B4-BE49-F238E27FC236}">
                  <a16:creationId xmlns:a16="http://schemas.microsoft.com/office/drawing/2014/main" xmlns="" id="{00000000-0008-0000-0200-00008B5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21</xdr:row>
          <xdr:rowOff>0</xdr:rowOff>
        </xdr:from>
        <xdr:to>
          <xdr:col>4</xdr:col>
          <xdr:colOff>0</xdr:colOff>
          <xdr:row>22</xdr:row>
          <xdr:rowOff>0</xdr:rowOff>
        </xdr:to>
        <xdr:sp macro="" textlink="">
          <xdr:nvSpPr>
            <xdr:cNvPr id="29756" name="Group Box 60" hidden="1">
              <a:extLst>
                <a:ext uri="{63B3BB69-23CF-44E3-9099-C40C66FF867C}">
                  <a14:compatExt spid="_x0000_s29756"/>
                </a:ext>
                <a:ext uri="{FF2B5EF4-FFF2-40B4-BE49-F238E27FC236}">
                  <a16:creationId xmlns:a16="http://schemas.microsoft.com/office/drawing/2014/main" xmlns="" id="{00000000-0008-0000-0200-00008F5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22</xdr:row>
          <xdr:rowOff>0</xdr:rowOff>
        </xdr:from>
        <xdr:to>
          <xdr:col>4</xdr:col>
          <xdr:colOff>0</xdr:colOff>
          <xdr:row>23</xdr:row>
          <xdr:rowOff>0</xdr:rowOff>
        </xdr:to>
        <xdr:sp macro="" textlink="">
          <xdr:nvSpPr>
            <xdr:cNvPr id="29762" name="Group Box 66" hidden="1">
              <a:extLst>
                <a:ext uri="{63B3BB69-23CF-44E3-9099-C40C66FF867C}">
                  <a14:compatExt spid="_x0000_s29762"/>
                </a:ext>
                <a:ext uri="{FF2B5EF4-FFF2-40B4-BE49-F238E27FC236}">
                  <a16:creationId xmlns:a16="http://schemas.microsoft.com/office/drawing/2014/main" xmlns="" id="{00000000-0008-0000-0200-0000955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23</xdr:row>
          <xdr:rowOff>0</xdr:rowOff>
        </xdr:from>
        <xdr:to>
          <xdr:col>4</xdr:col>
          <xdr:colOff>0</xdr:colOff>
          <xdr:row>24</xdr:row>
          <xdr:rowOff>0</xdr:rowOff>
        </xdr:to>
        <xdr:sp macro="" textlink="">
          <xdr:nvSpPr>
            <xdr:cNvPr id="29772" name="Group Box 76" hidden="1">
              <a:extLst>
                <a:ext uri="{63B3BB69-23CF-44E3-9099-C40C66FF867C}">
                  <a14:compatExt spid="_x0000_s29772"/>
                </a:ext>
                <a:ext uri="{FF2B5EF4-FFF2-40B4-BE49-F238E27FC236}">
                  <a16:creationId xmlns:a16="http://schemas.microsoft.com/office/drawing/2014/main" xmlns="" id="{00000000-0008-0000-0200-00009F5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24</xdr:row>
          <xdr:rowOff>0</xdr:rowOff>
        </xdr:from>
        <xdr:to>
          <xdr:col>4</xdr:col>
          <xdr:colOff>0</xdr:colOff>
          <xdr:row>25</xdr:row>
          <xdr:rowOff>0</xdr:rowOff>
        </xdr:to>
        <xdr:sp macro="" textlink="">
          <xdr:nvSpPr>
            <xdr:cNvPr id="29774" name="Group Box 78" hidden="1">
              <a:extLst>
                <a:ext uri="{63B3BB69-23CF-44E3-9099-C40C66FF867C}">
                  <a14:compatExt spid="_x0000_s29774"/>
                </a:ext>
                <a:ext uri="{FF2B5EF4-FFF2-40B4-BE49-F238E27FC236}">
                  <a16:creationId xmlns:a16="http://schemas.microsoft.com/office/drawing/2014/main" xmlns="" id="{00000000-0008-0000-0200-0000A15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24</xdr:row>
          <xdr:rowOff>0</xdr:rowOff>
        </xdr:from>
        <xdr:to>
          <xdr:col>4</xdr:col>
          <xdr:colOff>0</xdr:colOff>
          <xdr:row>25</xdr:row>
          <xdr:rowOff>0</xdr:rowOff>
        </xdr:to>
        <xdr:sp macro="" textlink="">
          <xdr:nvSpPr>
            <xdr:cNvPr id="29776" name="Group Box 80" hidden="1">
              <a:extLst>
                <a:ext uri="{63B3BB69-23CF-44E3-9099-C40C66FF867C}">
                  <a14:compatExt spid="_x0000_s29776"/>
                </a:ext>
                <a:ext uri="{FF2B5EF4-FFF2-40B4-BE49-F238E27FC236}">
                  <a16:creationId xmlns:a16="http://schemas.microsoft.com/office/drawing/2014/main" xmlns="" id="{00000000-0008-0000-0200-0000A35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23</xdr:row>
          <xdr:rowOff>0</xdr:rowOff>
        </xdr:from>
        <xdr:to>
          <xdr:col>4</xdr:col>
          <xdr:colOff>0</xdr:colOff>
          <xdr:row>24</xdr:row>
          <xdr:rowOff>0</xdr:rowOff>
        </xdr:to>
        <xdr:sp macro="" textlink="">
          <xdr:nvSpPr>
            <xdr:cNvPr id="29808" name="Group Box 112" hidden="1">
              <a:extLst>
                <a:ext uri="{63B3BB69-23CF-44E3-9099-C40C66FF867C}">
                  <a14:compatExt spid="_x0000_s29808"/>
                </a:ext>
                <a:ext uri="{FF2B5EF4-FFF2-40B4-BE49-F238E27FC236}">
                  <a16:creationId xmlns:a16="http://schemas.microsoft.com/office/drawing/2014/main" xmlns="" id="{00000000-0008-0000-0200-0000C35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24</xdr:row>
          <xdr:rowOff>0</xdr:rowOff>
        </xdr:from>
        <xdr:to>
          <xdr:col>4</xdr:col>
          <xdr:colOff>0</xdr:colOff>
          <xdr:row>25</xdr:row>
          <xdr:rowOff>0</xdr:rowOff>
        </xdr:to>
        <xdr:grpSp>
          <xdr:nvGrpSpPr>
            <xdr:cNvPr id="176" name="Group 378">
              <a:extLst>
                <a:ext uri="{FF2B5EF4-FFF2-40B4-BE49-F238E27FC236}">
                  <a16:creationId xmlns:a16="http://schemas.microsoft.com/office/drawing/2014/main" xmlns="" id="{00000000-0008-0000-0200-00007A5D01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098800" y="6718300"/>
              <a:ext cx="1016000" cy="495300"/>
              <a:chOff x="33147" y="145732"/>
              <a:chExt cx="17716" cy="3238"/>
            </a:xfrm>
          </xdr:grpSpPr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23</xdr:row>
          <xdr:rowOff>0</xdr:rowOff>
        </xdr:from>
        <xdr:to>
          <xdr:col>4</xdr:col>
          <xdr:colOff>0</xdr:colOff>
          <xdr:row>24</xdr:row>
          <xdr:rowOff>317500</xdr:rowOff>
        </xdr:to>
        <xdr:sp macro="" textlink="">
          <xdr:nvSpPr>
            <xdr:cNvPr id="29813" name="Group Box 117" hidden="1">
              <a:extLst>
                <a:ext uri="{63B3BB69-23CF-44E3-9099-C40C66FF867C}">
                  <a14:compatExt spid="_x0000_s29813"/>
                </a:ext>
                <a:ext uri="{FF2B5EF4-FFF2-40B4-BE49-F238E27FC236}">
                  <a16:creationId xmlns:a16="http://schemas.microsoft.com/office/drawing/2014/main" xmlns="" id="{00000000-0008-0000-0200-0000955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24</xdr:row>
          <xdr:rowOff>0</xdr:rowOff>
        </xdr:from>
        <xdr:to>
          <xdr:col>4</xdr:col>
          <xdr:colOff>0</xdr:colOff>
          <xdr:row>25</xdr:row>
          <xdr:rowOff>139700</xdr:rowOff>
        </xdr:to>
        <xdr:sp macro="" textlink="">
          <xdr:nvSpPr>
            <xdr:cNvPr id="29814" name="Group Box 118" hidden="1">
              <a:extLst>
                <a:ext uri="{63B3BB69-23CF-44E3-9099-C40C66FF867C}">
                  <a14:compatExt spid="_x0000_s29814"/>
                </a:ext>
                <a:ext uri="{FF2B5EF4-FFF2-40B4-BE49-F238E27FC236}">
                  <a16:creationId xmlns:a16="http://schemas.microsoft.com/office/drawing/2014/main" xmlns="" id="{00000000-0008-0000-0200-00008F5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Licita&#231;&#245;es%20-%20CONTRATOS%20%20VIGENTES\LIMPEZA\2022%20-%20JW%20NEVES\12%20-%20Planilha%20vigente\Planilha%20Primeira%20Prorroga&#231;&#227;o%20-%20a%20partir%20de%2003%20jun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paração"/>
      <sheetName val="dados"/>
      <sheetName val="Áreas, Produtiv. e Funcionários"/>
      <sheetName val="Dados do Licitante"/>
      <sheetName val="Uniforme"/>
      <sheetName val="Equip + Mat. limpeza + Higiene"/>
      <sheetName val="Retenção Mensal Conta Vinculada"/>
      <sheetName val="Comparação - m² vs Postos"/>
      <sheetName val="Preço por localidade - m²"/>
      <sheetName val="Preço por localidade - Postos"/>
      <sheetName val="Valor Total do Contrato"/>
      <sheetName val="Servente Líder"/>
      <sheetName val="Servente sem Insalubridade"/>
      <sheetName val="Servente20 horas"/>
      <sheetName val="Servente Banheiro 20%"/>
      <sheetName val="Servente Banheiro 40%"/>
      <sheetName val="Limpador Vidros"/>
      <sheetName val="Limpador Vidros COM RISCO"/>
      <sheetName val="Encarregado Residente"/>
      <sheetName val="Simples Nac. - Anexo IV, LC 123"/>
    </sheetNames>
    <sheetDataSet>
      <sheetData sheetId="0">
        <row r="34">
          <cell r="B34">
            <v>2</v>
          </cell>
        </row>
      </sheetData>
      <sheetData sheetId="1"/>
      <sheetData sheetId="2">
        <row r="26">
          <cell r="A26" t="str">
            <v>Laboratórios</v>
          </cell>
          <cell r="E26">
            <v>0</v>
          </cell>
          <cell r="G26">
            <v>450</v>
          </cell>
        </row>
        <row r="64">
          <cell r="AU64">
            <v>2.5272190000000001</v>
          </cell>
        </row>
        <row r="65">
          <cell r="AU65">
            <v>0</v>
          </cell>
        </row>
        <row r="67">
          <cell r="AU67">
            <v>0</v>
          </cell>
        </row>
        <row r="69">
          <cell r="AV69" t="str">
            <v>Não</v>
          </cell>
        </row>
        <row r="72">
          <cell r="AU72">
            <v>0</v>
          </cell>
        </row>
      </sheetData>
      <sheetData sheetId="3">
        <row r="10">
          <cell r="A10">
            <v>0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</row>
        <row r="11">
          <cell r="A11">
            <v>0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A12">
            <v>0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A13">
            <v>0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A14">
            <v>0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</row>
      </sheetData>
      <sheetData sheetId="4"/>
      <sheetData sheetId="5"/>
      <sheetData sheetId="6"/>
      <sheetData sheetId="7"/>
      <sheetData sheetId="8">
        <row r="174">
          <cell r="F174">
            <v>0</v>
          </cell>
        </row>
        <row r="175">
          <cell r="F175">
            <v>0</v>
          </cell>
        </row>
        <row r="209">
          <cell r="F209">
            <v>0</v>
          </cell>
        </row>
        <row r="210">
          <cell r="F210">
            <v>0</v>
          </cell>
        </row>
        <row r="244">
          <cell r="F244">
            <v>0</v>
          </cell>
        </row>
        <row r="245">
          <cell r="F245">
            <v>0</v>
          </cell>
        </row>
        <row r="279">
          <cell r="F279">
            <v>0</v>
          </cell>
        </row>
        <row r="280">
          <cell r="F280">
            <v>0</v>
          </cell>
        </row>
        <row r="314">
          <cell r="F314">
            <v>0</v>
          </cell>
        </row>
        <row r="315">
          <cell r="F315">
            <v>0</v>
          </cell>
        </row>
      </sheetData>
      <sheetData sheetId="9">
        <row r="254">
          <cell r="H254">
            <v>0</v>
          </cell>
        </row>
        <row r="255">
          <cell r="H255">
            <v>0</v>
          </cell>
        </row>
        <row r="305">
          <cell r="H305">
            <v>0</v>
          </cell>
        </row>
        <row r="306">
          <cell r="H306">
            <v>0</v>
          </cell>
        </row>
        <row r="356">
          <cell r="H356">
            <v>0</v>
          </cell>
        </row>
        <row r="357">
          <cell r="H357">
            <v>0</v>
          </cell>
        </row>
        <row r="407">
          <cell r="H407">
            <v>0</v>
          </cell>
        </row>
        <row r="408">
          <cell r="H408">
            <v>0</v>
          </cell>
        </row>
        <row r="458">
          <cell r="H458">
            <v>0</v>
          </cell>
        </row>
        <row r="459">
          <cell r="H459">
            <v>0</v>
          </cell>
        </row>
      </sheetData>
      <sheetData sheetId="10"/>
      <sheetData sheetId="11">
        <row r="22">
          <cell r="L22">
            <v>1</v>
          </cell>
        </row>
        <row r="121">
          <cell r="L121">
            <v>4126.2645803488595</v>
          </cell>
        </row>
      </sheetData>
      <sheetData sheetId="12">
        <row r="120">
          <cell r="K120">
            <v>3850.40651749479</v>
          </cell>
          <cell r="L120">
            <v>3778.031350224855</v>
          </cell>
        </row>
      </sheetData>
      <sheetData sheetId="13"/>
      <sheetData sheetId="14">
        <row r="121">
          <cell r="L121">
            <v>4295.2864780081172</v>
          </cell>
        </row>
      </sheetData>
      <sheetData sheetId="15">
        <row r="121">
          <cell r="L121">
            <v>4805.1603400241311</v>
          </cell>
        </row>
      </sheetData>
      <sheetData sheetId="16"/>
      <sheetData sheetId="17"/>
      <sheetData sheetId="18">
        <row r="120">
          <cell r="K120">
            <v>3699.99</v>
          </cell>
        </row>
      </sheetData>
      <sheetData sheetId="19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56"/>
  <sheetViews>
    <sheetView showGridLines="0" topLeftCell="A7" workbookViewId="0">
      <selection activeCell="A29" sqref="A29:J29"/>
    </sheetView>
  </sheetViews>
  <sheetFormatPr defaultRowHeight="12.5"/>
  <sheetData>
    <row r="1" spans="1:10">
      <c r="A1" s="617" t="s">
        <v>235</v>
      </c>
      <c r="B1" s="617"/>
      <c r="C1" s="617"/>
      <c r="D1" s="617"/>
      <c r="E1" s="617"/>
      <c r="F1" s="617"/>
      <c r="G1" s="617"/>
      <c r="H1" s="617"/>
      <c r="I1" s="617"/>
      <c r="J1" s="617"/>
    </row>
    <row r="2" spans="1:10">
      <c r="A2" s="617"/>
      <c r="B2" s="617"/>
      <c r="C2" s="617"/>
      <c r="D2" s="617"/>
      <c r="E2" s="617"/>
      <c r="F2" s="617"/>
      <c r="G2" s="617"/>
      <c r="H2" s="617"/>
      <c r="I2" s="617"/>
      <c r="J2" s="617"/>
    </row>
    <row r="3" spans="1:10">
      <c r="A3" s="617"/>
      <c r="B3" s="617"/>
      <c r="C3" s="617"/>
      <c r="D3" s="617"/>
      <c r="E3" s="617"/>
      <c r="F3" s="617"/>
      <c r="G3" s="617"/>
      <c r="H3" s="617"/>
      <c r="I3" s="617"/>
      <c r="J3" s="617"/>
    </row>
    <row r="4" spans="1:10">
      <c r="A4" s="617"/>
      <c r="B4" s="617"/>
      <c r="C4" s="617"/>
      <c r="D4" s="617"/>
      <c r="E4" s="617"/>
      <c r="F4" s="617"/>
      <c r="G4" s="617"/>
      <c r="H4" s="617"/>
      <c r="I4" s="617"/>
      <c r="J4" s="617"/>
    </row>
    <row r="5" spans="1:10">
      <c r="A5" s="617"/>
      <c r="B5" s="617"/>
      <c r="C5" s="617"/>
      <c r="D5" s="617"/>
      <c r="E5" s="617"/>
      <c r="F5" s="617"/>
      <c r="G5" s="617"/>
      <c r="H5" s="617"/>
      <c r="I5" s="617"/>
      <c r="J5" s="617"/>
    </row>
    <row r="6" spans="1:10" ht="18" customHeight="1">
      <c r="A6" s="619" t="s">
        <v>419</v>
      </c>
      <c r="B6" s="620"/>
      <c r="C6" s="620"/>
      <c r="D6" s="620"/>
      <c r="E6" s="620"/>
      <c r="F6" s="620"/>
      <c r="G6" s="620"/>
      <c r="H6" s="620"/>
      <c r="I6" s="620"/>
      <c r="J6" s="621"/>
    </row>
    <row r="7" spans="1:10" ht="18" customHeight="1">
      <c r="A7" s="619"/>
      <c r="B7" s="620"/>
      <c r="C7" s="620"/>
      <c r="D7" s="620"/>
      <c r="E7" s="620"/>
      <c r="F7" s="620"/>
      <c r="G7" s="620"/>
      <c r="H7" s="620"/>
      <c r="I7" s="620"/>
      <c r="J7" s="621"/>
    </row>
    <row r="8" spans="1:10" ht="18" customHeight="1">
      <c r="A8" s="622"/>
      <c r="B8" s="623"/>
      <c r="C8" s="623"/>
      <c r="D8" s="623"/>
      <c r="E8" s="623"/>
      <c r="F8" s="623"/>
      <c r="G8" s="623"/>
      <c r="H8" s="623"/>
      <c r="I8" s="623"/>
      <c r="J8" s="624"/>
    </row>
    <row r="9" spans="1:10">
      <c r="A9" s="76"/>
      <c r="B9" s="76"/>
      <c r="C9" s="76"/>
      <c r="D9" s="76"/>
      <c r="E9" s="76"/>
      <c r="F9" s="76"/>
      <c r="G9" s="76"/>
      <c r="H9" s="76"/>
      <c r="I9" s="76"/>
      <c r="J9" s="76"/>
    </row>
    <row r="10" spans="1:10" ht="12.5" customHeight="1">
      <c r="A10" s="618" t="s">
        <v>420</v>
      </c>
      <c r="B10" s="618"/>
      <c r="C10" s="618"/>
      <c r="D10" s="618"/>
      <c r="E10" s="618"/>
      <c r="F10" s="618"/>
      <c r="G10" s="618"/>
      <c r="H10" s="618"/>
      <c r="I10" s="618"/>
      <c r="J10" s="618"/>
    </row>
    <row r="11" spans="1:10">
      <c r="A11" s="618"/>
      <c r="B11" s="618"/>
      <c r="C11" s="618"/>
      <c r="D11" s="618"/>
      <c r="E11" s="618"/>
      <c r="F11" s="618"/>
      <c r="G11" s="618"/>
      <c r="H11" s="618"/>
      <c r="I11" s="618"/>
      <c r="J11" s="618"/>
    </row>
    <row r="12" spans="1:10">
      <c r="A12" s="618"/>
      <c r="B12" s="618"/>
      <c r="C12" s="618"/>
      <c r="D12" s="618"/>
      <c r="E12" s="618"/>
      <c r="F12" s="618"/>
      <c r="G12" s="618"/>
      <c r="H12" s="618"/>
      <c r="I12" s="618"/>
      <c r="J12" s="618"/>
    </row>
    <row r="13" spans="1:10">
      <c r="A13" s="618"/>
      <c r="B13" s="618"/>
      <c r="C13" s="618"/>
      <c r="D13" s="618"/>
      <c r="E13" s="618"/>
      <c r="F13" s="618"/>
      <c r="G13" s="618"/>
      <c r="H13" s="618"/>
      <c r="I13" s="618"/>
      <c r="J13" s="618"/>
    </row>
    <row r="14" spans="1:10">
      <c r="A14" s="618"/>
      <c r="B14" s="618"/>
      <c r="C14" s="618"/>
      <c r="D14" s="618"/>
      <c r="E14" s="618"/>
      <c r="F14" s="618"/>
      <c r="G14" s="618"/>
      <c r="H14" s="618"/>
      <c r="I14" s="618"/>
      <c r="J14" s="618"/>
    </row>
    <row r="15" spans="1:10">
      <c r="A15" s="618"/>
      <c r="B15" s="618"/>
      <c r="C15" s="618"/>
      <c r="D15" s="618"/>
      <c r="E15" s="618"/>
      <c r="F15" s="618"/>
      <c r="G15" s="618"/>
      <c r="H15" s="618"/>
      <c r="I15" s="618"/>
      <c r="J15" s="618"/>
    </row>
    <row r="16" spans="1:10">
      <c r="A16" s="618"/>
      <c r="B16" s="618"/>
      <c r="C16" s="618"/>
      <c r="D16" s="618"/>
      <c r="E16" s="618"/>
      <c r="F16" s="618"/>
      <c r="G16" s="618"/>
      <c r="H16" s="618"/>
      <c r="I16" s="618"/>
      <c r="J16" s="618"/>
    </row>
    <row r="17" spans="1:10">
      <c r="A17" s="618"/>
      <c r="B17" s="618"/>
      <c r="C17" s="618"/>
      <c r="D17" s="618"/>
      <c r="E17" s="618"/>
      <c r="F17" s="618"/>
      <c r="G17" s="618"/>
      <c r="H17" s="618"/>
      <c r="I17" s="618"/>
      <c r="J17" s="618"/>
    </row>
    <row r="18" spans="1:10">
      <c r="A18" s="618"/>
      <c r="B18" s="618"/>
      <c r="C18" s="618"/>
      <c r="D18" s="618"/>
      <c r="E18" s="618"/>
      <c r="F18" s="618"/>
      <c r="G18" s="618"/>
      <c r="H18" s="618"/>
      <c r="I18" s="618"/>
      <c r="J18" s="618"/>
    </row>
    <row r="19" spans="1:10">
      <c r="A19" s="618"/>
      <c r="B19" s="618"/>
      <c r="C19" s="618"/>
      <c r="D19" s="618"/>
      <c r="E19" s="618"/>
      <c r="F19" s="618"/>
      <c r="G19" s="618"/>
      <c r="H19" s="618"/>
      <c r="I19" s="618"/>
      <c r="J19" s="618"/>
    </row>
    <row r="20" spans="1:10">
      <c r="A20" s="133"/>
      <c r="B20" s="133"/>
      <c r="C20" s="133"/>
      <c r="D20" s="133"/>
      <c r="E20" s="133"/>
      <c r="F20" s="133"/>
      <c r="G20" s="133"/>
      <c r="H20" s="133"/>
      <c r="I20" s="133"/>
      <c r="J20" s="133"/>
    </row>
    <row r="21" spans="1:10" ht="12.5" customHeight="1">
      <c r="A21" s="625" t="s">
        <v>409</v>
      </c>
      <c r="B21" s="626"/>
      <c r="C21" s="626"/>
      <c r="D21" s="626"/>
      <c r="E21" s="626"/>
      <c r="F21" s="626"/>
      <c r="G21" s="626"/>
      <c r="H21" s="626"/>
      <c r="I21" s="626"/>
      <c r="J21" s="627"/>
    </row>
    <row r="22" spans="1:10" ht="13.5" customHeight="1">
      <c r="A22" s="628"/>
      <c r="B22" s="629"/>
      <c r="C22" s="629"/>
      <c r="D22" s="629"/>
      <c r="E22" s="629"/>
      <c r="F22" s="629"/>
      <c r="G22" s="629"/>
      <c r="H22" s="629"/>
      <c r="I22" s="629"/>
      <c r="J22" s="630"/>
    </row>
    <row r="23" spans="1:10">
      <c r="A23" s="628"/>
      <c r="B23" s="629"/>
      <c r="C23" s="629"/>
      <c r="D23" s="629"/>
      <c r="E23" s="629"/>
      <c r="F23" s="629"/>
      <c r="G23" s="629"/>
      <c r="H23" s="629"/>
      <c r="I23" s="629"/>
      <c r="J23" s="630"/>
    </row>
    <row r="24" spans="1:10">
      <c r="A24" s="628"/>
      <c r="B24" s="629"/>
      <c r="C24" s="629"/>
      <c r="D24" s="629"/>
      <c r="E24" s="629"/>
      <c r="F24" s="629"/>
      <c r="G24" s="629"/>
      <c r="H24" s="629"/>
      <c r="I24" s="629"/>
      <c r="J24" s="630"/>
    </row>
    <row r="25" spans="1:10">
      <c r="A25" s="628"/>
      <c r="B25" s="629"/>
      <c r="C25" s="629"/>
      <c r="D25" s="629"/>
      <c r="E25" s="629"/>
      <c r="F25" s="629"/>
      <c r="G25" s="629"/>
      <c r="H25" s="629"/>
      <c r="I25" s="629"/>
      <c r="J25" s="630"/>
    </row>
    <row r="26" spans="1:10">
      <c r="A26" s="628"/>
      <c r="B26" s="629"/>
      <c r="C26" s="629"/>
      <c r="D26" s="629"/>
      <c r="E26" s="629"/>
      <c r="F26" s="629"/>
      <c r="G26" s="629"/>
      <c r="H26" s="629"/>
      <c r="I26" s="629"/>
      <c r="J26" s="630"/>
    </row>
    <row r="27" spans="1:10">
      <c r="A27" s="631"/>
      <c r="B27" s="632"/>
      <c r="C27" s="632"/>
      <c r="D27" s="632"/>
      <c r="E27" s="632"/>
      <c r="F27" s="632"/>
      <c r="G27" s="632"/>
      <c r="H27" s="632"/>
      <c r="I27" s="632"/>
      <c r="J27" s="633"/>
    </row>
    <row r="28" spans="1:10">
      <c r="A28" s="133"/>
      <c r="B28" s="133"/>
      <c r="C28" s="133"/>
      <c r="D28" s="133"/>
      <c r="E28" s="133"/>
      <c r="F28" s="133"/>
      <c r="G28" s="133"/>
      <c r="H28" s="133"/>
      <c r="I28" s="133"/>
      <c r="J28" s="133"/>
    </row>
    <row r="29" spans="1:10" ht="94.5" customHeight="1">
      <c r="A29" s="634" t="s">
        <v>421</v>
      </c>
      <c r="B29" s="635"/>
      <c r="C29" s="635"/>
      <c r="D29" s="635"/>
      <c r="E29" s="635"/>
      <c r="F29" s="635"/>
      <c r="G29" s="635"/>
      <c r="H29" s="635"/>
      <c r="I29" s="635"/>
      <c r="J29" s="636"/>
    </row>
    <row r="30" spans="1:10">
      <c r="A30" s="133"/>
      <c r="B30" s="133"/>
      <c r="C30" s="133"/>
      <c r="D30" s="133"/>
      <c r="E30" s="133"/>
      <c r="F30" s="133"/>
      <c r="G30" s="133"/>
      <c r="H30" s="133"/>
      <c r="I30" s="133"/>
      <c r="J30" s="133"/>
    </row>
    <row r="31" spans="1:10">
      <c r="A31" s="616"/>
      <c r="B31" s="616"/>
      <c r="C31" s="616"/>
      <c r="D31" s="616"/>
      <c r="E31" s="616"/>
      <c r="F31" s="616"/>
      <c r="G31" s="616"/>
      <c r="H31" s="616"/>
      <c r="I31" s="616"/>
      <c r="J31" s="616"/>
    </row>
    <row r="32" spans="1:10" s="76" customFormat="1">
      <c r="A32" s="616"/>
      <c r="B32" s="616"/>
      <c r="C32" s="616"/>
      <c r="D32" s="616"/>
      <c r="E32" s="616"/>
      <c r="F32" s="616"/>
      <c r="G32" s="616"/>
      <c r="H32" s="616"/>
      <c r="I32" s="616"/>
      <c r="J32" s="616"/>
    </row>
    <row r="33" spans="1:10" s="76" customFormat="1">
      <c r="A33" s="616"/>
      <c r="B33" s="616"/>
      <c r="C33" s="616"/>
      <c r="D33" s="616"/>
      <c r="E33" s="616"/>
      <c r="F33" s="616"/>
      <c r="G33" s="616"/>
      <c r="H33" s="616"/>
      <c r="I33" s="616"/>
      <c r="J33" s="616"/>
    </row>
    <row r="34" spans="1:10" s="76" customFormat="1">
      <c r="A34" s="616"/>
      <c r="B34" s="616"/>
      <c r="C34" s="616"/>
      <c r="D34" s="616"/>
      <c r="E34" s="616"/>
      <c r="F34" s="616"/>
      <c r="G34" s="616"/>
      <c r="H34" s="616"/>
      <c r="I34" s="616"/>
      <c r="J34" s="616"/>
    </row>
    <row r="35" spans="1:10">
      <c r="A35" s="616"/>
      <c r="B35" s="616"/>
      <c r="C35" s="616"/>
      <c r="D35" s="616"/>
      <c r="E35" s="616"/>
      <c r="F35" s="616"/>
      <c r="G35" s="616"/>
      <c r="H35" s="616"/>
      <c r="I35" s="616"/>
      <c r="J35" s="616"/>
    </row>
    <row r="36" spans="1:10">
      <c r="A36" s="616"/>
      <c r="B36" s="616"/>
      <c r="C36" s="616"/>
      <c r="D36" s="616"/>
      <c r="E36" s="616"/>
      <c r="F36" s="616"/>
      <c r="G36" s="616"/>
      <c r="H36" s="616"/>
      <c r="I36" s="616"/>
      <c r="J36" s="616"/>
    </row>
    <row r="37" spans="1:10">
      <c r="A37" s="133"/>
      <c r="B37" s="133"/>
      <c r="C37" s="133"/>
      <c r="D37" s="133"/>
      <c r="E37" s="133"/>
      <c r="F37" s="133"/>
      <c r="G37" s="133"/>
      <c r="H37" s="133"/>
      <c r="I37" s="133"/>
      <c r="J37" s="133"/>
    </row>
    <row r="38" spans="1:10">
      <c r="A38" s="133"/>
      <c r="B38" s="133"/>
      <c r="C38" s="133"/>
      <c r="D38" s="133"/>
      <c r="E38" s="133"/>
      <c r="F38" s="133"/>
      <c r="G38" s="133"/>
      <c r="H38" s="133"/>
      <c r="I38" s="133"/>
      <c r="J38" s="133"/>
    </row>
    <row r="39" spans="1:10">
      <c r="A39" s="133"/>
      <c r="B39" s="133"/>
      <c r="C39" s="133"/>
      <c r="D39" s="133"/>
      <c r="E39" s="133"/>
      <c r="F39" s="133"/>
      <c r="G39" s="133"/>
      <c r="H39" s="133"/>
      <c r="I39" s="133"/>
      <c r="J39" s="133"/>
    </row>
    <row r="40" spans="1:10">
      <c r="A40" s="133"/>
      <c r="B40" s="133"/>
      <c r="C40" s="133"/>
      <c r="D40" s="133"/>
      <c r="E40" s="133"/>
      <c r="F40" s="133"/>
      <c r="G40" s="133"/>
      <c r="H40" s="133"/>
      <c r="I40" s="133"/>
      <c r="J40" s="133"/>
    </row>
    <row r="41" spans="1:10">
      <c r="A41" s="133"/>
      <c r="B41" s="133"/>
      <c r="C41" s="133"/>
      <c r="D41" s="133"/>
      <c r="E41" s="133"/>
      <c r="F41" s="133"/>
      <c r="G41" s="133"/>
      <c r="H41" s="133"/>
      <c r="I41" s="133"/>
      <c r="J41" s="133"/>
    </row>
    <row r="42" spans="1:10">
      <c r="A42" s="133"/>
      <c r="B42" s="133"/>
      <c r="C42" s="133"/>
      <c r="D42" s="133"/>
      <c r="E42" s="133"/>
      <c r="F42" s="133"/>
      <c r="G42" s="133"/>
      <c r="H42" s="133"/>
      <c r="I42" s="133"/>
      <c r="J42" s="133"/>
    </row>
    <row r="43" spans="1:10">
      <c r="A43" s="133"/>
      <c r="B43" s="133"/>
      <c r="C43" s="133"/>
      <c r="D43" s="133"/>
      <c r="E43" s="133"/>
      <c r="F43" s="133"/>
      <c r="G43" s="133"/>
      <c r="H43" s="133"/>
      <c r="I43" s="133"/>
      <c r="J43" s="133"/>
    </row>
    <row r="44" spans="1:10">
      <c r="A44" s="133"/>
      <c r="B44" s="133"/>
      <c r="C44" s="133"/>
      <c r="D44" s="133"/>
      <c r="E44" s="133"/>
      <c r="F44" s="133"/>
      <c r="G44" s="133"/>
      <c r="H44" s="133"/>
      <c r="I44" s="133"/>
      <c r="J44" s="133"/>
    </row>
    <row r="45" spans="1:10">
      <c r="A45" s="133"/>
      <c r="B45" s="133"/>
      <c r="C45" s="133"/>
      <c r="D45" s="133"/>
      <c r="E45" s="133"/>
      <c r="F45" s="133"/>
      <c r="G45" s="133"/>
      <c r="H45" s="133"/>
      <c r="I45" s="133"/>
      <c r="J45" s="133"/>
    </row>
    <row r="46" spans="1:10">
      <c r="A46" s="133"/>
      <c r="B46" s="133"/>
      <c r="C46" s="133"/>
      <c r="D46" s="133"/>
      <c r="E46" s="133"/>
      <c r="F46" s="133"/>
      <c r="G46" s="133"/>
      <c r="H46" s="133"/>
      <c r="I46" s="133"/>
      <c r="J46" s="133"/>
    </row>
    <row r="47" spans="1:10">
      <c r="A47" s="133"/>
      <c r="B47" s="133"/>
      <c r="C47" s="133"/>
      <c r="D47" s="133"/>
      <c r="E47" s="133"/>
      <c r="F47" s="133"/>
      <c r="G47" s="133"/>
      <c r="H47" s="133"/>
      <c r="I47" s="133"/>
      <c r="J47" s="133"/>
    </row>
    <row r="48" spans="1:10">
      <c r="A48" s="133"/>
      <c r="B48" s="133"/>
      <c r="C48" s="133"/>
      <c r="D48" s="133"/>
      <c r="E48" s="133"/>
      <c r="F48" s="133"/>
      <c r="G48" s="133"/>
      <c r="H48" s="133"/>
      <c r="I48" s="133"/>
      <c r="J48" s="133"/>
    </row>
    <row r="49" spans="1:10">
      <c r="A49" s="133"/>
      <c r="B49" s="133"/>
      <c r="C49" s="133"/>
      <c r="D49" s="133"/>
      <c r="E49" s="133"/>
      <c r="F49" s="133"/>
      <c r="G49" s="133"/>
      <c r="H49" s="133"/>
      <c r="I49" s="133"/>
      <c r="J49" s="133"/>
    </row>
    <row r="50" spans="1:10">
      <c r="A50" s="133"/>
      <c r="B50" s="133"/>
      <c r="C50" s="133"/>
      <c r="D50" s="133"/>
      <c r="E50" s="133"/>
      <c r="F50" s="133"/>
      <c r="G50" s="133"/>
      <c r="H50" s="133"/>
      <c r="I50" s="133"/>
      <c r="J50" s="133"/>
    </row>
    <row r="51" spans="1:10">
      <c r="A51" s="133"/>
      <c r="B51" s="133"/>
      <c r="C51" s="133"/>
      <c r="D51" s="133"/>
      <c r="E51" s="133"/>
      <c r="F51" s="133"/>
      <c r="G51" s="133"/>
      <c r="H51" s="133"/>
      <c r="I51" s="133"/>
      <c r="J51" s="133"/>
    </row>
    <row r="52" spans="1:10">
      <c r="A52" s="133"/>
      <c r="B52" s="133"/>
      <c r="C52" s="133"/>
      <c r="D52" s="133"/>
      <c r="E52" s="133"/>
      <c r="F52" s="133"/>
      <c r="G52" s="133"/>
      <c r="H52" s="133"/>
      <c r="I52" s="133"/>
      <c r="J52" s="133"/>
    </row>
    <row r="53" spans="1:10">
      <c r="A53" s="133"/>
      <c r="B53" s="133"/>
      <c r="C53" s="133"/>
      <c r="D53" s="133"/>
      <c r="E53" s="133"/>
      <c r="F53" s="133"/>
      <c r="G53" s="133"/>
      <c r="H53" s="133"/>
      <c r="I53" s="133"/>
      <c r="J53" s="133"/>
    </row>
    <row r="54" spans="1:10">
      <c r="A54" s="133"/>
      <c r="B54" s="133"/>
      <c r="C54" s="133"/>
      <c r="D54" s="133"/>
      <c r="E54" s="133"/>
      <c r="F54" s="133"/>
      <c r="G54" s="133"/>
      <c r="H54" s="133"/>
      <c r="I54" s="133"/>
      <c r="J54" s="133"/>
    </row>
    <row r="55" spans="1:10">
      <c r="A55" s="133"/>
      <c r="B55" s="133"/>
      <c r="C55" s="133"/>
      <c r="D55" s="133"/>
      <c r="E55" s="133"/>
      <c r="F55" s="133"/>
      <c r="G55" s="133"/>
      <c r="H55" s="133"/>
      <c r="I55" s="133"/>
      <c r="J55" s="133"/>
    </row>
    <row r="56" spans="1:10">
      <c r="A56" s="133"/>
      <c r="B56" s="133"/>
      <c r="C56" s="133"/>
      <c r="D56" s="133"/>
      <c r="E56" s="133"/>
      <c r="F56" s="133"/>
      <c r="G56" s="133"/>
      <c r="H56" s="133"/>
      <c r="I56" s="133"/>
      <c r="J56" s="133"/>
    </row>
  </sheetData>
  <mergeCells count="6">
    <mergeCell ref="A31:J36"/>
    <mergeCell ref="A1:J5"/>
    <mergeCell ref="A10:J19"/>
    <mergeCell ref="A6:J8"/>
    <mergeCell ref="A21:J27"/>
    <mergeCell ref="A29:J2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"/>
  <sheetViews>
    <sheetView showGridLines="0" workbookViewId="0">
      <selection activeCell="L15" sqref="L15"/>
    </sheetView>
  </sheetViews>
  <sheetFormatPr defaultRowHeight="12.5"/>
  <cols>
    <col min="2" max="2" width="23.1796875" customWidth="1"/>
    <col min="3" max="3" width="17.1796875" customWidth="1"/>
    <col min="4" max="4" width="22.81640625" customWidth="1"/>
    <col min="5" max="5" width="13.81640625" customWidth="1"/>
    <col min="6" max="6" width="16.54296875" customWidth="1"/>
    <col min="7" max="7" width="15.6328125" customWidth="1"/>
    <col min="8" max="8" width="18" bestFit="1" customWidth="1"/>
  </cols>
  <sheetData>
    <row r="1" spans="1:8" ht="13">
      <c r="A1" s="834" t="s">
        <v>107</v>
      </c>
      <c r="B1" s="834"/>
      <c r="C1" s="834"/>
      <c r="D1" s="834"/>
      <c r="E1" s="834"/>
      <c r="F1" s="834"/>
      <c r="G1" s="834"/>
      <c r="H1" s="8"/>
    </row>
    <row r="2" spans="1:8" ht="13">
      <c r="A2" s="835" t="s">
        <v>108</v>
      </c>
      <c r="B2" s="835"/>
      <c r="C2" s="835"/>
      <c r="D2" s="835"/>
      <c r="E2" s="835"/>
      <c r="F2" s="835"/>
      <c r="G2" s="835"/>
      <c r="H2" s="8"/>
    </row>
    <row r="3" spans="1:8">
      <c r="A3" s="29"/>
      <c r="B3" s="836" t="s">
        <v>109</v>
      </c>
      <c r="C3" s="836"/>
      <c r="D3" s="836"/>
      <c r="E3" s="837" t="str">
        <f>'DADOS DO LICITANTE'!H3</f>
        <v>13843.720002/2024-24</v>
      </c>
      <c r="F3" s="837"/>
      <c r="G3" s="890"/>
      <c r="H3" s="8"/>
    </row>
    <row r="4" spans="1:8">
      <c r="A4" s="837" t="s">
        <v>110</v>
      </c>
      <c r="B4" s="837"/>
      <c r="C4" s="837" t="str">
        <f>'DADOS DO LICITANTE'!A1</f>
        <v>PREGÃO DRF/SJC Nº 01/2024</v>
      </c>
      <c r="D4" s="837"/>
      <c r="E4" s="31"/>
      <c r="F4" s="256">
        <f>'DADOS DO LICITANTE'!D3</f>
        <v>45428</v>
      </c>
      <c r="G4" s="71" t="str">
        <f>'DADOS DO LICITANTE'!F3</f>
        <v>09h30min</v>
      </c>
      <c r="H4" s="8"/>
    </row>
    <row r="5" spans="1:8">
      <c r="A5" s="837" t="s">
        <v>111</v>
      </c>
      <c r="B5" s="837"/>
      <c r="C5" s="846">
        <f>'DADOS DO LICITANTE'!C4</f>
        <v>0</v>
      </c>
      <c r="D5" s="846"/>
      <c r="E5" s="29" t="s">
        <v>112</v>
      </c>
      <c r="F5" s="967">
        <f>'DADOS DO LICITANTE'!B5</f>
        <v>0</v>
      </c>
      <c r="G5" s="1082"/>
      <c r="H5" s="8"/>
    </row>
    <row r="6" spans="1:8" ht="13">
      <c r="A6" s="943"/>
      <c r="B6" s="943"/>
      <c r="C6" s="943"/>
      <c r="D6" s="943"/>
      <c r="E6" s="943"/>
      <c r="F6" s="943"/>
      <c r="G6" s="943"/>
      <c r="H6" s="8"/>
    </row>
    <row r="7" spans="1:8" ht="13">
      <c r="A7" s="944" t="s">
        <v>113</v>
      </c>
      <c r="B7" s="944"/>
      <c r="C7" s="944"/>
      <c r="D7" s="944"/>
      <c r="E7" s="944"/>
      <c r="F7" s="944"/>
      <c r="G7" s="944"/>
      <c r="H7" s="8"/>
    </row>
    <row r="8" spans="1:8">
      <c r="A8" s="614" t="s">
        <v>0</v>
      </c>
      <c r="B8" s="945" t="s">
        <v>114</v>
      </c>
      <c r="C8" s="945"/>
      <c r="D8" s="945"/>
      <c r="E8" s="945"/>
      <c r="F8" s="1083" t="str">
        <f>'DADOS DO LICITANTE'!H13</f>
        <v>xx/xx/2024</v>
      </c>
      <c r="G8" s="1084"/>
      <c r="H8" s="8"/>
    </row>
    <row r="9" spans="1:8">
      <c r="A9" s="29" t="s">
        <v>1</v>
      </c>
      <c r="B9" s="837" t="s">
        <v>115</v>
      </c>
      <c r="C9" s="837"/>
      <c r="D9" s="837"/>
      <c r="E9" s="837"/>
      <c r="F9" s="941" t="s">
        <v>228</v>
      </c>
      <c r="G9" s="942"/>
      <c r="H9" s="8"/>
    </row>
    <row r="10" spans="1:8">
      <c r="A10" s="837" t="s">
        <v>2</v>
      </c>
      <c r="B10" s="844" t="s">
        <v>116</v>
      </c>
      <c r="C10" s="844"/>
      <c r="D10" s="844"/>
      <c r="E10" s="844"/>
      <c r="F10" s="845">
        <v>44927</v>
      </c>
      <c r="G10" s="845"/>
      <c r="H10" s="8"/>
    </row>
    <row r="11" spans="1:8">
      <c r="A11" s="837"/>
      <c r="B11" s="844"/>
      <c r="C11" s="844"/>
      <c r="D11" s="844"/>
      <c r="E11" s="844"/>
      <c r="F11" s="845"/>
      <c r="G11" s="845"/>
      <c r="H11" s="8"/>
    </row>
    <row r="12" spans="1:8">
      <c r="A12" s="29" t="s">
        <v>3</v>
      </c>
      <c r="B12" s="837" t="s">
        <v>117</v>
      </c>
      <c r="C12" s="837"/>
      <c r="D12" s="837"/>
      <c r="E12" s="837"/>
      <c r="F12" s="941">
        <v>12</v>
      </c>
      <c r="G12" s="942"/>
      <c r="H12" s="8"/>
    </row>
    <row r="13" spans="1:8">
      <c r="A13" s="854"/>
      <c r="B13" s="854"/>
      <c r="C13" s="854"/>
      <c r="D13" s="854"/>
      <c r="E13" s="854"/>
      <c r="F13" s="854"/>
      <c r="G13" s="854"/>
      <c r="H13" s="8"/>
    </row>
    <row r="14" spans="1:8">
      <c r="A14" s="855" t="s">
        <v>118</v>
      </c>
      <c r="B14" s="855"/>
      <c r="C14" s="855"/>
      <c r="D14" s="855"/>
      <c r="E14" s="855"/>
      <c r="F14" s="855"/>
      <c r="G14" s="855"/>
      <c r="H14" s="8"/>
    </row>
    <row r="15" spans="1:8" ht="13">
      <c r="A15" s="835" t="s">
        <v>119</v>
      </c>
      <c r="B15" s="835"/>
      <c r="C15" s="835"/>
      <c r="D15" s="835"/>
      <c r="E15" s="835"/>
      <c r="F15" s="835"/>
      <c r="G15" s="835"/>
      <c r="H15" s="8"/>
    </row>
    <row r="16" spans="1:8">
      <c r="A16" s="29">
        <v>1</v>
      </c>
      <c r="B16" s="846" t="s">
        <v>120</v>
      </c>
      <c r="C16" s="846"/>
      <c r="D16" s="846"/>
      <c r="E16" s="846"/>
      <c r="F16" s="968" t="s">
        <v>224</v>
      </c>
      <c r="G16" s="969"/>
      <c r="H16" s="8"/>
    </row>
    <row r="17" spans="1:8" ht="13">
      <c r="A17" s="29">
        <v>2</v>
      </c>
      <c r="B17" s="846" t="s">
        <v>121</v>
      </c>
      <c r="C17" s="846"/>
      <c r="D17" s="846"/>
      <c r="E17" s="846"/>
      <c r="F17" s="970">
        <f>'DADOS DO LICITANTE'!D17</f>
        <v>1590</v>
      </c>
      <c r="G17" s="971"/>
      <c r="H17" s="8"/>
    </row>
    <row r="18" spans="1:8">
      <c r="A18" s="34">
        <v>3</v>
      </c>
      <c r="B18" s="841" t="s">
        <v>4</v>
      </c>
      <c r="C18" s="841"/>
      <c r="D18" s="841"/>
      <c r="E18" s="841"/>
      <c r="F18" s="972" t="s">
        <v>186</v>
      </c>
      <c r="G18" s="973"/>
      <c r="H18" s="8"/>
    </row>
    <row r="19" spans="1:8">
      <c r="A19" s="35">
        <v>4</v>
      </c>
      <c r="B19" s="846" t="s">
        <v>122</v>
      </c>
      <c r="C19" s="846"/>
      <c r="D19" s="846"/>
      <c r="E19" s="846"/>
      <c r="F19" s="965">
        <f>'DADOS DO LICITANTE'!E11</f>
        <v>45292</v>
      </c>
      <c r="G19" s="966"/>
      <c r="H19" s="8"/>
    </row>
    <row r="20" spans="1:8">
      <c r="A20" s="680"/>
      <c r="B20" s="680"/>
      <c r="C20" s="680"/>
      <c r="D20" s="680"/>
      <c r="E20" s="680"/>
      <c r="F20" s="680"/>
      <c r="G20" s="680"/>
      <c r="H20" s="8"/>
    </row>
    <row r="21" spans="1:8" ht="13">
      <c r="A21" s="953" t="s">
        <v>123</v>
      </c>
      <c r="B21" s="954"/>
      <c r="C21" s="954"/>
      <c r="D21" s="954"/>
      <c r="E21" s="954"/>
      <c r="F21" s="954"/>
      <c r="G21" s="955"/>
    </row>
    <row r="22" spans="1:8" ht="13">
      <c r="A22" s="48">
        <v>1</v>
      </c>
      <c r="B22" s="871" t="s">
        <v>124</v>
      </c>
      <c r="C22" s="871"/>
      <c r="D22" s="871"/>
      <c r="E22" s="871"/>
      <c r="F22" s="871"/>
      <c r="G22" s="51" t="s">
        <v>193</v>
      </c>
    </row>
    <row r="23" spans="1:8">
      <c r="A23" s="38" t="s">
        <v>0</v>
      </c>
      <c r="B23" s="846" t="s">
        <v>121</v>
      </c>
      <c r="C23" s="846"/>
      <c r="D23" s="846"/>
      <c r="E23" s="29"/>
      <c r="F23" s="29"/>
      <c r="G23" s="39">
        <f>F17</f>
        <v>1590</v>
      </c>
    </row>
    <row r="24" spans="1:8">
      <c r="A24" s="38" t="s">
        <v>125</v>
      </c>
      <c r="B24" s="846" t="s">
        <v>126</v>
      </c>
      <c r="C24" s="846"/>
      <c r="D24" s="846"/>
      <c r="E24" s="846"/>
      <c r="F24" s="846"/>
      <c r="G24" s="39"/>
    </row>
    <row r="25" spans="1:8">
      <c r="A25" s="38" t="s">
        <v>1</v>
      </c>
      <c r="B25" s="846" t="s">
        <v>216</v>
      </c>
      <c r="C25" s="846"/>
      <c r="D25" s="846"/>
      <c r="E25" s="846"/>
      <c r="F25" s="40">
        <v>0.4</v>
      </c>
      <c r="G25" s="39">
        <f>F25*'DADOS DO LICITANTE'!D18</f>
        <v>564.80000000000007</v>
      </c>
    </row>
    <row r="26" spans="1:8">
      <c r="A26" s="38" t="s">
        <v>2</v>
      </c>
      <c r="B26" s="856" t="s">
        <v>128</v>
      </c>
      <c r="C26" s="856"/>
      <c r="D26" s="856"/>
      <c r="E26" s="856"/>
      <c r="F26" s="856"/>
      <c r="G26" s="39"/>
    </row>
    <row r="27" spans="1:8" ht="13">
      <c r="A27" s="38"/>
      <c r="B27" s="857" t="s">
        <v>129</v>
      </c>
      <c r="C27" s="857"/>
      <c r="D27" s="857"/>
      <c r="E27" s="857"/>
      <c r="F27" s="857"/>
      <c r="G27" s="41">
        <f>SUM(G23:G26)</f>
        <v>2154.8000000000002</v>
      </c>
    </row>
    <row r="28" spans="1:8">
      <c r="A28" s="687"/>
      <c r="B28" s="687"/>
      <c r="C28" s="687"/>
      <c r="D28" s="687"/>
      <c r="E28" s="687"/>
      <c r="F28" s="687"/>
      <c r="G28" s="687"/>
      <c r="H28" s="8"/>
    </row>
    <row r="29" spans="1:8" ht="13">
      <c r="A29" s="953" t="s">
        <v>130</v>
      </c>
      <c r="B29" s="954"/>
      <c r="C29" s="954"/>
      <c r="D29" s="954"/>
      <c r="E29" s="954"/>
      <c r="F29" s="954"/>
      <c r="G29" s="955"/>
    </row>
    <row r="30" spans="1:8">
      <c r="A30" s="956" t="s">
        <v>131</v>
      </c>
      <c r="B30" s="957"/>
      <c r="C30" s="957"/>
      <c r="D30" s="957"/>
      <c r="E30" s="957"/>
      <c r="F30" s="957"/>
      <c r="G30" s="958"/>
    </row>
    <row r="31" spans="1:8" ht="13">
      <c r="A31" s="48" t="s">
        <v>7</v>
      </c>
      <c r="B31" s="871" t="s">
        <v>132</v>
      </c>
      <c r="C31" s="871"/>
      <c r="D31" s="871"/>
      <c r="E31" s="871"/>
      <c r="F31" s="871"/>
      <c r="G31" s="51" t="s">
        <v>8</v>
      </c>
    </row>
    <row r="32" spans="1:8">
      <c r="A32" s="38" t="s">
        <v>0</v>
      </c>
      <c r="B32" s="846" t="s">
        <v>132</v>
      </c>
      <c r="C32" s="846"/>
      <c r="D32" s="846"/>
      <c r="E32" s="846"/>
      <c r="F32" s="10">
        <v>8.3299999999999999E-2</v>
      </c>
      <c r="G32" s="15">
        <f>ROUND(F32*$G$27,2)</f>
        <v>179.49</v>
      </c>
    </row>
    <row r="33" spans="1:8">
      <c r="A33" s="38" t="s">
        <v>1</v>
      </c>
      <c r="B33" s="846" t="s">
        <v>133</v>
      </c>
      <c r="C33" s="846"/>
      <c r="D33" s="846"/>
      <c r="E33" s="846"/>
      <c r="F33" s="152">
        <v>3.0249999999999999E-2</v>
      </c>
      <c r="G33" s="15">
        <f>ROUND(F33*$G$27,2)</f>
        <v>65.180000000000007</v>
      </c>
    </row>
    <row r="34" spans="1:8" ht="13">
      <c r="A34" s="38"/>
      <c r="B34" s="857" t="s">
        <v>9</v>
      </c>
      <c r="C34" s="857"/>
      <c r="D34" s="857"/>
      <c r="E34" s="857"/>
      <c r="F34" s="43">
        <f>F32+F33</f>
        <v>0.11355</v>
      </c>
      <c r="G34" s="18">
        <f>SUM(G32:G33)</f>
        <v>244.67000000000002</v>
      </c>
    </row>
    <row r="35" spans="1:8">
      <c r="A35" s="42"/>
      <c r="B35" s="42"/>
      <c r="C35" s="42"/>
      <c r="D35" s="42"/>
      <c r="E35" s="42"/>
      <c r="F35" s="42"/>
      <c r="G35" s="42"/>
      <c r="H35" s="8"/>
    </row>
    <row r="36" spans="1:8">
      <c r="A36" s="956" t="s">
        <v>134</v>
      </c>
      <c r="B36" s="957"/>
      <c r="C36" s="957"/>
      <c r="D36" s="957"/>
      <c r="E36" s="957"/>
      <c r="F36" s="957"/>
      <c r="G36" s="958"/>
    </row>
    <row r="37" spans="1:8" ht="13">
      <c r="A37" s="48" t="s">
        <v>10</v>
      </c>
      <c r="B37" s="871" t="s">
        <v>135</v>
      </c>
      <c r="C37" s="871"/>
      <c r="D37" s="871"/>
      <c r="E37" s="871"/>
      <c r="F37" s="48" t="s">
        <v>136</v>
      </c>
      <c r="G37" s="51" t="s">
        <v>137</v>
      </c>
    </row>
    <row r="38" spans="1:8">
      <c r="A38" s="38" t="s">
        <v>0</v>
      </c>
      <c r="B38" s="846" t="s">
        <v>12</v>
      </c>
      <c r="C38" s="846"/>
      <c r="D38" s="846"/>
      <c r="E38" s="846"/>
      <c r="F38" s="40">
        <v>0.2</v>
      </c>
      <c r="G38" s="67">
        <f t="shared" ref="G38:G46" si="0">ROUND(F38*($G$27+$G$34),2)</f>
        <v>479.89</v>
      </c>
    </row>
    <row r="39" spans="1:8">
      <c r="A39" s="38" t="s">
        <v>1</v>
      </c>
      <c r="B39" s="846" t="s">
        <v>13</v>
      </c>
      <c r="C39" s="846"/>
      <c r="D39" s="846"/>
      <c r="E39" s="846"/>
      <c r="F39" s="40">
        <v>2.5000000000000001E-2</v>
      </c>
      <c r="G39" s="67">
        <f t="shared" si="0"/>
        <v>59.99</v>
      </c>
    </row>
    <row r="40" spans="1:8">
      <c r="A40" s="38" t="s">
        <v>2</v>
      </c>
      <c r="B40" s="846" t="s">
        <v>14</v>
      </c>
      <c r="C40" s="846"/>
      <c r="D40" s="846"/>
      <c r="E40" s="846"/>
      <c r="F40" s="281">
        <v>1.4999999999999999E-2</v>
      </c>
      <c r="G40" s="67">
        <f t="shared" si="0"/>
        <v>35.99</v>
      </c>
    </row>
    <row r="41" spans="1:8">
      <c r="A41" s="38" t="s">
        <v>3</v>
      </c>
      <c r="B41" s="846" t="s">
        <v>15</v>
      </c>
      <c r="C41" s="846"/>
      <c r="D41" s="846"/>
      <c r="E41" s="846"/>
      <c r="F41" s="281">
        <v>0.01</v>
      </c>
      <c r="G41" s="67">
        <f t="shared" si="0"/>
        <v>23.99</v>
      </c>
    </row>
    <row r="42" spans="1:8">
      <c r="A42" s="38" t="s">
        <v>5</v>
      </c>
      <c r="B42" s="846" t="s">
        <v>16</v>
      </c>
      <c r="C42" s="846"/>
      <c r="D42" s="846"/>
      <c r="E42" s="846"/>
      <c r="F42" s="281">
        <v>6.000000000000001E-3</v>
      </c>
      <c r="G42" s="67">
        <f t="shared" si="0"/>
        <v>14.4</v>
      </c>
    </row>
    <row r="43" spans="1:8">
      <c r="A43" s="38" t="s">
        <v>6</v>
      </c>
      <c r="B43" s="846" t="s">
        <v>18</v>
      </c>
      <c r="C43" s="846"/>
      <c r="D43" s="846"/>
      <c r="E43" s="846"/>
      <c r="F43" s="40">
        <v>2E-3</v>
      </c>
      <c r="G43" s="67">
        <f t="shared" si="0"/>
        <v>4.8</v>
      </c>
    </row>
    <row r="44" spans="1:8">
      <c r="A44" s="38" t="s">
        <v>17</v>
      </c>
      <c r="B44" s="30" t="s">
        <v>138</v>
      </c>
      <c r="C44" s="28">
        <f>'DADOS DO LICITANTE'!B22</f>
        <v>0.03</v>
      </c>
      <c r="D44" s="30" t="s">
        <v>139</v>
      </c>
      <c r="E44" s="44">
        <f>'DADOS DO LICITANTE'!F22</f>
        <v>1</v>
      </c>
      <c r="F44" s="40">
        <f>C44*E44</f>
        <v>0.03</v>
      </c>
      <c r="G44" s="67">
        <f t="shared" si="0"/>
        <v>71.98</v>
      </c>
    </row>
    <row r="45" spans="1:8">
      <c r="A45" s="38" t="s">
        <v>19</v>
      </c>
      <c r="B45" s="846" t="s">
        <v>20</v>
      </c>
      <c r="C45" s="846"/>
      <c r="D45" s="846"/>
      <c r="E45" s="846"/>
      <c r="F45" s="40">
        <v>0.08</v>
      </c>
      <c r="G45" s="67">
        <f t="shared" si="0"/>
        <v>191.96</v>
      </c>
    </row>
    <row r="46" spans="1:8" ht="13">
      <c r="A46" s="38"/>
      <c r="B46" s="857" t="s">
        <v>9</v>
      </c>
      <c r="C46" s="857"/>
      <c r="D46" s="857"/>
      <c r="E46" s="857"/>
      <c r="F46" s="68">
        <f>SUM(F38:F45)</f>
        <v>0.36800000000000005</v>
      </c>
      <c r="G46" s="154">
        <f t="shared" si="0"/>
        <v>883</v>
      </c>
    </row>
    <row r="47" spans="1:8">
      <c r="A47" s="8" t="s">
        <v>140</v>
      </c>
      <c r="B47" s="863" t="s">
        <v>141</v>
      </c>
      <c r="C47" s="863"/>
      <c r="D47" s="863"/>
      <c r="E47" s="863"/>
      <c r="F47" s="863"/>
      <c r="G47" s="863"/>
      <c r="H47" s="8"/>
    </row>
    <row r="48" spans="1:8">
      <c r="A48" s="8"/>
      <c r="B48" s="45"/>
      <c r="C48" s="8"/>
      <c r="D48" s="8"/>
      <c r="E48" s="8"/>
      <c r="F48" s="8"/>
      <c r="G48" s="8"/>
      <c r="H48" s="8"/>
    </row>
    <row r="49" spans="1:8">
      <c r="A49" s="42"/>
      <c r="B49" s="42"/>
      <c r="C49" s="42"/>
      <c r="D49" s="42"/>
      <c r="E49" s="42"/>
      <c r="F49" s="42"/>
      <c r="G49" s="46" t="s">
        <v>276</v>
      </c>
    </row>
    <row r="50" spans="1:8" ht="13">
      <c r="A50" s="962" t="s">
        <v>21</v>
      </c>
      <c r="B50" s="963"/>
      <c r="C50" s="963"/>
      <c r="D50" s="963"/>
      <c r="E50" s="963"/>
      <c r="F50" s="963"/>
      <c r="G50" s="964"/>
    </row>
    <row r="51" spans="1:8" ht="13">
      <c r="A51" s="48" t="s">
        <v>22</v>
      </c>
      <c r="B51" s="871" t="s">
        <v>142</v>
      </c>
      <c r="C51" s="871"/>
      <c r="D51" s="871"/>
      <c r="E51" s="871"/>
      <c r="F51" s="934"/>
      <c r="G51" s="69" t="s">
        <v>137</v>
      </c>
    </row>
    <row r="52" spans="1:8">
      <c r="A52" s="49" t="s">
        <v>0</v>
      </c>
      <c r="B52" s="846" t="s">
        <v>143</v>
      </c>
      <c r="C52" s="846"/>
      <c r="D52" s="846"/>
      <c r="E52" s="846"/>
      <c r="F52" s="846"/>
      <c r="G52" s="17">
        <f>'DADOS DO LICITANTE'!J46</f>
        <v>108.82440000000001</v>
      </c>
    </row>
    <row r="53" spans="1:8">
      <c r="A53" s="49" t="s">
        <v>1</v>
      </c>
      <c r="B53" s="846" t="s">
        <v>43</v>
      </c>
      <c r="C53" s="846"/>
      <c r="D53" s="846"/>
      <c r="E53" s="846"/>
      <c r="F53" s="846"/>
      <c r="G53" s="17">
        <f>'DADOS DO LICITANTE'!$I26</f>
        <v>400.84</v>
      </c>
    </row>
    <row r="54" spans="1:8">
      <c r="A54" s="49" t="s">
        <v>2</v>
      </c>
      <c r="B54" s="846" t="s">
        <v>53</v>
      </c>
      <c r="C54" s="846"/>
      <c r="D54" s="846"/>
      <c r="E54" s="846"/>
      <c r="F54" s="846"/>
      <c r="G54" s="17">
        <f>'DADOS DO LICITANTE'!$I33</f>
        <v>137.79</v>
      </c>
    </row>
    <row r="55" spans="1:8">
      <c r="A55" s="49" t="s">
        <v>3</v>
      </c>
      <c r="B55" s="846" t="s">
        <v>48</v>
      </c>
      <c r="C55" s="846"/>
      <c r="D55" s="846"/>
      <c r="E55" s="846"/>
      <c r="F55" s="846"/>
      <c r="G55" s="17">
        <f>'DADOS DO LICITANTE'!$I28</f>
        <v>0</v>
      </c>
    </row>
    <row r="56" spans="1:8">
      <c r="A56" s="49" t="s">
        <v>5</v>
      </c>
      <c r="B56" s="846" t="s">
        <v>50</v>
      </c>
      <c r="C56" s="846"/>
      <c r="D56" s="846"/>
      <c r="E56" s="846"/>
      <c r="F56" s="846"/>
      <c r="G56" s="17">
        <f>'DADOS DO LICITANTE'!$I30</f>
        <v>4.9419999999999999E-2</v>
      </c>
    </row>
    <row r="57" spans="1:8">
      <c r="A57" s="49" t="s">
        <v>6</v>
      </c>
      <c r="B57" s="846" t="s">
        <v>191</v>
      </c>
      <c r="C57" s="846"/>
      <c r="D57" s="846"/>
      <c r="E57" s="846"/>
      <c r="F57" s="846"/>
      <c r="G57" s="17">
        <f>'DADOS DO LICITANTE'!$I32</f>
        <v>33.65</v>
      </c>
    </row>
    <row r="58" spans="1:8">
      <c r="A58" s="49" t="s">
        <v>17</v>
      </c>
      <c r="B58" s="872" t="str">
        <f>'DADOS DO LICITANTE'!A34</f>
        <v>Benefício Social Sindical</v>
      </c>
      <c r="C58" s="873"/>
      <c r="D58" s="873"/>
      <c r="E58" s="873"/>
      <c r="F58" s="874"/>
      <c r="G58" s="17">
        <f>'DADOS DO LICITANTE'!$I35</f>
        <v>15.2</v>
      </c>
    </row>
    <row r="59" spans="1:8" ht="13">
      <c r="A59" s="38"/>
      <c r="B59" s="857" t="s">
        <v>144</v>
      </c>
      <c r="C59" s="857"/>
      <c r="D59" s="857"/>
      <c r="E59" s="857"/>
      <c r="F59" s="921"/>
      <c r="G59" s="257">
        <f>ROUND(SUM(G52:G58),2)</f>
        <v>696.35</v>
      </c>
    </row>
    <row r="60" spans="1:8">
      <c r="A60" s="8"/>
      <c r="B60" s="687"/>
      <c r="C60" s="687"/>
      <c r="D60" s="687"/>
      <c r="E60" s="687"/>
      <c r="F60" s="687"/>
      <c r="G60" s="680"/>
      <c r="H60" s="8"/>
    </row>
    <row r="61" spans="1:8" ht="13">
      <c r="A61" s="953" t="s">
        <v>145</v>
      </c>
      <c r="B61" s="954"/>
      <c r="C61" s="954"/>
      <c r="D61" s="954"/>
      <c r="E61" s="954"/>
      <c r="F61" s="954"/>
      <c r="G61" s="955"/>
    </row>
    <row r="62" spans="1:8">
      <c r="A62" s="959" t="s">
        <v>0</v>
      </c>
      <c r="B62" s="876" t="s">
        <v>146</v>
      </c>
      <c r="C62" s="876"/>
      <c r="D62" s="876"/>
      <c r="E62" s="50" t="s">
        <v>147</v>
      </c>
      <c r="F62" s="877">
        <f>E63/30/12*D63</f>
        <v>4.1666666666666666E-3</v>
      </c>
      <c r="G62" s="960">
        <f>ROUND(($G$27+$G$34)*F62,2)</f>
        <v>10</v>
      </c>
    </row>
    <row r="63" spans="1:8">
      <c r="A63" s="833"/>
      <c r="B63" s="837" t="s">
        <v>148</v>
      </c>
      <c r="C63" s="837"/>
      <c r="D63" s="28">
        <f>'DADOS DO LICITANTE'!E52</f>
        <v>0.05</v>
      </c>
      <c r="E63" s="32">
        <v>30</v>
      </c>
      <c r="F63" s="878"/>
      <c r="G63" s="936"/>
    </row>
    <row r="64" spans="1:8">
      <c r="A64" s="49" t="s">
        <v>1</v>
      </c>
      <c r="B64" s="885" t="s">
        <v>149</v>
      </c>
      <c r="C64" s="886"/>
      <c r="D64" s="886"/>
      <c r="E64" s="886"/>
      <c r="F64" s="883"/>
      <c r="G64" s="237">
        <f>ROUND(G62*F45,2)</f>
        <v>0.8</v>
      </c>
    </row>
    <row r="65" spans="1:8">
      <c r="A65" s="49" t="s">
        <v>2</v>
      </c>
      <c r="B65" s="905" t="s">
        <v>416</v>
      </c>
      <c r="C65" s="906"/>
      <c r="D65" s="605">
        <f>'DADOS DO LICITANTE'!E53</f>
        <v>1</v>
      </c>
      <c r="E65" s="599"/>
      <c r="F65" s="604">
        <f>7/30/12</f>
        <v>1.9444444444444445E-2</v>
      </c>
      <c r="G65" s="236">
        <f>ROUND($G$27*$F$65*D65,2)</f>
        <v>41.9</v>
      </c>
    </row>
    <row r="66" spans="1:8">
      <c r="A66" s="49" t="s">
        <v>3</v>
      </c>
      <c r="B66" s="602" t="s">
        <v>150</v>
      </c>
      <c r="C66" s="603"/>
      <c r="D66" s="603"/>
      <c r="E66" s="603"/>
      <c r="F66" s="600"/>
      <c r="G66" s="582">
        <f>ROUND(G65*$F$46,2)</f>
        <v>15.42</v>
      </c>
    </row>
    <row r="67" spans="1:8">
      <c r="A67" s="49" t="s">
        <v>5</v>
      </c>
      <c r="B67" s="841" t="s">
        <v>413</v>
      </c>
      <c r="C67" s="841"/>
      <c r="D67" s="841"/>
      <c r="E67" s="841"/>
      <c r="F67" s="601">
        <v>0.04</v>
      </c>
      <c r="G67" s="236">
        <f>ROUND($G$27*F67,2)</f>
        <v>86.19</v>
      </c>
    </row>
    <row r="68" spans="1:8" ht="13">
      <c r="A68" s="38"/>
      <c r="B68" s="904" t="s">
        <v>9</v>
      </c>
      <c r="C68" s="894"/>
      <c r="D68" s="894"/>
      <c r="E68" s="894"/>
      <c r="F68" s="894"/>
      <c r="G68" s="276">
        <f>ROUND(SUM(G62:G67),2)</f>
        <v>154.31</v>
      </c>
      <c r="H68" s="301"/>
    </row>
    <row r="69" spans="1:8">
      <c r="A69" s="863" t="s">
        <v>414</v>
      </c>
      <c r="B69" s="863"/>
      <c r="C69" s="863"/>
      <c r="D69" s="863"/>
      <c r="E69" s="863"/>
      <c r="F69" s="863"/>
      <c r="G69" s="961"/>
      <c r="H69" s="961"/>
    </row>
    <row r="70" spans="1:8">
      <c r="A70" s="680"/>
      <c r="B70" s="680"/>
      <c r="C70" s="680"/>
      <c r="D70" s="680"/>
      <c r="E70" s="680"/>
      <c r="F70" s="680"/>
      <c r="G70" s="680"/>
      <c r="H70" s="8"/>
    </row>
    <row r="71" spans="1:8" ht="13">
      <c r="A71" s="953" t="s">
        <v>151</v>
      </c>
      <c r="B71" s="954"/>
      <c r="C71" s="954"/>
      <c r="D71" s="954"/>
      <c r="E71" s="954"/>
      <c r="F71" s="954"/>
      <c r="G71" s="955"/>
    </row>
    <row r="72" spans="1:8">
      <c r="A72" s="956" t="s">
        <v>152</v>
      </c>
      <c r="B72" s="957"/>
      <c r="C72" s="957"/>
      <c r="D72" s="957"/>
      <c r="E72" s="957"/>
      <c r="F72" s="957"/>
      <c r="G72" s="958"/>
    </row>
    <row r="73" spans="1:8" ht="13">
      <c r="A73" s="48"/>
      <c r="B73" s="871" t="s">
        <v>153</v>
      </c>
      <c r="C73" s="871"/>
      <c r="D73" s="871"/>
      <c r="E73" s="871"/>
      <c r="F73" s="871"/>
      <c r="G73" s="51" t="s">
        <v>137</v>
      </c>
    </row>
    <row r="74" spans="1:8" ht="12.5" customHeight="1">
      <c r="A74" s="38" t="s">
        <v>0</v>
      </c>
      <c r="B74" s="868" t="s">
        <v>154</v>
      </c>
      <c r="C74" s="869"/>
      <c r="D74" s="869"/>
      <c r="E74" s="870"/>
      <c r="F74" s="239">
        <v>9.0749999999999997E-2</v>
      </c>
      <c r="G74" s="15">
        <f>ROUND(($G$27*$F$74)+(($G$27*$F$74)*$F$46),2)</f>
        <v>267.51</v>
      </c>
    </row>
    <row r="75" spans="1:8">
      <c r="A75" s="832" t="s">
        <v>1</v>
      </c>
      <c r="B75" s="846" t="s">
        <v>155</v>
      </c>
      <c r="C75" s="846"/>
      <c r="D75" s="846"/>
      <c r="E75" s="846"/>
      <c r="F75" s="878">
        <f>'DADOS DO LICITANTE'!G58</f>
        <v>2.7378507871321013E-3</v>
      </c>
      <c r="G75" s="947">
        <f>ROUND($F$75*($G$27+$G$34+$G$46+G59-G52-G53+G68+G74),2)</f>
        <v>10.65</v>
      </c>
    </row>
    <row r="76" spans="1:8">
      <c r="A76" s="833"/>
      <c r="B76" s="836" t="s">
        <v>156</v>
      </c>
      <c r="C76" s="836"/>
      <c r="D76" s="836"/>
      <c r="E76" s="32">
        <f>'DADOS DO LICITANTE'!E58</f>
        <v>1</v>
      </c>
      <c r="F76" s="878"/>
      <c r="G76" s="949"/>
    </row>
    <row r="77" spans="1:8">
      <c r="A77" s="832" t="s">
        <v>2</v>
      </c>
      <c r="B77" s="846" t="s">
        <v>157</v>
      </c>
      <c r="C77" s="846"/>
      <c r="D77" s="29" t="s">
        <v>158</v>
      </c>
      <c r="E77" s="32">
        <f>'DADOS DO LICITANTE'!E59</f>
        <v>5</v>
      </c>
      <c r="F77" s="878">
        <f>'DADOS DO LICITANTE'!G59</f>
        <v>2.0533880903490757E-4</v>
      </c>
      <c r="G77" s="947">
        <f>ROUND($F$77*($G$27+$G$34+$G$46+G59-G52-G53+G68+G74),2)</f>
        <v>0.8</v>
      </c>
    </row>
    <row r="78" spans="1:8">
      <c r="A78" s="833"/>
      <c r="B78" s="836" t="s">
        <v>148</v>
      </c>
      <c r="C78" s="836"/>
      <c r="D78" s="836"/>
      <c r="E78" s="28">
        <f>'DADOS DO LICITANTE'!F59</f>
        <v>1.4999999999999999E-2</v>
      </c>
      <c r="F78" s="878">
        <v>0.121</v>
      </c>
      <c r="G78" s="949"/>
    </row>
    <row r="79" spans="1:8">
      <c r="A79" s="832" t="s">
        <v>3</v>
      </c>
      <c r="B79" s="846" t="s">
        <v>159</v>
      </c>
      <c r="C79" s="846"/>
      <c r="D79" s="29" t="s">
        <v>160</v>
      </c>
      <c r="E79" s="32">
        <f>'DADOS DO LICITANTE'!E60</f>
        <v>0.97</v>
      </c>
      <c r="F79" s="878">
        <f>'DADOS DO LICITANTE'!G60</f>
        <v>2.6557152635181382E-3</v>
      </c>
      <c r="G79" s="947">
        <f>ROUND($F$79*($G$27+$G$34+$G$46+G59-G52-G53+G68+G74),2)</f>
        <v>10.33</v>
      </c>
    </row>
    <row r="80" spans="1:8">
      <c r="A80" s="833"/>
      <c r="B80" s="846" t="s">
        <v>148</v>
      </c>
      <c r="C80" s="846"/>
      <c r="D80" s="846"/>
      <c r="E80" s="28">
        <f>'DADOS DO LICITANTE'!F60</f>
        <v>1</v>
      </c>
      <c r="F80" s="878"/>
      <c r="G80" s="949"/>
    </row>
    <row r="81" spans="1:8">
      <c r="A81" s="832" t="s">
        <v>5</v>
      </c>
      <c r="B81" s="846" t="s">
        <v>161</v>
      </c>
      <c r="C81" s="846"/>
      <c r="D81" s="29" t="s">
        <v>162</v>
      </c>
      <c r="E81" s="28">
        <f>'DADOS DO LICITANTE'!F61</f>
        <v>0.02</v>
      </c>
      <c r="F81" s="878">
        <f>'DADOS DO LICITANTE'!G61</f>
        <v>6.570841889117043E-3</v>
      </c>
      <c r="G81" s="947">
        <f>ROUND((($G$27*0.121)+($G$27*0.121)*$F$46)*$F$81+(($G$27*$F$45+$F$46*$G$32+G59+G68-G52-G53)*$F$81),2)</f>
        <v>6.15</v>
      </c>
    </row>
    <row r="82" spans="1:8">
      <c r="A82" s="833"/>
      <c r="B82" s="890"/>
      <c r="C82" s="890"/>
      <c r="D82" s="581" t="s">
        <v>163</v>
      </c>
      <c r="E82" s="598">
        <v>4</v>
      </c>
      <c r="F82" s="878"/>
      <c r="G82" s="949"/>
    </row>
    <row r="83" spans="1:8">
      <c r="A83" s="583" t="s">
        <v>6</v>
      </c>
      <c r="B83" s="841" t="s">
        <v>236</v>
      </c>
      <c r="C83" s="841"/>
      <c r="D83" s="584" t="s">
        <v>158</v>
      </c>
      <c r="E83" s="584">
        <v>3</v>
      </c>
      <c r="F83" s="597">
        <f>'DADOS DO LICITANTE'!G62</f>
        <v>8.2135523613963042E-3</v>
      </c>
      <c r="G83" s="98">
        <f>ROUND($F$83*($G$27+$G$34+$G$46+G59-G52-G53+G68+G74),2)</f>
        <v>31.96</v>
      </c>
    </row>
    <row r="84" spans="1:8">
      <c r="A84" s="38" t="s">
        <v>17</v>
      </c>
      <c r="B84" s="907" t="str">
        <f>'DADOS DO LICITANTE'!C63</f>
        <v>Outros</v>
      </c>
      <c r="C84" s="907"/>
      <c r="D84" s="907"/>
      <c r="E84" s="907"/>
      <c r="F84" s="10">
        <f>'DADOS DO LICITANTE'!G63</f>
        <v>0</v>
      </c>
      <c r="G84" s="15">
        <f>ROUND($F$84*($G$27+$G$34+$G$46+G59-G52-G53+G68+G74),2)</f>
        <v>0</v>
      </c>
    </row>
    <row r="85" spans="1:8" ht="13">
      <c r="A85" s="898" t="s">
        <v>9</v>
      </c>
      <c r="B85" s="898"/>
      <c r="C85" s="898"/>
      <c r="D85" s="898"/>
      <c r="E85" s="898"/>
      <c r="F85" s="898"/>
      <c r="G85" s="18">
        <f>SUM(G74:G84)</f>
        <v>327.39999999999992</v>
      </c>
    </row>
    <row r="86" spans="1:8">
      <c r="A86" s="687"/>
      <c r="B86" s="687"/>
      <c r="C86" s="687"/>
      <c r="D86" s="687"/>
      <c r="E86" s="687"/>
      <c r="F86" s="687"/>
      <c r="G86" s="687"/>
      <c r="H86" s="8"/>
    </row>
    <row r="87" spans="1:8" ht="13">
      <c r="A87" s="914" t="s">
        <v>164</v>
      </c>
      <c r="B87" s="915"/>
      <c r="C87" s="915"/>
      <c r="D87" s="915"/>
      <c r="E87" s="915"/>
      <c r="F87" s="915"/>
      <c r="G87" s="915"/>
    </row>
    <row r="88" spans="1:8" ht="13">
      <c r="A88" s="48"/>
      <c r="B88" s="871" t="s">
        <v>165</v>
      </c>
      <c r="C88" s="871"/>
      <c r="D88" s="871"/>
      <c r="E88" s="871"/>
      <c r="F88" s="871"/>
      <c r="G88" s="51" t="s">
        <v>8</v>
      </c>
    </row>
    <row r="89" spans="1:8">
      <c r="A89" s="38" t="s">
        <v>0</v>
      </c>
      <c r="B89" s="846" t="s">
        <v>166</v>
      </c>
      <c r="C89" s="846"/>
      <c r="D89" s="846"/>
      <c r="E89" s="846"/>
      <c r="F89" s="846"/>
      <c r="G89" s="39">
        <f>UNIFORMES!E11</f>
        <v>116.11416666666666</v>
      </c>
    </row>
    <row r="90" spans="1:8">
      <c r="A90" s="38" t="s">
        <v>1</v>
      </c>
      <c r="B90" s="846" t="s">
        <v>285</v>
      </c>
      <c r="C90" s="846"/>
      <c r="D90" s="846"/>
      <c r="E90" s="846"/>
      <c r="F90" s="846"/>
      <c r="G90" s="39">
        <f>ROUND((G27+G34+G46+G59+G68+G85+G89)*0.07,2)</f>
        <v>320.37</v>
      </c>
    </row>
    <row r="91" spans="1:8">
      <c r="A91" s="38" t="s">
        <v>2</v>
      </c>
      <c r="B91" s="903" t="str">
        <f>'DADOS DO LICITANTE'!A69</f>
        <v>Outros (especificar)</v>
      </c>
      <c r="C91" s="903"/>
      <c r="D91" s="903"/>
      <c r="E91" s="903"/>
      <c r="F91" s="903"/>
      <c r="G91" s="150">
        <f>'DADOS DO LICITANTE'!G69</f>
        <v>0</v>
      </c>
    </row>
    <row r="92" spans="1:8" ht="13">
      <c r="A92" s="38"/>
      <c r="B92" s="857" t="s">
        <v>167</v>
      </c>
      <c r="C92" s="857"/>
      <c r="D92" s="857"/>
      <c r="E92" s="857"/>
      <c r="F92" s="857"/>
      <c r="G92" s="52">
        <f t="shared" ref="G92" si="1">G89+G90+G91</f>
        <v>436.48416666666668</v>
      </c>
    </row>
    <row r="93" spans="1:8">
      <c r="A93" s="8" t="s">
        <v>168</v>
      </c>
      <c r="B93" s="950" t="s">
        <v>169</v>
      </c>
      <c r="C93" s="951"/>
      <c r="D93" s="951"/>
      <c r="E93" s="951"/>
      <c r="F93" s="951"/>
      <c r="G93" s="952"/>
    </row>
    <row r="94" spans="1:8">
      <c r="A94" s="900"/>
      <c r="B94" s="900"/>
      <c r="C94" s="900"/>
      <c r="D94" s="900"/>
      <c r="E94" s="900"/>
      <c r="F94" s="900"/>
      <c r="G94" s="900"/>
      <c r="H94" s="900"/>
    </row>
    <row r="95" spans="1:8" ht="13">
      <c r="A95" s="914" t="s">
        <v>170</v>
      </c>
      <c r="B95" s="915"/>
      <c r="C95" s="915"/>
      <c r="D95" s="915"/>
      <c r="E95" s="915"/>
      <c r="F95" s="915"/>
      <c r="G95" s="915"/>
    </row>
    <row r="96" spans="1:8" ht="13">
      <c r="A96" s="303" t="s">
        <v>0</v>
      </c>
      <c r="B96" s="902" t="s">
        <v>123</v>
      </c>
      <c r="C96" s="902"/>
      <c r="D96" s="902"/>
      <c r="E96" s="902"/>
      <c r="F96" s="902"/>
      <c r="G96" s="54">
        <f>$G$27</f>
        <v>2154.8000000000002</v>
      </c>
    </row>
    <row r="97" spans="1:8" ht="13">
      <c r="A97" s="304" t="s">
        <v>1</v>
      </c>
      <c r="B97" s="895" t="s">
        <v>130</v>
      </c>
      <c r="C97" s="895"/>
      <c r="D97" s="895"/>
      <c r="E97" s="895"/>
      <c r="F97" s="895"/>
      <c r="G97" s="56">
        <f>$G$34+$G$46+G59</f>
        <v>1824.02</v>
      </c>
    </row>
    <row r="98" spans="1:8" ht="13">
      <c r="A98" s="304" t="s">
        <v>2</v>
      </c>
      <c r="B98" s="891" t="s">
        <v>145</v>
      </c>
      <c r="C98" s="891"/>
      <c r="D98" s="891"/>
      <c r="E98" s="891"/>
      <c r="F98" s="891"/>
      <c r="G98" s="56">
        <f>G68</f>
        <v>154.31</v>
      </c>
    </row>
    <row r="99" spans="1:8" ht="13">
      <c r="A99" s="304" t="s">
        <v>3</v>
      </c>
      <c r="B99" s="891" t="s">
        <v>151</v>
      </c>
      <c r="C99" s="891"/>
      <c r="D99" s="891"/>
      <c r="E99" s="891"/>
      <c r="F99" s="891"/>
      <c r="G99" s="56">
        <f t="shared" ref="G99" si="2">G85</f>
        <v>327.39999999999992</v>
      </c>
    </row>
    <row r="100" spans="1:8" ht="13">
      <c r="A100" s="304" t="s">
        <v>5</v>
      </c>
      <c r="B100" s="891" t="s">
        <v>164</v>
      </c>
      <c r="C100" s="891"/>
      <c r="D100" s="891"/>
      <c r="E100" s="891"/>
      <c r="F100" s="891"/>
      <c r="G100" s="56">
        <f t="shared" ref="G100" si="3">G92</f>
        <v>436.48416666666668</v>
      </c>
    </row>
    <row r="101" spans="1:8" ht="13">
      <c r="A101" s="898" t="s">
        <v>9</v>
      </c>
      <c r="B101" s="898"/>
      <c r="C101" s="898"/>
      <c r="D101" s="898"/>
      <c r="E101" s="898"/>
      <c r="F101" s="898"/>
      <c r="G101" s="57">
        <f t="shared" ref="G101" si="4">SUM(G96:G100)</f>
        <v>4897.0141666666668</v>
      </c>
    </row>
    <row r="102" spans="1:8">
      <c r="A102" s="58"/>
      <c r="B102" s="900"/>
      <c r="C102" s="900"/>
      <c r="D102" s="900"/>
      <c r="E102" s="900"/>
      <c r="F102" s="900"/>
      <c r="G102" s="900"/>
      <c r="H102" s="900"/>
    </row>
    <row r="103" spans="1:8" ht="13">
      <c r="A103" s="914" t="s">
        <v>171</v>
      </c>
      <c r="B103" s="915"/>
      <c r="C103" s="915"/>
      <c r="D103" s="915"/>
      <c r="E103" s="915"/>
      <c r="F103" s="915"/>
      <c r="G103" s="916"/>
    </row>
    <row r="104" spans="1:8" ht="13">
      <c r="A104" s="293">
        <v>5</v>
      </c>
      <c r="B104" s="302" t="s">
        <v>172</v>
      </c>
      <c r="C104" s="302"/>
      <c r="D104" s="302"/>
      <c r="E104" s="302"/>
      <c r="F104" s="293" t="s">
        <v>11</v>
      </c>
      <c r="G104" s="293" t="s">
        <v>8</v>
      </c>
    </row>
    <row r="105" spans="1:8">
      <c r="A105" s="38" t="s">
        <v>0</v>
      </c>
      <c r="B105" s="846" t="s">
        <v>173</v>
      </c>
      <c r="C105" s="846"/>
      <c r="D105" s="846"/>
      <c r="E105" s="846"/>
      <c r="F105" s="59">
        <f>'DADOS DO LICITANTE'!D74</f>
        <v>0.05</v>
      </c>
      <c r="G105" s="15">
        <f>ROUND(G101*$F$105,2)</f>
        <v>244.85</v>
      </c>
    </row>
    <row r="106" spans="1:8">
      <c r="A106" s="38" t="s">
        <v>1</v>
      </c>
      <c r="B106" s="846" t="s">
        <v>25</v>
      </c>
      <c r="C106" s="846"/>
      <c r="D106" s="846"/>
      <c r="E106" s="846"/>
      <c r="F106" s="59">
        <f>'DADOS DO LICITANTE'!D75</f>
        <v>0.1</v>
      </c>
      <c r="G106" s="15">
        <f>ROUND((G101+G105)*$F$106,2)</f>
        <v>514.19000000000005</v>
      </c>
    </row>
    <row r="107" spans="1:8">
      <c r="A107" s="38" t="s">
        <v>2</v>
      </c>
      <c r="B107" s="846" t="s">
        <v>26</v>
      </c>
      <c r="C107" s="846"/>
      <c r="D107" s="846"/>
      <c r="E107" s="846"/>
      <c r="F107" s="896">
        <f>SUM(E108:E111)</f>
        <v>8.6499999999999994E-2</v>
      </c>
      <c r="G107" s="947">
        <f>((G101+G105+G106)/(1-$F$107))*$F$107</f>
        <v>535.57601030833791</v>
      </c>
    </row>
    <row r="108" spans="1:8">
      <c r="A108" s="925" t="s">
        <v>174</v>
      </c>
      <c r="B108" s="846" t="s">
        <v>175</v>
      </c>
      <c r="C108" s="846"/>
      <c r="D108" s="60" t="s">
        <v>176</v>
      </c>
      <c r="E108" s="61">
        <f>'DADOS DO LICITANTE'!D78</f>
        <v>6.4999999999999997E-3</v>
      </c>
      <c r="F108" s="896"/>
      <c r="G108" s="948"/>
    </row>
    <row r="109" spans="1:8">
      <c r="A109" s="926"/>
      <c r="B109" s="846"/>
      <c r="C109" s="846"/>
      <c r="D109" s="60" t="s">
        <v>177</v>
      </c>
      <c r="E109" s="61">
        <f>'DADOS DO LICITANTE'!D79</f>
        <v>0.03</v>
      </c>
      <c r="F109" s="896"/>
      <c r="G109" s="948"/>
    </row>
    <row r="110" spans="1:8">
      <c r="A110" s="38" t="s">
        <v>178</v>
      </c>
      <c r="B110" s="846" t="s">
        <v>179</v>
      </c>
      <c r="C110" s="846"/>
      <c r="D110" s="846"/>
      <c r="E110" s="28">
        <f>'DADOS DO LICITANTE'!D84</f>
        <v>0</v>
      </c>
      <c r="F110" s="896"/>
      <c r="G110" s="948"/>
    </row>
    <row r="111" spans="1:8" ht="49.5" customHeight="1">
      <c r="A111" s="311" t="s">
        <v>180</v>
      </c>
      <c r="B111" s="846" t="s">
        <v>181</v>
      </c>
      <c r="C111" s="846"/>
      <c r="D111" s="62" t="str">
        <f>'DADOS DO LICITANTE'!A80</f>
        <v>Guarulhos, São Sebastião, Taubaté, Pindamonhangaba, Campos do Jordão</v>
      </c>
      <c r="E111" s="63">
        <f>'DADOS DO LICITANTE'!D80</f>
        <v>0.05</v>
      </c>
      <c r="F111" s="896"/>
      <c r="G111" s="949"/>
    </row>
    <row r="112" spans="1:8" ht="13">
      <c r="A112" s="38"/>
      <c r="B112" s="857" t="s">
        <v>9</v>
      </c>
      <c r="C112" s="857"/>
      <c r="D112" s="857"/>
      <c r="E112" s="857"/>
      <c r="F112" s="857"/>
      <c r="G112" s="18">
        <f>SUM(G105:G111)</f>
        <v>1294.616010308338</v>
      </c>
    </row>
    <row r="113" spans="1:8">
      <c r="A113" s="687"/>
      <c r="B113" s="687"/>
      <c r="C113" s="687"/>
      <c r="D113" s="687"/>
      <c r="E113" s="687"/>
      <c r="F113" s="687"/>
      <c r="G113" s="687"/>
      <c r="H113" s="8"/>
    </row>
    <row r="114" spans="1:8" ht="13">
      <c r="A114" s="914" t="s">
        <v>288</v>
      </c>
      <c r="B114" s="915"/>
      <c r="C114" s="915"/>
      <c r="D114" s="915"/>
      <c r="E114" s="915"/>
      <c r="F114" s="915"/>
      <c r="G114" s="916"/>
    </row>
    <row r="115" spans="1:8" ht="13">
      <c r="A115" s="871" t="s">
        <v>182</v>
      </c>
      <c r="B115" s="871"/>
      <c r="C115" s="871"/>
      <c r="D115" s="871"/>
      <c r="E115" s="871"/>
      <c r="F115" s="871"/>
      <c r="G115" s="51" t="s">
        <v>183</v>
      </c>
    </row>
    <row r="116" spans="1:8" ht="13">
      <c r="A116" s="38" t="s">
        <v>0</v>
      </c>
      <c r="B116" s="891" t="s">
        <v>123</v>
      </c>
      <c r="C116" s="891"/>
      <c r="D116" s="891"/>
      <c r="E116" s="891"/>
      <c r="F116" s="891"/>
      <c r="G116" s="39">
        <f>G96</f>
        <v>2154.8000000000002</v>
      </c>
    </row>
    <row r="117" spans="1:8" ht="13">
      <c r="A117" s="38" t="s">
        <v>1</v>
      </c>
      <c r="B117" s="895" t="s">
        <v>130</v>
      </c>
      <c r="C117" s="895"/>
      <c r="D117" s="895"/>
      <c r="E117" s="895"/>
      <c r="F117" s="895"/>
      <c r="G117" s="39">
        <f>G97</f>
        <v>1824.02</v>
      </c>
    </row>
    <row r="118" spans="1:8" ht="13">
      <c r="A118" s="38" t="s">
        <v>2</v>
      </c>
      <c r="B118" s="891" t="s">
        <v>145</v>
      </c>
      <c r="C118" s="891"/>
      <c r="D118" s="891"/>
      <c r="E118" s="891"/>
      <c r="F118" s="891"/>
      <c r="G118" s="39">
        <f>G98</f>
        <v>154.31</v>
      </c>
    </row>
    <row r="119" spans="1:8" ht="13">
      <c r="A119" s="38" t="s">
        <v>3</v>
      </c>
      <c r="B119" s="891" t="s">
        <v>151</v>
      </c>
      <c r="C119" s="891"/>
      <c r="D119" s="891"/>
      <c r="E119" s="891"/>
      <c r="F119" s="891"/>
      <c r="G119" s="39">
        <f>G99</f>
        <v>327.39999999999992</v>
      </c>
    </row>
    <row r="120" spans="1:8" ht="13">
      <c r="A120" s="38" t="s">
        <v>5</v>
      </c>
      <c r="B120" s="891" t="s">
        <v>164</v>
      </c>
      <c r="C120" s="891"/>
      <c r="D120" s="891"/>
      <c r="E120" s="891"/>
      <c r="F120" s="891"/>
      <c r="G120" s="39">
        <f>G100</f>
        <v>436.48416666666668</v>
      </c>
    </row>
    <row r="121" spans="1:8" ht="13">
      <c r="A121" s="38" t="s">
        <v>6</v>
      </c>
      <c r="B121" s="891" t="s">
        <v>184</v>
      </c>
      <c r="C121" s="891"/>
      <c r="D121" s="891"/>
      <c r="E121" s="891"/>
      <c r="F121" s="891"/>
      <c r="G121" s="39">
        <f t="shared" ref="G121" si="5">G112</f>
        <v>1294.616010308338</v>
      </c>
    </row>
    <row r="122" spans="1:8" ht="13">
      <c r="A122" s="38"/>
      <c r="B122" s="857" t="s">
        <v>185</v>
      </c>
      <c r="C122" s="857"/>
      <c r="D122" s="857"/>
      <c r="E122" s="857"/>
      <c r="F122" s="857"/>
      <c r="G122" s="64">
        <f t="shared" ref="G122" si="6">SUM(G116:G121)</f>
        <v>6191.6301769750044</v>
      </c>
    </row>
    <row r="123" spans="1:8">
      <c r="A123" s="8"/>
      <c r="B123" s="8"/>
      <c r="C123" s="8"/>
      <c r="D123" s="8"/>
      <c r="E123" s="8"/>
      <c r="F123" s="8"/>
      <c r="G123" s="65" t="s">
        <v>276</v>
      </c>
    </row>
  </sheetData>
  <mergeCells count="145">
    <mergeCell ref="B67:E67"/>
    <mergeCell ref="B65:C65"/>
    <mergeCell ref="B83:C83"/>
    <mergeCell ref="A5:B5"/>
    <mergeCell ref="C5:D5"/>
    <mergeCell ref="F5:G5"/>
    <mergeCell ref="A6:G6"/>
    <mergeCell ref="A7:G7"/>
    <mergeCell ref="A15:G15"/>
    <mergeCell ref="B16:E16"/>
    <mergeCell ref="F16:G16"/>
    <mergeCell ref="B17:E17"/>
    <mergeCell ref="F17:G17"/>
    <mergeCell ref="B12:E12"/>
    <mergeCell ref="F12:G12"/>
    <mergeCell ref="A13:G13"/>
    <mergeCell ref="A14:G14"/>
    <mergeCell ref="A10:A11"/>
    <mergeCell ref="B10:E11"/>
    <mergeCell ref="F10:G11"/>
    <mergeCell ref="A30:G30"/>
    <mergeCell ref="A36:G36"/>
    <mergeCell ref="B18:E18"/>
    <mergeCell ref="F18:G18"/>
    <mergeCell ref="A1:G1"/>
    <mergeCell ref="A2:G2"/>
    <mergeCell ref="B3:D3"/>
    <mergeCell ref="E3:G3"/>
    <mergeCell ref="A4:B4"/>
    <mergeCell ref="C4:D4"/>
    <mergeCell ref="B8:E8"/>
    <mergeCell ref="F8:G8"/>
    <mergeCell ref="B9:E9"/>
    <mergeCell ref="F9:G9"/>
    <mergeCell ref="B24:F24"/>
    <mergeCell ref="B25:E25"/>
    <mergeCell ref="B26:F26"/>
    <mergeCell ref="B27:F27"/>
    <mergeCell ref="A28:G28"/>
    <mergeCell ref="B19:E19"/>
    <mergeCell ref="F19:G19"/>
    <mergeCell ref="A20:G20"/>
    <mergeCell ref="B22:F22"/>
    <mergeCell ref="B23:D23"/>
    <mergeCell ref="A21:G21"/>
    <mergeCell ref="A29:G29"/>
    <mergeCell ref="B37:E37"/>
    <mergeCell ref="B38:E38"/>
    <mergeCell ref="B39:E39"/>
    <mergeCell ref="B40:E40"/>
    <mergeCell ref="B41:E41"/>
    <mergeCell ref="B42:E42"/>
    <mergeCell ref="B31:F31"/>
    <mergeCell ref="B32:E32"/>
    <mergeCell ref="B33:E33"/>
    <mergeCell ref="B34:E34"/>
    <mergeCell ref="B52:F52"/>
    <mergeCell ref="B53:F53"/>
    <mergeCell ref="B54:F54"/>
    <mergeCell ref="B55:F55"/>
    <mergeCell ref="B56:F56"/>
    <mergeCell ref="B57:F57"/>
    <mergeCell ref="B43:E43"/>
    <mergeCell ref="B45:E45"/>
    <mergeCell ref="B46:E46"/>
    <mergeCell ref="B47:G47"/>
    <mergeCell ref="B51:F51"/>
    <mergeCell ref="A50:G50"/>
    <mergeCell ref="B74:E74"/>
    <mergeCell ref="A71:G71"/>
    <mergeCell ref="A72:G72"/>
    <mergeCell ref="B79:C79"/>
    <mergeCell ref="F79:F80"/>
    <mergeCell ref="G79:G80"/>
    <mergeCell ref="B58:F58"/>
    <mergeCell ref="B59:F59"/>
    <mergeCell ref="B60:G60"/>
    <mergeCell ref="A62:A63"/>
    <mergeCell ref="B62:D62"/>
    <mergeCell ref="F62:F63"/>
    <mergeCell ref="G62:G63"/>
    <mergeCell ref="B63:C63"/>
    <mergeCell ref="A61:G61"/>
    <mergeCell ref="B64:F64"/>
    <mergeCell ref="B68:F68"/>
    <mergeCell ref="A69:H69"/>
    <mergeCell ref="A70:G70"/>
    <mergeCell ref="B73:F73"/>
    <mergeCell ref="B78:D78"/>
    <mergeCell ref="B76:D76"/>
    <mergeCell ref="B77:C77"/>
    <mergeCell ref="F77:F78"/>
    <mergeCell ref="G75:G76"/>
    <mergeCell ref="A85:F85"/>
    <mergeCell ref="A86:G86"/>
    <mergeCell ref="B75:E75"/>
    <mergeCell ref="F75:F76"/>
    <mergeCell ref="B80:D80"/>
    <mergeCell ref="B88:F88"/>
    <mergeCell ref="B82:C82"/>
    <mergeCell ref="A75:A76"/>
    <mergeCell ref="A77:A78"/>
    <mergeCell ref="A79:A80"/>
    <mergeCell ref="A87:G87"/>
    <mergeCell ref="B81:C81"/>
    <mergeCell ref="F81:F82"/>
    <mergeCell ref="G81:G82"/>
    <mergeCell ref="B84:E84"/>
    <mergeCell ref="B98:F98"/>
    <mergeCell ref="B99:F99"/>
    <mergeCell ref="A81:A82"/>
    <mergeCell ref="G77:G78"/>
    <mergeCell ref="B100:F100"/>
    <mergeCell ref="B89:F89"/>
    <mergeCell ref="B90:F90"/>
    <mergeCell ref="B91:F91"/>
    <mergeCell ref="B92:F92"/>
    <mergeCell ref="A94:H94"/>
    <mergeCell ref="B93:G93"/>
    <mergeCell ref="A95:G95"/>
    <mergeCell ref="B96:F96"/>
    <mergeCell ref="B97:F97"/>
    <mergeCell ref="B107:E107"/>
    <mergeCell ref="F107:F111"/>
    <mergeCell ref="G107:G111"/>
    <mergeCell ref="A101:F101"/>
    <mergeCell ref="B102:H102"/>
    <mergeCell ref="B105:E105"/>
    <mergeCell ref="B106:E106"/>
    <mergeCell ref="A108:A109"/>
    <mergeCell ref="B108:C109"/>
    <mergeCell ref="B110:D110"/>
    <mergeCell ref="B111:C111"/>
    <mergeCell ref="A103:G103"/>
    <mergeCell ref="B118:F118"/>
    <mergeCell ref="B119:F119"/>
    <mergeCell ref="B120:F120"/>
    <mergeCell ref="B121:F121"/>
    <mergeCell ref="B122:F122"/>
    <mergeCell ref="B112:F112"/>
    <mergeCell ref="A113:G113"/>
    <mergeCell ref="A115:F115"/>
    <mergeCell ref="B116:F116"/>
    <mergeCell ref="B117:F117"/>
    <mergeCell ref="A114:G11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/>
  <dimension ref="A1:Q126"/>
  <sheetViews>
    <sheetView showGridLines="0" workbookViewId="0">
      <selection activeCell="Q90" sqref="Q90"/>
    </sheetView>
  </sheetViews>
  <sheetFormatPr defaultRowHeight="12.5"/>
  <cols>
    <col min="2" max="2" width="23.1796875" customWidth="1"/>
    <col min="3" max="3" width="17.1796875" customWidth="1"/>
    <col min="4" max="4" width="22.81640625" customWidth="1"/>
    <col min="5" max="5" width="13.81640625" customWidth="1"/>
    <col min="6" max="6" width="17.81640625" customWidth="1"/>
    <col min="7" max="7" width="15.1796875" customWidth="1"/>
    <col min="8" max="8" width="13.1796875" bestFit="1" customWidth="1"/>
    <col min="9" max="9" width="14.54296875" bestFit="1" customWidth="1"/>
    <col min="10" max="10" width="12.1796875" bestFit="1" customWidth="1"/>
    <col min="11" max="17" width="13.81640625" customWidth="1"/>
  </cols>
  <sheetData>
    <row r="1" spans="1:11" ht="13">
      <c r="A1" s="834" t="s">
        <v>107</v>
      </c>
      <c r="B1" s="834"/>
      <c r="C1" s="834"/>
      <c r="D1" s="834"/>
      <c r="E1" s="834"/>
      <c r="F1" s="834"/>
      <c r="G1" s="834"/>
      <c r="H1" s="8"/>
      <c r="I1" s="8"/>
      <c r="J1" s="8"/>
      <c r="K1" s="8"/>
    </row>
    <row r="2" spans="1:11" ht="13">
      <c r="A2" s="835" t="s">
        <v>108</v>
      </c>
      <c r="B2" s="835"/>
      <c r="C2" s="835"/>
      <c r="D2" s="835"/>
      <c r="E2" s="835"/>
      <c r="F2" s="835"/>
      <c r="G2" s="835"/>
      <c r="H2" s="8"/>
      <c r="I2" s="8"/>
      <c r="J2" s="8"/>
      <c r="K2" s="8"/>
    </row>
    <row r="3" spans="1:11">
      <c r="A3" s="29"/>
      <c r="B3" s="836" t="s">
        <v>109</v>
      </c>
      <c r="C3" s="836"/>
      <c r="D3" s="836"/>
      <c r="E3" s="837" t="str">
        <f>'DADOS DO LICITANTE'!H3</f>
        <v>13843.720002/2024-24</v>
      </c>
      <c r="F3" s="837"/>
      <c r="G3" s="890"/>
      <c r="H3" s="8"/>
      <c r="I3" s="8"/>
      <c r="J3" s="8"/>
      <c r="K3" s="8"/>
    </row>
    <row r="4" spans="1:11">
      <c r="A4" s="837" t="s">
        <v>110</v>
      </c>
      <c r="B4" s="837"/>
      <c r="C4" s="837" t="str">
        <f>'DADOS DO LICITANTE'!A1</f>
        <v>PREGÃO DRF/SJC Nº 01/2024</v>
      </c>
      <c r="D4" s="837"/>
      <c r="E4" s="31"/>
      <c r="F4" s="256">
        <f>'DADOS DO LICITANTE'!D3</f>
        <v>45428</v>
      </c>
      <c r="G4" s="71" t="str">
        <f>'DADOS DO LICITANTE'!F3</f>
        <v>09h30min</v>
      </c>
      <c r="H4" s="8"/>
      <c r="I4" s="8"/>
      <c r="J4" s="8"/>
      <c r="K4" s="8"/>
    </row>
    <row r="5" spans="1:11">
      <c r="A5" s="837" t="s">
        <v>111</v>
      </c>
      <c r="B5" s="837"/>
      <c r="C5" s="846">
        <f>'DADOS DO LICITANTE'!C4</f>
        <v>0</v>
      </c>
      <c r="D5" s="846"/>
      <c r="E5" s="29" t="s">
        <v>112</v>
      </c>
      <c r="F5" s="847">
        <f>'DADOS DO LICITANTE'!B5</f>
        <v>0</v>
      </c>
      <c r="G5" s="911"/>
      <c r="H5" s="8"/>
      <c r="I5" s="8"/>
      <c r="J5" s="8"/>
      <c r="K5" s="8"/>
    </row>
    <row r="6" spans="1:11" ht="13">
      <c r="A6" s="849"/>
      <c r="B6" s="849"/>
      <c r="C6" s="849"/>
      <c r="D6" s="849"/>
      <c r="E6" s="849"/>
      <c r="F6" s="849"/>
      <c r="G6" s="849"/>
      <c r="H6" s="8"/>
      <c r="I6" s="8"/>
      <c r="J6" s="8"/>
      <c r="K6" s="8"/>
    </row>
    <row r="7" spans="1:11" ht="13">
      <c r="A7" s="850" t="s">
        <v>113</v>
      </c>
      <c r="B7" s="850"/>
      <c r="C7" s="850"/>
      <c r="D7" s="850"/>
      <c r="E7" s="850"/>
      <c r="F7" s="850"/>
      <c r="G7" s="850"/>
      <c r="H7" s="8"/>
      <c r="I7" s="8"/>
      <c r="J7" s="8"/>
      <c r="K7" s="8"/>
    </row>
    <row r="8" spans="1:11">
      <c r="A8" s="29" t="s">
        <v>0</v>
      </c>
      <c r="B8" s="837" t="s">
        <v>114</v>
      </c>
      <c r="C8" s="837"/>
      <c r="D8" s="837"/>
      <c r="E8" s="837"/>
      <c r="F8" s="974" t="str">
        <f>'DADOS DO LICITANTE'!H13</f>
        <v>xx/xx/2024</v>
      </c>
      <c r="G8" s="974"/>
      <c r="H8" s="8"/>
      <c r="I8" s="8"/>
      <c r="J8" s="8"/>
      <c r="K8" s="8"/>
    </row>
    <row r="9" spans="1:11">
      <c r="A9" s="29" t="s">
        <v>1</v>
      </c>
      <c r="B9" s="837" t="s">
        <v>115</v>
      </c>
      <c r="C9" s="837"/>
      <c r="D9" s="837"/>
      <c r="E9" s="837"/>
      <c r="F9" s="837" t="s">
        <v>228</v>
      </c>
      <c r="G9" s="837"/>
      <c r="H9" s="8"/>
      <c r="I9" s="8"/>
      <c r="J9" s="8"/>
      <c r="K9" s="8"/>
    </row>
    <row r="10" spans="1:11">
      <c r="A10" s="837" t="s">
        <v>2</v>
      </c>
      <c r="B10" s="844" t="s">
        <v>116</v>
      </c>
      <c r="C10" s="844"/>
      <c r="D10" s="844"/>
      <c r="E10" s="844"/>
      <c r="F10" s="845">
        <f>'DADOS DO LICITANTE'!E11</f>
        <v>45292</v>
      </c>
      <c r="G10" s="845"/>
      <c r="H10" s="8"/>
      <c r="I10" s="8"/>
      <c r="J10" s="8"/>
      <c r="K10" s="8"/>
    </row>
    <row r="11" spans="1:11">
      <c r="A11" s="837"/>
      <c r="B11" s="844"/>
      <c r="C11" s="844"/>
      <c r="D11" s="844"/>
      <c r="E11" s="844"/>
      <c r="F11" s="845"/>
      <c r="G11" s="845"/>
      <c r="H11" s="8"/>
      <c r="I11" s="8"/>
      <c r="J11" s="8"/>
      <c r="K11" s="8"/>
    </row>
    <row r="12" spans="1:11">
      <c r="A12" s="29" t="s">
        <v>3</v>
      </c>
      <c r="B12" s="837" t="s">
        <v>117</v>
      </c>
      <c r="C12" s="837"/>
      <c r="D12" s="837"/>
      <c r="E12" s="837"/>
      <c r="F12" s="837">
        <v>12</v>
      </c>
      <c r="G12" s="837"/>
      <c r="H12" s="8"/>
      <c r="I12" s="8"/>
      <c r="J12" s="8"/>
      <c r="K12" s="8"/>
    </row>
    <row r="13" spans="1:11">
      <c r="A13" s="854"/>
      <c r="B13" s="854"/>
      <c r="C13" s="854"/>
      <c r="D13" s="854"/>
      <c r="E13" s="854"/>
      <c r="F13" s="854"/>
      <c r="G13" s="854"/>
      <c r="H13" s="8"/>
      <c r="I13" s="8"/>
      <c r="J13" s="8"/>
      <c r="K13" s="8"/>
    </row>
    <row r="14" spans="1:11">
      <c r="A14" s="855" t="s">
        <v>118</v>
      </c>
      <c r="B14" s="855"/>
      <c r="C14" s="855"/>
      <c r="D14" s="855"/>
      <c r="E14" s="855"/>
      <c r="F14" s="855"/>
      <c r="G14" s="855"/>
      <c r="H14" s="8"/>
      <c r="I14" s="8"/>
      <c r="J14" s="8"/>
      <c r="K14" s="8"/>
    </row>
    <row r="15" spans="1:11" ht="13">
      <c r="A15" s="835" t="s">
        <v>119</v>
      </c>
      <c r="B15" s="835"/>
      <c r="C15" s="835"/>
      <c r="D15" s="835"/>
      <c r="E15" s="835"/>
      <c r="F15" s="835"/>
      <c r="G15" s="835"/>
      <c r="H15" s="8"/>
      <c r="I15" s="8"/>
      <c r="J15" s="8"/>
      <c r="K15" s="8"/>
    </row>
    <row r="16" spans="1:11">
      <c r="A16" s="29">
        <v>1</v>
      </c>
      <c r="B16" s="846" t="s">
        <v>120</v>
      </c>
      <c r="C16" s="846"/>
      <c r="D16" s="846"/>
      <c r="E16" s="846"/>
      <c r="F16" s="844" t="s">
        <v>195</v>
      </c>
      <c r="G16" s="844"/>
      <c r="H16" s="8"/>
      <c r="I16" s="8"/>
      <c r="J16" s="8"/>
      <c r="K16" s="8"/>
    </row>
    <row r="17" spans="1:11" ht="13">
      <c r="A17" s="29">
        <v>2</v>
      </c>
      <c r="B17" s="846" t="s">
        <v>121</v>
      </c>
      <c r="C17" s="846"/>
      <c r="D17" s="846"/>
      <c r="E17" s="846"/>
      <c r="F17" s="912">
        <f>'DADOS DO LICITANTE'!D16</f>
        <v>1742.91</v>
      </c>
      <c r="G17" s="912"/>
      <c r="H17" s="8"/>
      <c r="I17" s="8"/>
      <c r="J17" s="8"/>
      <c r="K17" s="8"/>
    </row>
    <row r="18" spans="1:11">
      <c r="A18" s="609">
        <v>3</v>
      </c>
      <c r="B18" s="841" t="s">
        <v>4</v>
      </c>
      <c r="C18" s="841"/>
      <c r="D18" s="841"/>
      <c r="E18" s="841"/>
      <c r="F18" s="842" t="s">
        <v>186</v>
      </c>
      <c r="G18" s="842"/>
      <c r="H18" s="8"/>
      <c r="I18" s="8"/>
      <c r="J18" s="8"/>
      <c r="K18" s="8"/>
    </row>
    <row r="19" spans="1:11">
      <c r="A19" s="593">
        <v>4</v>
      </c>
      <c r="B19" s="884" t="s">
        <v>122</v>
      </c>
      <c r="C19" s="846"/>
      <c r="D19" s="846"/>
      <c r="E19" s="846"/>
      <c r="F19" s="913">
        <f>'DADOS DO LICITANTE'!E11</f>
        <v>45292</v>
      </c>
      <c r="G19" s="913"/>
      <c r="H19" s="8"/>
      <c r="I19" s="8"/>
      <c r="J19" s="8"/>
      <c r="K19" s="8"/>
    </row>
    <row r="20" spans="1:11">
      <c r="A20" s="702"/>
      <c r="B20" s="702"/>
      <c r="C20" s="702"/>
      <c r="D20" s="702"/>
      <c r="E20" s="702"/>
      <c r="F20" s="702"/>
      <c r="G20" s="702"/>
      <c r="H20" s="8"/>
      <c r="I20" s="8"/>
      <c r="J20" s="8"/>
      <c r="K20" s="8"/>
    </row>
    <row r="21" spans="1:11" ht="13">
      <c r="A21" s="835" t="s">
        <v>123</v>
      </c>
      <c r="B21" s="835"/>
      <c r="C21" s="835"/>
      <c r="D21" s="835"/>
      <c r="E21" s="835"/>
      <c r="F21" s="835"/>
      <c r="G21" s="835"/>
      <c r="H21" s="8"/>
      <c r="I21" s="8"/>
      <c r="J21" s="8"/>
      <c r="K21" s="8"/>
    </row>
    <row r="22" spans="1:11" ht="13">
      <c r="A22" s="36">
        <v>1</v>
      </c>
      <c r="B22" s="857" t="s">
        <v>124</v>
      </c>
      <c r="C22" s="857"/>
      <c r="D22" s="857"/>
      <c r="E22" s="857"/>
      <c r="F22" s="857"/>
      <c r="G22" s="37" t="s">
        <v>8</v>
      </c>
      <c r="H22" s="8"/>
      <c r="I22" s="8"/>
      <c r="J22" s="8"/>
      <c r="K22" s="8"/>
    </row>
    <row r="23" spans="1:11">
      <c r="A23" s="38" t="s">
        <v>0</v>
      </c>
      <c r="B23" s="846" t="s">
        <v>121</v>
      </c>
      <c r="C23" s="846"/>
      <c r="D23" s="846"/>
      <c r="E23" s="29"/>
      <c r="F23" s="29"/>
      <c r="G23" s="39">
        <f>F17</f>
        <v>1742.91</v>
      </c>
      <c r="H23" s="8"/>
      <c r="I23" s="8"/>
      <c r="J23" s="8"/>
      <c r="K23" s="8"/>
    </row>
    <row r="24" spans="1:11">
      <c r="A24" s="38" t="s">
        <v>125</v>
      </c>
      <c r="B24" s="846" t="s">
        <v>126</v>
      </c>
      <c r="C24" s="846"/>
      <c r="D24" s="846"/>
      <c r="E24" s="846"/>
      <c r="F24" s="846"/>
      <c r="G24" s="39"/>
      <c r="H24" s="8"/>
      <c r="I24" s="8"/>
      <c r="J24" s="8"/>
      <c r="K24" s="8"/>
    </row>
    <row r="25" spans="1:11">
      <c r="A25" s="38" t="s">
        <v>1</v>
      </c>
      <c r="B25" s="846" t="s">
        <v>415</v>
      </c>
      <c r="C25" s="846"/>
      <c r="D25" s="846"/>
      <c r="E25" s="846"/>
      <c r="F25" s="40">
        <v>0</v>
      </c>
      <c r="G25" s="39">
        <f>ROUND(G23*F25,2)</f>
        <v>0</v>
      </c>
      <c r="H25" s="8"/>
      <c r="I25" s="8"/>
      <c r="J25" s="8"/>
      <c r="K25" s="8"/>
    </row>
    <row r="26" spans="1:11">
      <c r="A26" s="38" t="s">
        <v>2</v>
      </c>
      <c r="B26" s="856" t="s">
        <v>128</v>
      </c>
      <c r="C26" s="856"/>
      <c r="D26" s="856"/>
      <c r="E26" s="856"/>
      <c r="F26" s="856"/>
      <c r="G26" s="39"/>
      <c r="H26" s="8"/>
      <c r="I26" s="8"/>
      <c r="J26" s="8"/>
      <c r="K26" s="8"/>
    </row>
    <row r="27" spans="1:11" ht="13">
      <c r="A27" s="38"/>
      <c r="B27" s="857" t="s">
        <v>129</v>
      </c>
      <c r="C27" s="857"/>
      <c r="D27" s="857"/>
      <c r="E27" s="857"/>
      <c r="F27" s="857"/>
      <c r="G27" s="41">
        <f>SUM(G23:G26)</f>
        <v>1742.91</v>
      </c>
      <c r="H27" s="8"/>
      <c r="I27" s="8"/>
      <c r="J27" s="8"/>
      <c r="K27" s="8"/>
    </row>
    <row r="28" spans="1:11">
      <c r="A28" s="687"/>
      <c r="B28" s="687"/>
      <c r="C28" s="687"/>
      <c r="D28" s="687"/>
      <c r="E28" s="687"/>
      <c r="F28" s="687"/>
      <c r="G28" s="687"/>
      <c r="H28" s="8"/>
      <c r="I28" s="8"/>
      <c r="J28" s="8"/>
      <c r="K28" s="8"/>
    </row>
    <row r="29" spans="1:11" ht="13">
      <c r="A29" s="858" t="s">
        <v>130</v>
      </c>
      <c r="B29" s="858"/>
      <c r="C29" s="858"/>
      <c r="D29" s="858"/>
      <c r="E29" s="858"/>
      <c r="F29" s="858"/>
      <c r="G29" s="858"/>
      <c r="H29" s="8"/>
      <c r="I29" s="8"/>
      <c r="J29" s="8"/>
      <c r="K29" s="8"/>
    </row>
    <row r="30" spans="1:11">
      <c r="A30" s="860" t="s">
        <v>131</v>
      </c>
      <c r="B30" s="860"/>
      <c r="C30" s="860"/>
      <c r="D30" s="860"/>
      <c r="E30" s="860"/>
      <c r="F30" s="860"/>
      <c r="G30" s="860"/>
      <c r="H30" s="8"/>
      <c r="I30" s="8"/>
      <c r="J30" s="8"/>
      <c r="K30" s="8"/>
    </row>
    <row r="31" spans="1:11" ht="13">
      <c r="A31" s="36" t="s">
        <v>7</v>
      </c>
      <c r="B31" s="857" t="s">
        <v>132</v>
      </c>
      <c r="C31" s="857"/>
      <c r="D31" s="857"/>
      <c r="E31" s="857"/>
      <c r="F31" s="857"/>
      <c r="G31" s="37" t="s">
        <v>8</v>
      </c>
      <c r="H31" s="8"/>
      <c r="I31" s="8"/>
      <c r="J31" s="8"/>
      <c r="K31" s="8"/>
    </row>
    <row r="32" spans="1:11">
      <c r="A32" s="38" t="s">
        <v>0</v>
      </c>
      <c r="B32" s="846" t="s">
        <v>132</v>
      </c>
      <c r="C32" s="846"/>
      <c r="D32" s="846"/>
      <c r="E32" s="846"/>
      <c r="F32" s="10">
        <v>8.3299999999999999E-2</v>
      </c>
      <c r="G32" s="587">
        <f>ROUND(F32*$G$27,2)</f>
        <v>145.18</v>
      </c>
      <c r="H32" s="8"/>
      <c r="I32" s="8"/>
      <c r="J32" s="8"/>
      <c r="K32" s="8"/>
    </row>
    <row r="33" spans="1:11">
      <c r="A33" s="38" t="s">
        <v>1</v>
      </c>
      <c r="B33" s="846" t="s">
        <v>133</v>
      </c>
      <c r="C33" s="846"/>
      <c r="D33" s="846"/>
      <c r="E33" s="846"/>
      <c r="F33" s="152">
        <v>3.0249999999999999E-2</v>
      </c>
      <c r="G33" s="587">
        <f>ROUND(F33*$G$27,2)</f>
        <v>52.72</v>
      </c>
      <c r="H33" s="8"/>
      <c r="I33" s="8"/>
      <c r="J33" s="8"/>
      <c r="K33" s="8"/>
    </row>
    <row r="34" spans="1:11" ht="13">
      <c r="A34" s="38"/>
      <c r="B34" s="857" t="s">
        <v>9</v>
      </c>
      <c r="C34" s="857"/>
      <c r="D34" s="857"/>
      <c r="E34" s="857"/>
      <c r="F34" s="43">
        <f>F32+F33</f>
        <v>0.11355</v>
      </c>
      <c r="G34" s="18">
        <f>SUM(G32:G33)</f>
        <v>197.9</v>
      </c>
      <c r="H34" s="8"/>
      <c r="I34" s="8"/>
      <c r="J34" s="8"/>
      <c r="K34" s="8"/>
    </row>
    <row r="35" spans="1:11">
      <c r="A35" s="33"/>
      <c r="B35" s="33"/>
      <c r="C35" s="33"/>
      <c r="D35" s="33"/>
      <c r="E35" s="33"/>
      <c r="F35" s="33"/>
      <c r="G35" s="33"/>
      <c r="H35" s="8"/>
      <c r="I35" s="8"/>
      <c r="J35" s="8"/>
      <c r="K35" s="8"/>
    </row>
    <row r="36" spans="1:11">
      <c r="A36" s="861" t="s">
        <v>134</v>
      </c>
      <c r="B36" s="861"/>
      <c r="C36" s="861"/>
      <c r="D36" s="861"/>
      <c r="E36" s="861"/>
      <c r="F36" s="861"/>
      <c r="G36" s="861"/>
      <c r="H36" s="8"/>
      <c r="I36" s="8"/>
      <c r="J36" s="8"/>
      <c r="K36" s="8"/>
    </row>
    <row r="37" spans="1:11" ht="13">
      <c r="A37" s="36" t="s">
        <v>10</v>
      </c>
      <c r="B37" s="857" t="s">
        <v>135</v>
      </c>
      <c r="C37" s="857"/>
      <c r="D37" s="857"/>
      <c r="E37" s="857"/>
      <c r="F37" s="36" t="s">
        <v>136</v>
      </c>
      <c r="G37" s="37" t="s">
        <v>137</v>
      </c>
      <c r="H37" s="8"/>
      <c r="I37" s="8"/>
      <c r="J37" s="8"/>
      <c r="K37" s="8"/>
    </row>
    <row r="38" spans="1:11">
      <c r="A38" s="38" t="s">
        <v>0</v>
      </c>
      <c r="B38" s="846" t="s">
        <v>12</v>
      </c>
      <c r="C38" s="846"/>
      <c r="D38" s="846"/>
      <c r="E38" s="846"/>
      <c r="F38" s="40">
        <v>0.2</v>
      </c>
      <c r="G38" s="67">
        <f t="shared" ref="G38:G46" si="0">ROUND(F38*($G$27+$G$34),2)</f>
        <v>388.16</v>
      </c>
      <c r="H38" s="8"/>
      <c r="I38" s="8"/>
      <c r="J38" s="8"/>
      <c r="K38" s="8"/>
    </row>
    <row r="39" spans="1:11">
      <c r="A39" s="38" t="s">
        <v>1</v>
      </c>
      <c r="B39" s="846" t="s">
        <v>13</v>
      </c>
      <c r="C39" s="846"/>
      <c r="D39" s="846"/>
      <c r="E39" s="846"/>
      <c r="F39" s="40">
        <v>2.5000000000000001E-2</v>
      </c>
      <c r="G39" s="67">
        <f t="shared" si="0"/>
        <v>48.52</v>
      </c>
      <c r="H39" s="8"/>
      <c r="I39" s="8"/>
      <c r="J39" s="8"/>
      <c r="K39" s="8"/>
    </row>
    <row r="40" spans="1:11">
      <c r="A40" s="38" t="s">
        <v>2</v>
      </c>
      <c r="B40" s="846" t="s">
        <v>14</v>
      </c>
      <c r="C40" s="846"/>
      <c r="D40" s="846"/>
      <c r="E40" s="846"/>
      <c r="F40" s="281">
        <v>1.4999999999999999E-2</v>
      </c>
      <c r="G40" s="67">
        <f t="shared" si="0"/>
        <v>29.11</v>
      </c>
      <c r="H40" s="8"/>
      <c r="I40" s="8"/>
      <c r="J40" s="8"/>
      <c r="K40" s="8"/>
    </row>
    <row r="41" spans="1:11">
      <c r="A41" s="38" t="s">
        <v>3</v>
      </c>
      <c r="B41" s="846" t="s">
        <v>15</v>
      </c>
      <c r="C41" s="846"/>
      <c r="D41" s="846"/>
      <c r="E41" s="846"/>
      <c r="F41" s="281">
        <v>0.01</v>
      </c>
      <c r="G41" s="67">
        <f t="shared" si="0"/>
        <v>19.41</v>
      </c>
      <c r="H41" s="8"/>
      <c r="I41" s="8"/>
      <c r="J41" s="8"/>
      <c r="K41" s="8"/>
    </row>
    <row r="42" spans="1:11">
      <c r="A42" s="38" t="s">
        <v>5</v>
      </c>
      <c r="B42" s="846" t="s">
        <v>16</v>
      </c>
      <c r="C42" s="846"/>
      <c r="D42" s="846"/>
      <c r="E42" s="846"/>
      <c r="F42" s="281">
        <v>6.000000000000001E-3</v>
      </c>
      <c r="G42" s="67">
        <f t="shared" si="0"/>
        <v>11.64</v>
      </c>
      <c r="H42" s="8"/>
      <c r="I42" s="8"/>
      <c r="J42" s="8"/>
      <c r="K42" s="8"/>
    </row>
    <row r="43" spans="1:11">
      <c r="A43" s="38" t="s">
        <v>6</v>
      </c>
      <c r="B43" s="846" t="s">
        <v>18</v>
      </c>
      <c r="C43" s="846"/>
      <c r="D43" s="846"/>
      <c r="E43" s="846"/>
      <c r="F43" s="40">
        <v>2E-3</v>
      </c>
      <c r="G43" s="67">
        <f t="shared" si="0"/>
        <v>3.88</v>
      </c>
      <c r="H43" s="8"/>
      <c r="I43" s="8"/>
      <c r="J43" s="8"/>
      <c r="K43" s="8"/>
    </row>
    <row r="44" spans="1:11">
      <c r="A44" s="38" t="s">
        <v>17</v>
      </c>
      <c r="B44" s="30" t="s">
        <v>138</v>
      </c>
      <c r="C44" s="28">
        <f>'DADOS DO LICITANTE'!B22</f>
        <v>0.03</v>
      </c>
      <c r="D44" s="30" t="s">
        <v>139</v>
      </c>
      <c r="E44" s="44">
        <f>'DADOS DO LICITANTE'!F22</f>
        <v>1</v>
      </c>
      <c r="F44" s="40">
        <f>C44*E44</f>
        <v>0.03</v>
      </c>
      <c r="G44" s="67">
        <f t="shared" si="0"/>
        <v>58.22</v>
      </c>
      <c r="H44" s="8"/>
      <c r="I44" s="8"/>
      <c r="J44" s="8"/>
      <c r="K44" s="8"/>
    </row>
    <row r="45" spans="1:11">
      <c r="A45" s="38" t="s">
        <v>19</v>
      </c>
      <c r="B45" s="846" t="s">
        <v>20</v>
      </c>
      <c r="C45" s="846"/>
      <c r="D45" s="846"/>
      <c r="E45" s="846"/>
      <c r="F45" s="40">
        <v>0.08</v>
      </c>
      <c r="G45" s="67">
        <f t="shared" si="0"/>
        <v>155.26</v>
      </c>
      <c r="H45" s="8"/>
      <c r="I45" s="8"/>
      <c r="J45" s="8"/>
      <c r="K45" s="8"/>
    </row>
    <row r="46" spans="1:11" ht="13">
      <c r="A46" s="38"/>
      <c r="B46" s="857" t="s">
        <v>9</v>
      </c>
      <c r="C46" s="857"/>
      <c r="D46" s="857"/>
      <c r="E46" s="857"/>
      <c r="F46" s="43">
        <f>SUM(F38:F45)</f>
        <v>0.36800000000000005</v>
      </c>
      <c r="G46" s="154">
        <f t="shared" si="0"/>
        <v>714.22</v>
      </c>
      <c r="H46" s="8"/>
      <c r="I46" s="8"/>
      <c r="J46" s="8"/>
      <c r="K46" s="8"/>
    </row>
    <row r="47" spans="1:11">
      <c r="A47" s="8" t="s">
        <v>140</v>
      </c>
      <c r="B47" s="863" t="s">
        <v>141</v>
      </c>
      <c r="C47" s="863"/>
      <c r="D47" s="863"/>
      <c r="E47" s="863"/>
      <c r="F47" s="863"/>
      <c r="G47" s="863"/>
      <c r="H47" s="8"/>
      <c r="I47" s="8"/>
      <c r="J47" s="8"/>
      <c r="K47" s="8"/>
    </row>
    <row r="48" spans="1:11">
      <c r="A48" s="8"/>
      <c r="B48" s="45"/>
      <c r="C48" s="8"/>
      <c r="D48" s="8"/>
      <c r="E48" s="8"/>
      <c r="F48" s="8"/>
      <c r="G48" s="8"/>
      <c r="H48" s="8"/>
      <c r="I48" s="8"/>
      <c r="J48" s="8"/>
      <c r="K48" s="8"/>
    </row>
    <row r="49" spans="1:17">
      <c r="A49" s="42"/>
      <c r="B49" s="42"/>
      <c r="C49" s="42"/>
      <c r="D49" s="42"/>
      <c r="E49" s="42"/>
      <c r="F49" s="42"/>
      <c r="G49" s="46" t="s">
        <v>271</v>
      </c>
      <c r="H49" s="47" t="s">
        <v>272</v>
      </c>
      <c r="I49" s="47" t="s">
        <v>273</v>
      </c>
      <c r="J49" s="47" t="s">
        <v>274</v>
      </c>
      <c r="K49" s="47" t="s">
        <v>292</v>
      </c>
      <c r="L49" s="87" t="s">
        <v>275</v>
      </c>
      <c r="M49" s="87" t="s">
        <v>276</v>
      </c>
      <c r="N49" s="87" t="s">
        <v>277</v>
      </c>
      <c r="O49" s="87" t="s">
        <v>278</v>
      </c>
      <c r="P49" s="87" t="s">
        <v>279</v>
      </c>
      <c r="Q49" s="87" t="s">
        <v>280</v>
      </c>
    </row>
    <row r="50" spans="1:17" ht="13">
      <c r="A50" s="864" t="s">
        <v>21</v>
      </c>
      <c r="B50" s="864"/>
      <c r="C50" s="864"/>
      <c r="D50" s="864"/>
      <c r="E50" s="864"/>
      <c r="F50" s="864"/>
      <c r="G50" s="864"/>
      <c r="H50" s="864"/>
      <c r="I50" s="864"/>
      <c r="J50" s="864"/>
      <c r="K50" s="864"/>
      <c r="L50" s="864"/>
      <c r="M50" s="864"/>
      <c r="N50" s="864"/>
      <c r="O50" s="864"/>
      <c r="P50" s="864"/>
      <c r="Q50" s="864"/>
    </row>
    <row r="51" spans="1:17" ht="13">
      <c r="A51" s="90" t="s">
        <v>22</v>
      </c>
      <c r="B51" s="865" t="s">
        <v>142</v>
      </c>
      <c r="C51" s="865"/>
      <c r="D51" s="865"/>
      <c r="E51" s="865"/>
      <c r="F51" s="865"/>
      <c r="G51" s="258" t="s">
        <v>137</v>
      </c>
      <c r="H51" s="258" t="s">
        <v>137</v>
      </c>
      <c r="I51" s="258" t="s">
        <v>137</v>
      </c>
      <c r="J51" s="258" t="s">
        <v>137</v>
      </c>
      <c r="K51" s="259" t="s">
        <v>137</v>
      </c>
      <c r="L51" s="260" t="s">
        <v>137</v>
      </c>
      <c r="M51" s="260" t="s">
        <v>137</v>
      </c>
      <c r="N51" s="260" t="s">
        <v>137</v>
      </c>
      <c r="O51" s="260" t="s">
        <v>137</v>
      </c>
      <c r="P51" s="260" t="s">
        <v>137</v>
      </c>
      <c r="Q51" s="260" t="s">
        <v>137</v>
      </c>
    </row>
    <row r="52" spans="1:17">
      <c r="A52" s="49" t="s">
        <v>0</v>
      </c>
      <c r="B52" s="846" t="s">
        <v>143</v>
      </c>
      <c r="C52" s="846"/>
      <c r="D52" s="846"/>
      <c r="E52" s="846"/>
      <c r="F52" s="862"/>
      <c r="G52" s="17">
        <f>'DADOS DO LICITANTE'!L40</f>
        <v>121.3758</v>
      </c>
      <c r="H52" s="17">
        <f>'DADOS DO LICITANTE'!L41</f>
        <v>164.8278</v>
      </c>
      <c r="I52" s="17">
        <f>'DADOS DO LICITANTE'!L42</f>
        <v>90.959399999999988</v>
      </c>
      <c r="J52" s="17">
        <f>'DADOS DO LICITANTE'!L43</f>
        <v>88.786799999999999</v>
      </c>
      <c r="K52" s="17">
        <f>'DADOS DO LICITANTE'!L44</f>
        <v>112.68539999999999</v>
      </c>
      <c r="L52" s="88">
        <f>'DADOS DO LICITANTE'!L45</f>
        <v>125.72099999999998</v>
      </c>
      <c r="M52" s="261">
        <f>'DADOS DO LICITANTE'!L46</f>
        <v>99.649799999999999</v>
      </c>
      <c r="N52" s="261">
        <f>'DADOS DO LICITANTE'!L47</f>
        <v>134.41139999999999</v>
      </c>
      <c r="O52" s="261">
        <f>'DADOS DO LICITANTE'!L48</f>
        <v>149.61959999999996</v>
      </c>
      <c r="P52" s="261">
        <f>'DADOS DO LICITANTE'!L49</f>
        <v>73.578599999999966</v>
      </c>
      <c r="Q52" s="261">
        <f>'DADOS DO LICITANTE'!L46</f>
        <v>99.649799999999999</v>
      </c>
    </row>
    <row r="53" spans="1:17">
      <c r="A53" s="49" t="s">
        <v>1</v>
      </c>
      <c r="B53" s="846" t="s">
        <v>43</v>
      </c>
      <c r="C53" s="846"/>
      <c r="D53" s="846"/>
      <c r="E53" s="846"/>
      <c r="F53" s="862"/>
      <c r="G53" s="17">
        <f>'DADOS DO LICITANTE'!$I26</f>
        <v>400.84</v>
      </c>
      <c r="H53" s="17">
        <f>'DADOS DO LICITANTE'!$I26</f>
        <v>400.84</v>
      </c>
      <c r="I53" s="17">
        <f>'DADOS DO LICITANTE'!$I26</f>
        <v>400.84</v>
      </c>
      <c r="J53" s="17">
        <f>'DADOS DO LICITANTE'!$I26</f>
        <v>400.84</v>
      </c>
      <c r="K53" s="17">
        <f>'DADOS DO LICITANTE'!$I26</f>
        <v>400.84</v>
      </c>
      <c r="L53" s="88">
        <f>'DADOS DO LICITANTE'!I26</f>
        <v>400.84</v>
      </c>
      <c r="M53" s="17">
        <f>'DADOS DO LICITANTE'!$I26</f>
        <v>400.84</v>
      </c>
      <c r="N53" s="17">
        <f>'DADOS DO LICITANTE'!$I26</f>
        <v>400.84</v>
      </c>
      <c r="O53" s="17">
        <f>'DADOS DO LICITANTE'!$I26</f>
        <v>400.84</v>
      </c>
      <c r="P53" s="17">
        <f>'DADOS DO LICITANTE'!$I26</f>
        <v>400.84</v>
      </c>
      <c r="Q53" s="300">
        <f>'DADOS DO LICITANTE'!$I26</f>
        <v>400.84</v>
      </c>
    </row>
    <row r="54" spans="1:17">
      <c r="A54" s="49" t="s">
        <v>2</v>
      </c>
      <c r="B54" s="846" t="s">
        <v>53</v>
      </c>
      <c r="C54" s="846"/>
      <c r="D54" s="846"/>
      <c r="E54" s="846"/>
      <c r="F54" s="862"/>
      <c r="G54" s="17">
        <f>'DADOS DO LICITANTE'!$I33</f>
        <v>137.79</v>
      </c>
      <c r="H54" s="17">
        <f>'DADOS DO LICITANTE'!$I33</f>
        <v>137.79</v>
      </c>
      <c r="I54" s="17">
        <f>'DADOS DO LICITANTE'!$I33</f>
        <v>137.79</v>
      </c>
      <c r="J54" s="17">
        <f>'DADOS DO LICITANTE'!$I33</f>
        <v>137.79</v>
      </c>
      <c r="K54" s="17">
        <f>'DADOS DO LICITANTE'!$I33</f>
        <v>137.79</v>
      </c>
      <c r="L54" s="88">
        <f>'DADOS DO LICITANTE'!I33</f>
        <v>137.79</v>
      </c>
      <c r="M54" s="17">
        <f>'DADOS DO LICITANTE'!$I33</f>
        <v>137.79</v>
      </c>
      <c r="N54" s="17">
        <f>'DADOS DO LICITANTE'!$I33</f>
        <v>137.79</v>
      </c>
      <c r="O54" s="17">
        <f>'DADOS DO LICITANTE'!$I33</f>
        <v>137.79</v>
      </c>
      <c r="P54" s="17">
        <f>'DADOS DO LICITANTE'!$I33</f>
        <v>137.79</v>
      </c>
      <c r="Q54" s="300">
        <f>'DADOS DO LICITANTE'!$I33</f>
        <v>137.79</v>
      </c>
    </row>
    <row r="55" spans="1:17">
      <c r="A55" s="49" t="s">
        <v>3</v>
      </c>
      <c r="B55" s="846" t="s">
        <v>48</v>
      </c>
      <c r="C55" s="846"/>
      <c r="D55" s="846"/>
      <c r="E55" s="846"/>
      <c r="F55" s="862"/>
      <c r="G55" s="17">
        <f>'DADOS DO LICITANTE'!$I28</f>
        <v>0</v>
      </c>
      <c r="H55" s="17">
        <f>'DADOS DO LICITANTE'!$I28</f>
        <v>0</v>
      </c>
      <c r="I55" s="17">
        <f>'DADOS DO LICITANTE'!$I28</f>
        <v>0</v>
      </c>
      <c r="J55" s="17">
        <f>'DADOS DO LICITANTE'!$I28</f>
        <v>0</v>
      </c>
      <c r="K55" s="17">
        <f>'DADOS DO LICITANTE'!$I28</f>
        <v>0</v>
      </c>
      <c r="L55" s="88">
        <f>'DADOS DO LICITANTE'!I28</f>
        <v>0</v>
      </c>
      <c r="M55" s="17">
        <f>'DADOS DO LICITANTE'!$I28</f>
        <v>0</v>
      </c>
      <c r="N55" s="17">
        <f>'DADOS DO LICITANTE'!$I28</f>
        <v>0</v>
      </c>
      <c r="O55" s="17">
        <f>'DADOS DO LICITANTE'!$I28</f>
        <v>0</v>
      </c>
      <c r="P55" s="17">
        <f>'DADOS DO LICITANTE'!$I28</f>
        <v>0</v>
      </c>
      <c r="Q55" s="300">
        <f>'DADOS DO LICITANTE'!$I28</f>
        <v>0</v>
      </c>
    </row>
    <row r="56" spans="1:17">
      <c r="A56" s="49" t="s">
        <v>5</v>
      </c>
      <c r="B56" s="846" t="s">
        <v>50</v>
      </c>
      <c r="C56" s="846"/>
      <c r="D56" s="846"/>
      <c r="E56" s="846"/>
      <c r="F56" s="862"/>
      <c r="G56" s="17">
        <f>'DADOS DO LICITANTE'!$I30</f>
        <v>4.9419999999999999E-2</v>
      </c>
      <c r="H56" s="17">
        <f>'DADOS DO LICITANTE'!$I30</f>
        <v>4.9419999999999999E-2</v>
      </c>
      <c r="I56" s="17">
        <f>'DADOS DO LICITANTE'!$I30</f>
        <v>4.9419999999999999E-2</v>
      </c>
      <c r="J56" s="17">
        <f>'DADOS DO LICITANTE'!$I30</f>
        <v>4.9419999999999999E-2</v>
      </c>
      <c r="K56" s="17">
        <f>'DADOS DO LICITANTE'!$I30</f>
        <v>4.9419999999999999E-2</v>
      </c>
      <c r="L56" s="88">
        <f>'DADOS DO LICITANTE'!I30</f>
        <v>4.9419999999999999E-2</v>
      </c>
      <c r="M56" s="17">
        <f>'DADOS DO LICITANTE'!$I30</f>
        <v>4.9419999999999999E-2</v>
      </c>
      <c r="N56" s="17">
        <f>'DADOS DO LICITANTE'!$I30</f>
        <v>4.9419999999999999E-2</v>
      </c>
      <c r="O56" s="17">
        <f>'DADOS DO LICITANTE'!$I30</f>
        <v>4.9419999999999999E-2</v>
      </c>
      <c r="P56" s="17">
        <f>'DADOS DO LICITANTE'!$I30</f>
        <v>4.9419999999999999E-2</v>
      </c>
      <c r="Q56" s="300">
        <f>'DADOS DO LICITANTE'!$I30</f>
        <v>4.9419999999999999E-2</v>
      </c>
    </row>
    <row r="57" spans="1:17">
      <c r="A57" s="49" t="s">
        <v>6</v>
      </c>
      <c r="B57" s="846" t="s">
        <v>191</v>
      </c>
      <c r="C57" s="846"/>
      <c r="D57" s="846"/>
      <c r="E57" s="846"/>
      <c r="F57" s="862"/>
      <c r="G57" s="17">
        <f>'DADOS DO LICITANTE'!$I32</f>
        <v>33.65</v>
      </c>
      <c r="H57" s="17">
        <f>'DADOS DO LICITANTE'!$I32</f>
        <v>33.65</v>
      </c>
      <c r="I57" s="17">
        <f>'DADOS DO LICITANTE'!$I32</f>
        <v>33.65</v>
      </c>
      <c r="J57" s="17">
        <f>'DADOS DO LICITANTE'!$I32</f>
        <v>33.65</v>
      </c>
      <c r="K57" s="17">
        <f>'DADOS DO LICITANTE'!$I32</f>
        <v>33.65</v>
      </c>
      <c r="L57" s="88">
        <f>'DADOS DO LICITANTE'!I32</f>
        <v>33.65</v>
      </c>
      <c r="M57" s="17">
        <f>'DADOS DO LICITANTE'!$I32</f>
        <v>33.65</v>
      </c>
      <c r="N57" s="17">
        <f>'DADOS DO LICITANTE'!$I32</f>
        <v>33.65</v>
      </c>
      <c r="O57" s="17">
        <f>'DADOS DO LICITANTE'!$I32</f>
        <v>33.65</v>
      </c>
      <c r="P57" s="17">
        <f>'DADOS DO LICITANTE'!$I32</f>
        <v>33.65</v>
      </c>
      <c r="Q57" s="300">
        <f>'DADOS DO LICITANTE'!$I32</f>
        <v>33.65</v>
      </c>
    </row>
    <row r="58" spans="1:17">
      <c r="A58" s="49" t="s">
        <v>17</v>
      </c>
      <c r="B58" s="872" t="str">
        <f>'DADOS DO LICITANTE'!A34</f>
        <v>Benefício Social Sindical</v>
      </c>
      <c r="C58" s="873"/>
      <c r="D58" s="873"/>
      <c r="E58" s="873"/>
      <c r="F58" s="939"/>
      <c r="G58" s="17">
        <f>'DADOS DO LICITANTE'!$I35</f>
        <v>15.2</v>
      </c>
      <c r="H58" s="17">
        <f>'DADOS DO LICITANTE'!$I35</f>
        <v>15.2</v>
      </c>
      <c r="I58" s="17">
        <f>'DADOS DO LICITANTE'!$I35</f>
        <v>15.2</v>
      </c>
      <c r="J58" s="17">
        <f>'DADOS DO LICITANTE'!$I35</f>
        <v>15.2</v>
      </c>
      <c r="K58" s="17">
        <f>'DADOS DO LICITANTE'!$I35</f>
        <v>15.2</v>
      </c>
      <c r="L58" s="88">
        <f>'DADOS DO LICITANTE'!I35</f>
        <v>15.2</v>
      </c>
      <c r="M58" s="17">
        <f>'DADOS DO LICITANTE'!$I35</f>
        <v>15.2</v>
      </c>
      <c r="N58" s="17">
        <f>'DADOS DO LICITANTE'!$I35</f>
        <v>15.2</v>
      </c>
      <c r="O58" s="17">
        <f>'DADOS DO LICITANTE'!$I35</f>
        <v>15.2</v>
      </c>
      <c r="P58" s="17">
        <f>'DADOS DO LICITANTE'!$I35</f>
        <v>15.2</v>
      </c>
      <c r="Q58" s="300">
        <f>'DADOS DO LICITANTE'!$I35</f>
        <v>15.2</v>
      </c>
    </row>
    <row r="59" spans="1:17" ht="13">
      <c r="A59" s="38"/>
      <c r="B59" s="857" t="s">
        <v>144</v>
      </c>
      <c r="C59" s="857"/>
      <c r="D59" s="857"/>
      <c r="E59" s="857"/>
      <c r="F59" s="857"/>
      <c r="G59" s="262">
        <f>ROUND(SUM(G52:G58),2)</f>
        <v>708.91</v>
      </c>
      <c r="H59" s="262">
        <f t="shared" ref="H59:L59" si="1">ROUND(SUM(H52:H58),2)</f>
        <v>752.36</v>
      </c>
      <c r="I59" s="262">
        <f t="shared" si="1"/>
        <v>678.49</v>
      </c>
      <c r="J59" s="262">
        <f t="shared" si="1"/>
        <v>676.32</v>
      </c>
      <c r="K59" s="262">
        <f t="shared" si="1"/>
        <v>700.21</v>
      </c>
      <c r="L59" s="262">
        <f t="shared" si="1"/>
        <v>713.25</v>
      </c>
      <c r="M59" s="262">
        <f t="shared" ref="M59:O59" si="2">ROUND(SUM(M52:M58),2)</f>
        <v>687.18</v>
      </c>
      <c r="N59" s="262">
        <f t="shared" ref="N59:P59" si="3">ROUND(SUM(N52:N58),2)</f>
        <v>721.94</v>
      </c>
      <c r="O59" s="262">
        <f t="shared" si="2"/>
        <v>737.15</v>
      </c>
      <c r="P59" s="262">
        <f t="shared" si="3"/>
        <v>661.11</v>
      </c>
      <c r="Q59" s="262">
        <f t="shared" ref="Q59" si="4">ROUND(SUM(Q52:Q58),2)</f>
        <v>687.18</v>
      </c>
    </row>
    <row r="60" spans="1:17">
      <c r="A60" s="8"/>
      <c r="B60" s="687"/>
      <c r="C60" s="687"/>
      <c r="D60" s="687"/>
      <c r="E60" s="687"/>
      <c r="F60" s="687"/>
      <c r="G60" s="687"/>
      <c r="H60" s="8"/>
      <c r="I60" s="8"/>
      <c r="J60" s="8"/>
      <c r="K60" s="8"/>
    </row>
    <row r="61" spans="1:17" ht="13">
      <c r="A61" s="867" t="s">
        <v>145</v>
      </c>
      <c r="B61" s="867"/>
      <c r="C61" s="867"/>
      <c r="D61" s="867"/>
      <c r="E61" s="867"/>
      <c r="F61" s="867"/>
      <c r="G61" s="867"/>
      <c r="H61" s="867"/>
      <c r="I61" s="867"/>
      <c r="J61" s="867"/>
      <c r="K61" s="867"/>
      <c r="L61" s="867"/>
      <c r="M61" s="867"/>
      <c r="N61" s="867"/>
      <c r="O61" s="867"/>
      <c r="P61" s="867"/>
      <c r="Q61" s="867"/>
    </row>
    <row r="62" spans="1:17">
      <c r="A62" s="984" t="s">
        <v>0</v>
      </c>
      <c r="B62" s="980" t="s">
        <v>146</v>
      </c>
      <c r="C62" s="980"/>
      <c r="D62" s="980"/>
      <c r="E62" s="275" t="s">
        <v>147</v>
      </c>
      <c r="F62" s="977">
        <f>E63/30/12*D63</f>
        <v>4.1666666666666666E-3</v>
      </c>
      <c r="G62" s="975">
        <f>ROUND(($G$27+$G$34)*$F$62,2)</f>
        <v>8.09</v>
      </c>
      <c r="H62" s="975">
        <f t="shared" ref="H62:Q62" si="5">ROUND(($G$27+$G$34)*$F$62,2)</f>
        <v>8.09</v>
      </c>
      <c r="I62" s="975">
        <f t="shared" si="5"/>
        <v>8.09</v>
      </c>
      <c r="J62" s="975">
        <f t="shared" si="5"/>
        <v>8.09</v>
      </c>
      <c r="K62" s="975">
        <f t="shared" si="5"/>
        <v>8.09</v>
      </c>
      <c r="L62" s="975">
        <f t="shared" si="5"/>
        <v>8.09</v>
      </c>
      <c r="M62" s="975">
        <f t="shared" si="5"/>
        <v>8.09</v>
      </c>
      <c r="N62" s="975">
        <f t="shared" si="5"/>
        <v>8.09</v>
      </c>
      <c r="O62" s="975">
        <f t="shared" si="5"/>
        <v>8.09</v>
      </c>
      <c r="P62" s="975">
        <f t="shared" si="5"/>
        <v>8.09</v>
      </c>
      <c r="Q62" s="975">
        <f t="shared" si="5"/>
        <v>8.09</v>
      </c>
    </row>
    <row r="63" spans="1:17">
      <c r="A63" s="985"/>
      <c r="B63" s="979" t="s">
        <v>148</v>
      </c>
      <c r="C63" s="979"/>
      <c r="D63" s="273">
        <f>'DADOS DO LICITANTE'!E52</f>
        <v>0.05</v>
      </c>
      <c r="E63" s="274">
        <v>30</v>
      </c>
      <c r="F63" s="978"/>
      <c r="G63" s="976"/>
      <c r="H63" s="976"/>
      <c r="I63" s="976"/>
      <c r="J63" s="976"/>
      <c r="K63" s="976"/>
      <c r="L63" s="976"/>
      <c r="M63" s="976"/>
      <c r="N63" s="976"/>
      <c r="O63" s="976"/>
      <c r="P63" s="976"/>
      <c r="Q63" s="976"/>
    </row>
    <row r="64" spans="1:17">
      <c r="A64" s="49" t="s">
        <v>1</v>
      </c>
      <c r="B64" s="981" t="s">
        <v>149</v>
      </c>
      <c r="C64" s="982"/>
      <c r="D64" s="982"/>
      <c r="E64" s="982"/>
      <c r="F64" s="983"/>
      <c r="G64" s="270">
        <f>ROUND(G62*$F$45,2)</f>
        <v>0.65</v>
      </c>
      <c r="H64" s="592">
        <f t="shared" ref="H64:Q64" si="6">ROUND(H62*$F$45,2)</f>
        <v>0.65</v>
      </c>
      <c r="I64" s="592">
        <f t="shared" si="6"/>
        <v>0.65</v>
      </c>
      <c r="J64" s="592">
        <f t="shared" si="6"/>
        <v>0.65</v>
      </c>
      <c r="K64" s="592">
        <f t="shared" si="6"/>
        <v>0.65</v>
      </c>
      <c r="L64" s="592">
        <f t="shared" si="6"/>
        <v>0.65</v>
      </c>
      <c r="M64" s="592">
        <f t="shared" si="6"/>
        <v>0.65</v>
      </c>
      <c r="N64" s="592">
        <f t="shared" si="6"/>
        <v>0.65</v>
      </c>
      <c r="O64" s="592">
        <f t="shared" si="6"/>
        <v>0.65</v>
      </c>
      <c r="P64" s="592">
        <f t="shared" si="6"/>
        <v>0.65</v>
      </c>
      <c r="Q64" s="592">
        <f t="shared" si="6"/>
        <v>0.65</v>
      </c>
    </row>
    <row r="65" spans="1:17">
      <c r="A65" s="49" t="s">
        <v>2</v>
      </c>
      <c r="B65" s="862" t="s">
        <v>416</v>
      </c>
      <c r="C65" s="884"/>
      <c r="D65" s="577">
        <f>'DADOS DO LICITANTE'!E53</f>
        <v>1</v>
      </c>
      <c r="E65" s="576"/>
      <c r="F65" s="10">
        <f>7/30/12</f>
        <v>1.9444444444444445E-2</v>
      </c>
      <c r="G65" s="151">
        <f>ROUND($G$27*$F$65*$D$65,2)</f>
        <v>33.89</v>
      </c>
      <c r="H65" s="585">
        <f t="shared" ref="H65:Q65" si="7">ROUND($G$27*$F$65*$D$65,2)</f>
        <v>33.89</v>
      </c>
      <c r="I65" s="585">
        <f t="shared" si="7"/>
        <v>33.89</v>
      </c>
      <c r="J65" s="585">
        <f t="shared" si="7"/>
        <v>33.89</v>
      </c>
      <c r="K65" s="585">
        <f t="shared" si="7"/>
        <v>33.89</v>
      </c>
      <c r="L65" s="585">
        <f t="shared" si="7"/>
        <v>33.89</v>
      </c>
      <c r="M65" s="585">
        <f t="shared" si="7"/>
        <v>33.89</v>
      </c>
      <c r="N65" s="585">
        <f t="shared" si="7"/>
        <v>33.89</v>
      </c>
      <c r="O65" s="585">
        <f t="shared" si="7"/>
        <v>33.89</v>
      </c>
      <c r="P65" s="585">
        <f t="shared" si="7"/>
        <v>33.89</v>
      </c>
      <c r="Q65" s="585">
        <f t="shared" si="7"/>
        <v>33.89</v>
      </c>
    </row>
    <row r="66" spans="1:17">
      <c r="A66" s="49" t="s">
        <v>3</v>
      </c>
      <c r="B66" s="885" t="s">
        <v>150</v>
      </c>
      <c r="C66" s="886"/>
      <c r="D66" s="886"/>
      <c r="E66" s="886"/>
      <c r="F66" s="883"/>
      <c r="G66" s="39">
        <f>ROUND(G65*$F$46,2)</f>
        <v>12.47</v>
      </c>
      <c r="H66" s="586">
        <f t="shared" ref="H66:Q66" si="8">ROUND(H65*$F$46,2)</f>
        <v>12.47</v>
      </c>
      <c r="I66" s="586">
        <f t="shared" si="8"/>
        <v>12.47</v>
      </c>
      <c r="J66" s="586">
        <f t="shared" si="8"/>
        <v>12.47</v>
      </c>
      <c r="K66" s="586">
        <f t="shared" si="8"/>
        <v>12.47</v>
      </c>
      <c r="L66" s="586">
        <f t="shared" si="8"/>
        <v>12.47</v>
      </c>
      <c r="M66" s="586">
        <f t="shared" si="8"/>
        <v>12.47</v>
      </c>
      <c r="N66" s="586">
        <f t="shared" si="8"/>
        <v>12.47</v>
      </c>
      <c r="O66" s="586">
        <f t="shared" si="8"/>
        <v>12.47</v>
      </c>
      <c r="P66" s="586">
        <f t="shared" si="8"/>
        <v>12.47</v>
      </c>
      <c r="Q66" s="586">
        <f t="shared" si="8"/>
        <v>12.47</v>
      </c>
    </row>
    <row r="67" spans="1:17">
      <c r="A67" s="49" t="s">
        <v>5</v>
      </c>
      <c r="B67" s="841" t="s">
        <v>417</v>
      </c>
      <c r="C67" s="841"/>
      <c r="D67" s="841"/>
      <c r="E67" s="841"/>
      <c r="F67" s="575">
        <v>0.04</v>
      </c>
      <c r="G67" s="151">
        <f>ROUND($G$27*$F$67,2)</f>
        <v>69.72</v>
      </c>
      <c r="H67" s="585">
        <f t="shared" ref="H67:Q67" si="9">ROUND($G$27*$F$67,2)</f>
        <v>69.72</v>
      </c>
      <c r="I67" s="585">
        <f t="shared" si="9"/>
        <v>69.72</v>
      </c>
      <c r="J67" s="585">
        <f t="shared" si="9"/>
        <v>69.72</v>
      </c>
      <c r="K67" s="585">
        <f t="shared" si="9"/>
        <v>69.72</v>
      </c>
      <c r="L67" s="585">
        <f t="shared" si="9"/>
        <v>69.72</v>
      </c>
      <c r="M67" s="585">
        <f t="shared" si="9"/>
        <v>69.72</v>
      </c>
      <c r="N67" s="585">
        <f t="shared" si="9"/>
        <v>69.72</v>
      </c>
      <c r="O67" s="585">
        <f t="shared" si="9"/>
        <v>69.72</v>
      </c>
      <c r="P67" s="585">
        <f t="shared" si="9"/>
        <v>69.72</v>
      </c>
      <c r="Q67" s="585">
        <f t="shared" si="9"/>
        <v>69.72</v>
      </c>
    </row>
    <row r="68" spans="1:17" ht="13">
      <c r="A68" s="38"/>
      <c r="B68" s="887" t="s">
        <v>9</v>
      </c>
      <c r="C68" s="888"/>
      <c r="D68" s="888"/>
      <c r="E68" s="888"/>
      <c r="F68" s="889"/>
      <c r="G68" s="41">
        <f t="shared" ref="G68:Q68" si="10">ROUND(SUM(G62:G67),2)</f>
        <v>124.82</v>
      </c>
      <c r="H68" s="41">
        <f t="shared" si="10"/>
        <v>124.82</v>
      </c>
      <c r="I68" s="41">
        <f t="shared" si="10"/>
        <v>124.82</v>
      </c>
      <c r="J68" s="41">
        <f t="shared" si="10"/>
        <v>124.82</v>
      </c>
      <c r="K68" s="89">
        <f t="shared" si="10"/>
        <v>124.82</v>
      </c>
      <c r="L68" s="89">
        <f t="shared" si="10"/>
        <v>124.82</v>
      </c>
      <c r="M68" s="89">
        <f t="shared" si="10"/>
        <v>124.82</v>
      </c>
      <c r="N68" s="89">
        <f t="shared" si="10"/>
        <v>124.82</v>
      </c>
      <c r="O68" s="89">
        <f t="shared" si="10"/>
        <v>124.82</v>
      </c>
      <c r="P68" s="276">
        <f t="shared" si="10"/>
        <v>124.82</v>
      </c>
      <c r="Q68" s="276">
        <f t="shared" si="10"/>
        <v>124.82</v>
      </c>
    </row>
    <row r="69" spans="1:17">
      <c r="A69" s="863" t="s">
        <v>414</v>
      </c>
      <c r="B69" s="863"/>
      <c r="C69" s="863"/>
      <c r="D69" s="863"/>
      <c r="E69" s="863"/>
      <c r="F69" s="863"/>
      <c r="G69" s="863"/>
      <c r="H69" s="863"/>
      <c r="I69" s="863"/>
      <c r="J69" s="863"/>
      <c r="K69" s="8"/>
    </row>
    <row r="70" spans="1:17">
      <c r="A70" s="680"/>
      <c r="B70" s="680"/>
      <c r="C70" s="680"/>
      <c r="D70" s="680"/>
      <c r="E70" s="680"/>
      <c r="F70" s="680"/>
      <c r="G70" s="680"/>
      <c r="H70" s="8"/>
      <c r="I70" s="8"/>
      <c r="J70" s="8"/>
      <c r="K70" s="8"/>
    </row>
    <row r="71" spans="1:17" ht="13">
      <c r="A71" s="867" t="s">
        <v>151</v>
      </c>
      <c r="B71" s="867"/>
      <c r="C71" s="867"/>
      <c r="D71" s="867"/>
      <c r="E71" s="867"/>
      <c r="F71" s="867"/>
      <c r="G71" s="867"/>
      <c r="H71" s="867"/>
      <c r="I71" s="867"/>
      <c r="J71" s="867"/>
      <c r="K71" s="867"/>
      <c r="L71" s="867"/>
      <c r="M71" s="867"/>
      <c r="N71" s="867"/>
      <c r="O71" s="867"/>
      <c r="P71" s="867"/>
      <c r="Q71" s="867"/>
    </row>
    <row r="72" spans="1:17">
      <c r="A72" s="924" t="s">
        <v>152</v>
      </c>
      <c r="B72" s="924"/>
      <c r="C72" s="924"/>
      <c r="D72" s="924"/>
      <c r="E72" s="924"/>
      <c r="F72" s="924"/>
      <c r="G72" s="924"/>
      <c r="H72" s="924"/>
      <c r="I72" s="924"/>
      <c r="J72" s="924"/>
      <c r="K72" s="924"/>
      <c r="L72" s="924"/>
      <c r="M72" s="924"/>
      <c r="N72" s="924"/>
      <c r="O72" s="924"/>
      <c r="P72" s="924"/>
      <c r="Q72" s="924"/>
    </row>
    <row r="73" spans="1:17" ht="13">
      <c r="A73" s="48"/>
      <c r="B73" s="871" t="s">
        <v>153</v>
      </c>
      <c r="C73" s="871"/>
      <c r="D73" s="871"/>
      <c r="E73" s="871"/>
      <c r="F73" s="871"/>
      <c r="G73" s="51" t="s">
        <v>137</v>
      </c>
      <c r="H73" s="51" t="s">
        <v>137</v>
      </c>
      <c r="I73" s="51" t="s">
        <v>137</v>
      </c>
      <c r="J73" s="51" t="s">
        <v>137</v>
      </c>
      <c r="K73" s="51" t="s">
        <v>137</v>
      </c>
      <c r="L73" s="51" t="s">
        <v>137</v>
      </c>
      <c r="M73" s="51" t="s">
        <v>137</v>
      </c>
      <c r="N73" s="277" t="s">
        <v>137</v>
      </c>
      <c r="O73" s="69" t="s">
        <v>137</v>
      </c>
      <c r="P73" s="69" t="s">
        <v>137</v>
      </c>
      <c r="Q73" s="69" t="s">
        <v>137</v>
      </c>
    </row>
    <row r="74" spans="1:17" ht="12.5" customHeight="1">
      <c r="A74" s="38" t="s">
        <v>0</v>
      </c>
      <c r="B74" s="868" t="s">
        <v>154</v>
      </c>
      <c r="C74" s="869"/>
      <c r="D74" s="869"/>
      <c r="E74" s="870"/>
      <c r="F74" s="153">
        <v>9.0749999999999997E-2</v>
      </c>
      <c r="G74" s="15">
        <f>ROUND(($G$27*$F$74)+(($G$27*$F$74)*$F$46),2)</f>
        <v>216.38</v>
      </c>
      <c r="H74" s="587">
        <f t="shared" ref="H74:Q74" si="11">ROUND(($G$27*$F$74)+(($G$27*$F$74)*$F$46),2)</f>
        <v>216.38</v>
      </c>
      <c r="I74" s="587">
        <f t="shared" si="11"/>
        <v>216.38</v>
      </c>
      <c r="J74" s="587">
        <f t="shared" si="11"/>
        <v>216.38</v>
      </c>
      <c r="K74" s="587">
        <f t="shared" si="11"/>
        <v>216.38</v>
      </c>
      <c r="L74" s="587">
        <f t="shared" si="11"/>
        <v>216.38</v>
      </c>
      <c r="M74" s="587">
        <f t="shared" si="11"/>
        <v>216.38</v>
      </c>
      <c r="N74" s="587">
        <f t="shared" si="11"/>
        <v>216.38</v>
      </c>
      <c r="O74" s="587">
        <f t="shared" si="11"/>
        <v>216.38</v>
      </c>
      <c r="P74" s="587">
        <f t="shared" si="11"/>
        <v>216.38</v>
      </c>
      <c r="Q74" s="587">
        <f t="shared" si="11"/>
        <v>216.38</v>
      </c>
    </row>
    <row r="75" spans="1:17">
      <c r="A75" s="832" t="s">
        <v>1</v>
      </c>
      <c r="B75" s="846" t="s">
        <v>155</v>
      </c>
      <c r="C75" s="846"/>
      <c r="D75" s="846"/>
      <c r="E75" s="846"/>
      <c r="F75" s="878">
        <f>'DADOS DO LICITANTE'!G58</f>
        <v>2.7378507871321013E-3</v>
      </c>
      <c r="G75" s="866">
        <f>ROUND($F$75*($G$27+$G$34+$G$46+G59-G52-G53+G68+G74),2)</f>
        <v>8.7100000000000009</v>
      </c>
      <c r="H75" s="866">
        <f t="shared" ref="H75:Q75" si="12">ROUND($F$75*($G$27+$G$34+$G$46+H59-H52-H53+H68+H74),2)</f>
        <v>8.7100000000000009</v>
      </c>
      <c r="I75" s="866">
        <f t="shared" si="12"/>
        <v>8.7100000000000009</v>
      </c>
      <c r="J75" s="866">
        <f t="shared" si="12"/>
        <v>8.7100000000000009</v>
      </c>
      <c r="K75" s="866">
        <f t="shared" si="12"/>
        <v>8.7100000000000009</v>
      </c>
      <c r="L75" s="866">
        <f t="shared" si="12"/>
        <v>8.7100000000000009</v>
      </c>
      <c r="M75" s="866">
        <f t="shared" si="12"/>
        <v>8.7100000000000009</v>
      </c>
      <c r="N75" s="866">
        <f t="shared" si="12"/>
        <v>8.7100000000000009</v>
      </c>
      <c r="O75" s="866">
        <f t="shared" si="12"/>
        <v>8.7100000000000009</v>
      </c>
      <c r="P75" s="866">
        <f t="shared" si="12"/>
        <v>8.7100000000000009</v>
      </c>
      <c r="Q75" s="866">
        <f t="shared" si="12"/>
        <v>8.7100000000000009</v>
      </c>
    </row>
    <row r="76" spans="1:17">
      <c r="A76" s="833"/>
      <c r="B76" s="836" t="s">
        <v>156</v>
      </c>
      <c r="C76" s="836"/>
      <c r="D76" s="836"/>
      <c r="E76" s="32">
        <f>'DADOS DO LICITANTE'!E58</f>
        <v>1</v>
      </c>
      <c r="F76" s="878"/>
      <c r="G76" s="866"/>
      <c r="H76" s="866"/>
      <c r="I76" s="866"/>
      <c r="J76" s="866"/>
      <c r="K76" s="866"/>
      <c r="L76" s="866"/>
      <c r="M76" s="866"/>
      <c r="N76" s="866"/>
      <c r="O76" s="866"/>
      <c r="P76" s="866"/>
      <c r="Q76" s="866"/>
    </row>
    <row r="77" spans="1:17">
      <c r="A77" s="832" t="s">
        <v>2</v>
      </c>
      <c r="B77" s="846" t="s">
        <v>157</v>
      </c>
      <c r="C77" s="846"/>
      <c r="D77" s="29" t="s">
        <v>158</v>
      </c>
      <c r="E77" s="32">
        <f>'DADOS DO LICITANTE'!E59</f>
        <v>5</v>
      </c>
      <c r="F77" s="878">
        <f>'DADOS DO LICITANTE'!G59</f>
        <v>2.0533880903490757E-4</v>
      </c>
      <c r="G77" s="866">
        <f>ROUND($F$77*($G$27+$G$34+$G$46+G59-G52-G53+G68+G74),2)</f>
        <v>0.65</v>
      </c>
      <c r="H77" s="866">
        <f t="shared" ref="H77:Q77" si="13">ROUND($F$77*($G$27+$G$34+$G$46+H59-H52-H53+H68+H74),2)</f>
        <v>0.65</v>
      </c>
      <c r="I77" s="866">
        <f t="shared" si="13"/>
        <v>0.65</v>
      </c>
      <c r="J77" s="866">
        <f t="shared" si="13"/>
        <v>0.65</v>
      </c>
      <c r="K77" s="866">
        <f t="shared" si="13"/>
        <v>0.65</v>
      </c>
      <c r="L77" s="866">
        <f t="shared" si="13"/>
        <v>0.65</v>
      </c>
      <c r="M77" s="866">
        <f t="shared" si="13"/>
        <v>0.65</v>
      </c>
      <c r="N77" s="866">
        <f t="shared" si="13"/>
        <v>0.65</v>
      </c>
      <c r="O77" s="866">
        <f t="shared" si="13"/>
        <v>0.65</v>
      </c>
      <c r="P77" s="866">
        <f t="shared" si="13"/>
        <v>0.65</v>
      </c>
      <c r="Q77" s="866">
        <f t="shared" si="13"/>
        <v>0.65</v>
      </c>
    </row>
    <row r="78" spans="1:17">
      <c r="A78" s="833"/>
      <c r="B78" s="836" t="s">
        <v>148</v>
      </c>
      <c r="C78" s="836"/>
      <c r="D78" s="836"/>
      <c r="E78" s="28">
        <f>'DADOS DO LICITANTE'!F59</f>
        <v>1.4999999999999999E-2</v>
      </c>
      <c r="F78" s="878">
        <v>0.121</v>
      </c>
      <c r="G78" s="866"/>
      <c r="H78" s="866"/>
      <c r="I78" s="866"/>
      <c r="J78" s="866"/>
      <c r="K78" s="866"/>
      <c r="L78" s="866"/>
      <c r="M78" s="866"/>
      <c r="N78" s="866"/>
      <c r="O78" s="866"/>
      <c r="P78" s="866"/>
      <c r="Q78" s="866"/>
    </row>
    <row r="79" spans="1:17">
      <c r="A79" s="832" t="s">
        <v>3</v>
      </c>
      <c r="B79" s="846" t="s">
        <v>159</v>
      </c>
      <c r="C79" s="846"/>
      <c r="D79" s="29" t="s">
        <v>160</v>
      </c>
      <c r="E79" s="32">
        <f>'DADOS DO LICITANTE'!E60</f>
        <v>0.97</v>
      </c>
      <c r="F79" s="878">
        <f>'DADOS DO LICITANTE'!G60</f>
        <v>2.6557152635181382E-3</v>
      </c>
      <c r="G79" s="866">
        <f>ROUND($F$79*($G$27+$G$34+$G$46+G59-G52-G53+G68+G74),2)</f>
        <v>8.4499999999999993</v>
      </c>
      <c r="H79" s="866">
        <f t="shared" ref="H79:Q79" si="14">ROUND($F$79*($G$27+$G$34+$G$46+H59-H52-H53+H68+H74),2)</f>
        <v>8.4499999999999993</v>
      </c>
      <c r="I79" s="866">
        <f t="shared" si="14"/>
        <v>8.4499999999999993</v>
      </c>
      <c r="J79" s="866">
        <f t="shared" si="14"/>
        <v>8.4499999999999993</v>
      </c>
      <c r="K79" s="866">
        <f t="shared" si="14"/>
        <v>8.4499999999999993</v>
      </c>
      <c r="L79" s="866">
        <f t="shared" si="14"/>
        <v>8.4499999999999993</v>
      </c>
      <c r="M79" s="866">
        <f t="shared" si="14"/>
        <v>8.4499999999999993</v>
      </c>
      <c r="N79" s="866">
        <f t="shared" si="14"/>
        <v>8.4499999999999993</v>
      </c>
      <c r="O79" s="866">
        <f t="shared" si="14"/>
        <v>8.4499999999999993</v>
      </c>
      <c r="P79" s="866">
        <f t="shared" si="14"/>
        <v>8.4499999999999993</v>
      </c>
      <c r="Q79" s="866">
        <f t="shared" si="14"/>
        <v>8.4499999999999993</v>
      </c>
    </row>
    <row r="80" spans="1:17">
      <c r="A80" s="833"/>
      <c r="B80" s="846" t="s">
        <v>148</v>
      </c>
      <c r="C80" s="846"/>
      <c r="D80" s="846"/>
      <c r="E80" s="28">
        <f>'DADOS DO LICITANTE'!F60</f>
        <v>1</v>
      </c>
      <c r="F80" s="878"/>
      <c r="G80" s="866"/>
      <c r="H80" s="866"/>
      <c r="I80" s="866"/>
      <c r="J80" s="866"/>
      <c r="K80" s="866"/>
      <c r="L80" s="866"/>
      <c r="M80" s="866"/>
      <c r="N80" s="866"/>
      <c r="O80" s="866"/>
      <c r="P80" s="866"/>
      <c r="Q80" s="866"/>
    </row>
    <row r="81" spans="1:17">
      <c r="A81" s="832" t="s">
        <v>5</v>
      </c>
      <c r="B81" s="846" t="s">
        <v>161</v>
      </c>
      <c r="C81" s="846"/>
      <c r="D81" s="29" t="s">
        <v>162</v>
      </c>
      <c r="E81" s="28">
        <f>'DADOS DO LICITANTE'!F61</f>
        <v>0.02</v>
      </c>
      <c r="F81" s="878">
        <f>'DADOS DO LICITANTE'!G61</f>
        <v>6.570841889117043E-3</v>
      </c>
      <c r="G81" s="866">
        <f>ROUND((($G$27*0.121)+($G$27*0.121)*$F$46)*$F$81+(($G$27*$F$45+$F$46*$G$32+G59+G68-G52-G53)*$F$81),2)</f>
        <v>5.21</v>
      </c>
      <c r="H81" s="866">
        <f t="shared" ref="H81:Q81" si="15">ROUND((($G$27*0.121)+($G$27*0.121)*$F$46)*$F$81+(($G$27*$F$45+$F$46*$G$32+H59+H68-H52-H53)*$F$81),2)</f>
        <v>5.21</v>
      </c>
      <c r="I81" s="866">
        <f t="shared" si="15"/>
        <v>5.21</v>
      </c>
      <c r="J81" s="866">
        <f t="shared" si="15"/>
        <v>5.21</v>
      </c>
      <c r="K81" s="866">
        <f t="shared" si="15"/>
        <v>5.21</v>
      </c>
      <c r="L81" s="866">
        <f t="shared" si="15"/>
        <v>5.21</v>
      </c>
      <c r="M81" s="866">
        <f t="shared" si="15"/>
        <v>5.21</v>
      </c>
      <c r="N81" s="866">
        <f t="shared" si="15"/>
        <v>5.21</v>
      </c>
      <c r="O81" s="866">
        <f t="shared" si="15"/>
        <v>5.21</v>
      </c>
      <c r="P81" s="866">
        <f t="shared" si="15"/>
        <v>5.21</v>
      </c>
      <c r="Q81" s="866">
        <f t="shared" si="15"/>
        <v>5.21</v>
      </c>
    </row>
    <row r="82" spans="1:17">
      <c r="A82" s="833"/>
      <c r="B82" s="837"/>
      <c r="C82" s="837"/>
      <c r="D82" s="588" t="s">
        <v>163</v>
      </c>
      <c r="E82" s="598">
        <v>4</v>
      </c>
      <c r="F82" s="878"/>
      <c r="G82" s="866"/>
      <c r="H82" s="866"/>
      <c r="I82" s="866"/>
      <c r="J82" s="866"/>
      <c r="K82" s="866"/>
      <c r="L82" s="866"/>
      <c r="M82" s="866"/>
      <c r="N82" s="866"/>
      <c r="O82" s="866"/>
      <c r="P82" s="866"/>
      <c r="Q82" s="866"/>
    </row>
    <row r="83" spans="1:17">
      <c r="A83" s="96" t="s">
        <v>6</v>
      </c>
      <c r="B83" s="862" t="s">
        <v>236</v>
      </c>
      <c r="C83" s="939"/>
      <c r="D83" s="593" t="s">
        <v>158</v>
      </c>
      <c r="E83" s="593">
        <v>3</v>
      </c>
      <c r="F83" s="597">
        <f>'DADOS DO LICITANTE'!G62</f>
        <v>8.2135523613963042E-3</v>
      </c>
      <c r="G83" s="98">
        <f>ROUND($F$83*($G$27+$G$34+$G$46+G59-G52-G53+G68+G74),2)</f>
        <v>26.14</v>
      </c>
      <c r="H83" s="98">
        <f t="shared" ref="H83:Q83" si="16">ROUND($F$83*($G$27+$G$34+$G$46+H59-H52-H53+H68+H74),2)</f>
        <v>26.14</v>
      </c>
      <c r="I83" s="98">
        <f t="shared" si="16"/>
        <v>26.14</v>
      </c>
      <c r="J83" s="98">
        <f t="shared" si="16"/>
        <v>26.14</v>
      </c>
      <c r="K83" s="98">
        <f t="shared" si="16"/>
        <v>26.14</v>
      </c>
      <c r="L83" s="98">
        <f t="shared" si="16"/>
        <v>26.14</v>
      </c>
      <c r="M83" s="98">
        <f t="shared" si="16"/>
        <v>26.14</v>
      </c>
      <c r="N83" s="98">
        <f t="shared" si="16"/>
        <v>26.14</v>
      </c>
      <c r="O83" s="98">
        <f t="shared" si="16"/>
        <v>26.14</v>
      </c>
      <c r="P83" s="98">
        <f t="shared" si="16"/>
        <v>26.14</v>
      </c>
      <c r="Q83" s="98">
        <f t="shared" si="16"/>
        <v>26.14</v>
      </c>
    </row>
    <row r="84" spans="1:17">
      <c r="A84" s="38" t="s">
        <v>17</v>
      </c>
      <c r="B84" s="846" t="str">
        <f>'DADOS DO LICITANTE'!C63</f>
        <v>Outros</v>
      </c>
      <c r="C84" s="846"/>
      <c r="D84" s="907"/>
      <c r="E84" s="907"/>
      <c r="F84" s="10">
        <f>'DADOS DO LICITANTE'!G63</f>
        <v>0</v>
      </c>
      <c r="G84" s="15">
        <f>ROUND($F$84*($G$27+$G$34+$G$46+G59-G52-G53+G68+G74),2)</f>
        <v>0</v>
      </c>
      <c r="H84" s="587">
        <f t="shared" ref="H84:Q84" si="17">ROUND($F$84*($G$27+$G$34+$G$46+H59-H52-H53+H68+H74),2)</f>
        <v>0</v>
      </c>
      <c r="I84" s="587">
        <f t="shared" si="17"/>
        <v>0</v>
      </c>
      <c r="J84" s="587">
        <f t="shared" si="17"/>
        <v>0</v>
      </c>
      <c r="K84" s="587">
        <f t="shared" si="17"/>
        <v>0</v>
      </c>
      <c r="L84" s="587">
        <f t="shared" si="17"/>
        <v>0</v>
      </c>
      <c r="M84" s="587">
        <f t="shared" si="17"/>
        <v>0</v>
      </c>
      <c r="N84" s="587">
        <f t="shared" si="17"/>
        <v>0</v>
      </c>
      <c r="O84" s="587">
        <f t="shared" si="17"/>
        <v>0</v>
      </c>
      <c r="P84" s="587">
        <f t="shared" si="17"/>
        <v>0</v>
      </c>
      <c r="Q84" s="587">
        <f t="shared" si="17"/>
        <v>0</v>
      </c>
    </row>
    <row r="85" spans="1:17" ht="13">
      <c r="A85" s="898" t="s">
        <v>9</v>
      </c>
      <c r="B85" s="898"/>
      <c r="C85" s="898"/>
      <c r="D85" s="898"/>
      <c r="E85" s="898"/>
      <c r="F85" s="898"/>
      <c r="G85" s="18">
        <f>SUM(G74:G84)</f>
        <v>265.54000000000002</v>
      </c>
      <c r="H85" s="18">
        <f t="shared" ref="H85:N85" si="18">SUM(H74:H84)</f>
        <v>265.54000000000002</v>
      </c>
      <c r="I85" s="18">
        <f t="shared" si="18"/>
        <v>265.54000000000002</v>
      </c>
      <c r="J85" s="18">
        <f t="shared" si="18"/>
        <v>265.54000000000002</v>
      </c>
      <c r="K85" s="18">
        <f t="shared" si="18"/>
        <v>265.54000000000002</v>
      </c>
      <c r="L85" s="18">
        <f t="shared" si="18"/>
        <v>265.54000000000002</v>
      </c>
      <c r="M85" s="18">
        <f t="shared" si="18"/>
        <v>265.54000000000002</v>
      </c>
      <c r="N85" s="18">
        <f t="shared" si="18"/>
        <v>265.54000000000002</v>
      </c>
      <c r="O85" s="18">
        <f t="shared" ref="O85:P85" si="19">SUM(O74:O84)</f>
        <v>265.54000000000002</v>
      </c>
      <c r="P85" s="18">
        <f t="shared" si="19"/>
        <v>265.54000000000002</v>
      </c>
      <c r="Q85" s="18">
        <f t="shared" ref="Q85" si="20">SUM(Q74:Q84)</f>
        <v>265.54000000000002</v>
      </c>
    </row>
    <row r="86" spans="1:17">
      <c r="A86" s="687"/>
      <c r="B86" s="687"/>
      <c r="C86" s="687"/>
      <c r="D86" s="687"/>
      <c r="E86" s="687"/>
      <c r="F86" s="687"/>
      <c r="G86" s="687"/>
      <c r="H86" s="8"/>
      <c r="I86" s="8"/>
      <c r="J86" s="8"/>
      <c r="K86" s="8"/>
    </row>
    <row r="87" spans="1:17" ht="13">
      <c r="A87" s="867" t="s">
        <v>164</v>
      </c>
      <c r="B87" s="867"/>
      <c r="C87" s="867"/>
      <c r="D87" s="867"/>
      <c r="E87" s="867"/>
      <c r="F87" s="867"/>
      <c r="G87" s="867"/>
      <c r="H87" s="867"/>
      <c r="I87" s="867"/>
      <c r="J87" s="867"/>
      <c r="K87" s="867"/>
      <c r="L87" s="867"/>
      <c r="M87" s="867"/>
      <c r="N87" s="867"/>
      <c r="O87" s="867"/>
      <c r="P87" s="867"/>
      <c r="Q87" s="867"/>
    </row>
    <row r="88" spans="1:17" ht="13">
      <c r="A88" s="48"/>
      <c r="B88" s="871" t="s">
        <v>165</v>
      </c>
      <c r="C88" s="871"/>
      <c r="D88" s="871"/>
      <c r="E88" s="871"/>
      <c r="F88" s="871"/>
      <c r="G88" s="263" t="s">
        <v>8</v>
      </c>
      <c r="H88" s="263" t="s">
        <v>8</v>
      </c>
      <c r="I88" s="263" t="s">
        <v>8</v>
      </c>
      <c r="J88" s="263" t="s">
        <v>8</v>
      </c>
      <c r="K88" s="263" t="s">
        <v>8</v>
      </c>
      <c r="L88" s="263" t="s">
        <v>8</v>
      </c>
      <c r="M88" s="263" t="s">
        <v>8</v>
      </c>
      <c r="N88" s="278" t="s">
        <v>8</v>
      </c>
      <c r="O88" s="69" t="s">
        <v>8</v>
      </c>
      <c r="P88" s="69" t="s">
        <v>8</v>
      </c>
      <c r="Q88" s="69" t="s">
        <v>8</v>
      </c>
    </row>
    <row r="89" spans="1:17">
      <c r="A89" s="38" t="s">
        <v>0</v>
      </c>
      <c r="B89" s="846" t="s">
        <v>166</v>
      </c>
      <c r="C89" s="846"/>
      <c r="D89" s="846"/>
      <c r="E89" s="846"/>
      <c r="F89" s="862"/>
      <c r="G89" s="238">
        <f>UNIFORMES!E11</f>
        <v>116.11416666666666</v>
      </c>
      <c r="H89" s="238">
        <f>UNIFORMES!E11</f>
        <v>116.11416666666666</v>
      </c>
      <c r="I89" s="238">
        <f>UNIFORMES!E11</f>
        <v>116.11416666666666</v>
      </c>
      <c r="J89" s="238">
        <f>UNIFORMES!E11</f>
        <v>116.11416666666666</v>
      </c>
      <c r="K89" s="238">
        <f>UNIFORMES!E11</f>
        <v>116.11416666666666</v>
      </c>
      <c r="L89" s="238">
        <f>UNIFORMES!$E$11</f>
        <v>116.11416666666666</v>
      </c>
      <c r="M89" s="404">
        <f>UNIFORMES!$E$11</f>
        <v>116.11416666666666</v>
      </c>
      <c r="N89" s="404">
        <f>UNIFORMES!$E$11</f>
        <v>116.11416666666666</v>
      </c>
      <c r="O89" s="404">
        <f>UNIFORMES!$E$11</f>
        <v>116.11416666666666</v>
      </c>
      <c r="P89" s="404">
        <f>UNIFORMES!$E$11</f>
        <v>116.11416666666666</v>
      </c>
      <c r="Q89" s="404">
        <f>UNIFORMES!$E$11</f>
        <v>116.11416666666666</v>
      </c>
    </row>
    <row r="90" spans="1:17">
      <c r="A90" s="38" t="s">
        <v>1</v>
      </c>
      <c r="B90" s="846" t="s">
        <v>285</v>
      </c>
      <c r="C90" s="846"/>
      <c r="D90" s="846"/>
      <c r="E90" s="846"/>
      <c r="F90" s="862"/>
      <c r="G90" s="238">
        <f t="shared" ref="G90:Q90" si="21">ROUND(($G$27+$G$34+$G$46+G59+G68+G85+G89)*0.07,2)</f>
        <v>270.93</v>
      </c>
      <c r="H90" s="299">
        <f t="shared" si="21"/>
        <v>273.97000000000003</v>
      </c>
      <c r="I90" s="299">
        <f t="shared" si="21"/>
        <v>268.8</v>
      </c>
      <c r="J90" s="299">
        <f t="shared" si="21"/>
        <v>268.64999999999998</v>
      </c>
      <c r="K90" s="299">
        <f t="shared" si="21"/>
        <v>270.32</v>
      </c>
      <c r="L90" s="299">
        <f t="shared" si="21"/>
        <v>271.23</v>
      </c>
      <c r="M90" s="299">
        <f t="shared" si="21"/>
        <v>269.41000000000003</v>
      </c>
      <c r="N90" s="299">
        <f t="shared" si="21"/>
        <v>271.83999999999997</v>
      </c>
      <c r="O90" s="299">
        <f t="shared" si="21"/>
        <v>272.91000000000003</v>
      </c>
      <c r="P90" s="299">
        <f t="shared" si="21"/>
        <v>267.58</v>
      </c>
      <c r="Q90" s="299">
        <f t="shared" si="21"/>
        <v>269.41000000000003</v>
      </c>
    </row>
    <row r="91" spans="1:17">
      <c r="A91" s="38" t="s">
        <v>2</v>
      </c>
      <c r="B91" s="903" t="str">
        <f>'DADOS DO LICITANTE'!A69</f>
        <v>Outros (especificar)</v>
      </c>
      <c r="C91" s="903"/>
      <c r="D91" s="903"/>
      <c r="E91" s="903"/>
      <c r="F91" s="1002"/>
      <c r="G91" s="264">
        <f>'DADOS DO LICITANTE'!G69</f>
        <v>0</v>
      </c>
      <c r="H91" s="264">
        <f>'DADOS DO LICITANTE'!G69</f>
        <v>0</v>
      </c>
      <c r="I91" s="264">
        <f>'DADOS DO LICITANTE'!G69</f>
        <v>0</v>
      </c>
      <c r="J91" s="264">
        <f>'DADOS DO LICITANTE'!G69</f>
        <v>0</v>
      </c>
      <c r="K91" s="264">
        <f>'DADOS DO LICITANTE'!G69</f>
        <v>0</v>
      </c>
      <c r="L91" s="264">
        <f>'DADOS DO LICITANTE'!G69</f>
        <v>0</v>
      </c>
      <c r="M91" s="264">
        <f>'DADOS DO LICITANTE'!G69</f>
        <v>0</v>
      </c>
      <c r="N91" s="264">
        <f>'DADOS DO LICITANTE'!G69</f>
        <v>0</v>
      </c>
      <c r="O91" s="264">
        <f>'DADOS DO LICITANTE'!I69</f>
        <v>0</v>
      </c>
      <c r="P91" s="264">
        <f>'DADOS DO LICITANTE'!I69</f>
        <v>0</v>
      </c>
      <c r="Q91" s="264">
        <f>'DADOS DO LICITANTE'!J69</f>
        <v>0</v>
      </c>
    </row>
    <row r="92" spans="1:17" ht="13">
      <c r="A92" s="38"/>
      <c r="B92" s="857" t="s">
        <v>167</v>
      </c>
      <c r="C92" s="857"/>
      <c r="D92" s="857"/>
      <c r="E92" s="857"/>
      <c r="F92" s="904"/>
      <c r="G92" s="265">
        <f t="shared" ref="G92:K92" si="22">G89+G90+G91</f>
        <v>387.04416666666668</v>
      </c>
      <c r="H92" s="265">
        <f t="shared" si="22"/>
        <v>390.0841666666667</v>
      </c>
      <c r="I92" s="265">
        <f t="shared" si="22"/>
        <v>384.91416666666669</v>
      </c>
      <c r="J92" s="265">
        <f t="shared" si="22"/>
        <v>384.76416666666665</v>
      </c>
      <c r="K92" s="265">
        <f t="shared" si="22"/>
        <v>386.43416666666667</v>
      </c>
      <c r="L92" s="265">
        <f t="shared" ref="L92:N92" si="23">L89+L90+L91</f>
        <v>387.34416666666669</v>
      </c>
      <c r="M92" s="265">
        <f t="shared" si="23"/>
        <v>385.5241666666667</v>
      </c>
      <c r="N92" s="265">
        <f t="shared" si="23"/>
        <v>387.95416666666665</v>
      </c>
      <c r="O92" s="265">
        <f t="shared" ref="O92:P92" si="24">O89+O90+O91</f>
        <v>389.0241666666667</v>
      </c>
      <c r="P92" s="265">
        <f t="shared" si="24"/>
        <v>383.69416666666666</v>
      </c>
      <c r="Q92" s="265">
        <f t="shared" ref="Q92" si="25">Q89+Q90+Q91</f>
        <v>385.5241666666667</v>
      </c>
    </row>
    <row r="93" spans="1:17">
      <c r="A93" s="8" t="s">
        <v>168</v>
      </c>
      <c r="B93" s="901" t="s">
        <v>169</v>
      </c>
      <c r="C93" s="901"/>
      <c r="D93" s="901"/>
      <c r="E93" s="901"/>
      <c r="F93" s="901"/>
      <c r="G93" s="1003"/>
      <c r="H93" s="1003"/>
      <c r="I93" s="1003"/>
      <c r="J93" s="1003"/>
      <c r="K93" s="8"/>
    </row>
    <row r="94" spans="1:17">
      <c r="A94" s="900"/>
      <c r="B94" s="900"/>
      <c r="C94" s="900"/>
      <c r="D94" s="900"/>
      <c r="E94" s="900"/>
      <c r="F94" s="900"/>
      <c r="G94" s="900"/>
      <c r="H94" s="900"/>
      <c r="I94" s="900"/>
      <c r="J94" s="900"/>
      <c r="K94" s="8"/>
    </row>
    <row r="95" spans="1:17" ht="13">
      <c r="A95" s="867" t="s">
        <v>170</v>
      </c>
      <c r="B95" s="867"/>
      <c r="C95" s="867"/>
      <c r="D95" s="867"/>
      <c r="E95" s="867"/>
      <c r="F95" s="867"/>
      <c r="G95" s="867"/>
      <c r="H95" s="867"/>
      <c r="I95" s="867"/>
      <c r="J95" s="867"/>
      <c r="K95" s="867"/>
      <c r="L95" s="867"/>
      <c r="M95" s="867"/>
      <c r="N95" s="867"/>
      <c r="O95" s="867"/>
      <c r="P95" s="867"/>
      <c r="Q95" s="867"/>
    </row>
    <row r="96" spans="1:17" ht="13">
      <c r="A96" s="303" t="s">
        <v>0</v>
      </c>
      <c r="B96" s="902" t="s">
        <v>123</v>
      </c>
      <c r="C96" s="902"/>
      <c r="D96" s="902"/>
      <c r="E96" s="902"/>
      <c r="F96" s="1001"/>
      <c r="G96" s="266">
        <f>$G$27</f>
        <v>1742.91</v>
      </c>
      <c r="H96" s="266">
        <f t="shared" ref="H96:Q96" si="26">$G$27</f>
        <v>1742.91</v>
      </c>
      <c r="I96" s="266">
        <f t="shared" si="26"/>
        <v>1742.91</v>
      </c>
      <c r="J96" s="266">
        <f t="shared" si="26"/>
        <v>1742.91</v>
      </c>
      <c r="K96" s="266">
        <f t="shared" si="26"/>
        <v>1742.91</v>
      </c>
      <c r="L96" s="266">
        <f t="shared" si="26"/>
        <v>1742.91</v>
      </c>
      <c r="M96" s="266">
        <f t="shared" si="26"/>
        <v>1742.91</v>
      </c>
      <c r="N96" s="266">
        <f t="shared" si="26"/>
        <v>1742.91</v>
      </c>
      <c r="O96" s="266">
        <f t="shared" si="26"/>
        <v>1742.91</v>
      </c>
      <c r="P96" s="266">
        <f t="shared" si="26"/>
        <v>1742.91</v>
      </c>
      <c r="Q96" s="266">
        <f t="shared" si="26"/>
        <v>1742.91</v>
      </c>
    </row>
    <row r="97" spans="1:17" ht="13">
      <c r="A97" s="304" t="s">
        <v>1</v>
      </c>
      <c r="B97" s="895" t="s">
        <v>130</v>
      </c>
      <c r="C97" s="895"/>
      <c r="D97" s="895"/>
      <c r="E97" s="895"/>
      <c r="F97" s="997"/>
      <c r="G97" s="266">
        <f t="shared" ref="G97:Q97" si="27">$G$34+$G$46+G59</f>
        <v>1621.03</v>
      </c>
      <c r="H97" s="266">
        <f t="shared" si="27"/>
        <v>1664.48</v>
      </c>
      <c r="I97" s="266">
        <f t="shared" si="27"/>
        <v>1590.6100000000001</v>
      </c>
      <c r="J97" s="266">
        <f t="shared" si="27"/>
        <v>1588.44</v>
      </c>
      <c r="K97" s="266">
        <f t="shared" si="27"/>
        <v>1612.33</v>
      </c>
      <c r="L97" s="266">
        <f t="shared" si="27"/>
        <v>1625.37</v>
      </c>
      <c r="M97" s="266">
        <f t="shared" si="27"/>
        <v>1599.3</v>
      </c>
      <c r="N97" s="266">
        <f t="shared" si="27"/>
        <v>1634.06</v>
      </c>
      <c r="O97" s="266">
        <f t="shared" si="27"/>
        <v>1649.27</v>
      </c>
      <c r="P97" s="266">
        <f t="shared" si="27"/>
        <v>1573.23</v>
      </c>
      <c r="Q97" s="266">
        <f t="shared" si="27"/>
        <v>1599.3</v>
      </c>
    </row>
    <row r="98" spans="1:17" ht="13">
      <c r="A98" s="304" t="s">
        <v>2</v>
      </c>
      <c r="B98" s="891" t="s">
        <v>145</v>
      </c>
      <c r="C98" s="891"/>
      <c r="D98" s="891"/>
      <c r="E98" s="891"/>
      <c r="F98" s="996"/>
      <c r="G98" s="266">
        <f t="shared" ref="G98:N98" si="28">G68</f>
        <v>124.82</v>
      </c>
      <c r="H98" s="266">
        <f t="shared" si="28"/>
        <v>124.82</v>
      </c>
      <c r="I98" s="266">
        <f t="shared" si="28"/>
        <v>124.82</v>
      </c>
      <c r="J98" s="266">
        <f t="shared" si="28"/>
        <v>124.82</v>
      </c>
      <c r="K98" s="266">
        <f t="shared" si="28"/>
        <v>124.82</v>
      </c>
      <c r="L98" s="266">
        <f t="shared" si="28"/>
        <v>124.82</v>
      </c>
      <c r="M98" s="266">
        <f t="shared" si="28"/>
        <v>124.82</v>
      </c>
      <c r="N98" s="266">
        <f t="shared" si="28"/>
        <v>124.82</v>
      </c>
      <c r="O98" s="266">
        <f t="shared" ref="O98:P98" si="29">O68</f>
        <v>124.82</v>
      </c>
      <c r="P98" s="266">
        <f t="shared" si="29"/>
        <v>124.82</v>
      </c>
      <c r="Q98" s="266">
        <f t="shared" ref="Q98" si="30">Q68</f>
        <v>124.82</v>
      </c>
    </row>
    <row r="99" spans="1:17" ht="13">
      <c r="A99" s="304" t="s">
        <v>3</v>
      </c>
      <c r="B99" s="891" t="s">
        <v>151</v>
      </c>
      <c r="C99" s="891"/>
      <c r="D99" s="891"/>
      <c r="E99" s="891"/>
      <c r="F99" s="996"/>
      <c r="G99" s="266">
        <f t="shared" ref="G99:K99" si="31">G85</f>
        <v>265.54000000000002</v>
      </c>
      <c r="H99" s="266">
        <f t="shared" si="31"/>
        <v>265.54000000000002</v>
      </c>
      <c r="I99" s="266">
        <f t="shared" si="31"/>
        <v>265.54000000000002</v>
      </c>
      <c r="J99" s="266">
        <f t="shared" si="31"/>
        <v>265.54000000000002</v>
      </c>
      <c r="K99" s="266">
        <f t="shared" si="31"/>
        <v>265.54000000000002</v>
      </c>
      <c r="L99" s="266">
        <f t="shared" ref="L99:M99" si="32">L85</f>
        <v>265.54000000000002</v>
      </c>
      <c r="M99" s="266">
        <f t="shared" si="32"/>
        <v>265.54000000000002</v>
      </c>
      <c r="N99" s="266">
        <f t="shared" ref="N99:O99" si="33">N85</f>
        <v>265.54000000000002</v>
      </c>
      <c r="O99" s="266">
        <f t="shared" si="33"/>
        <v>265.54000000000002</v>
      </c>
      <c r="P99" s="266">
        <f t="shared" ref="P99:Q99" si="34">P85</f>
        <v>265.54000000000002</v>
      </c>
      <c r="Q99" s="266">
        <f t="shared" si="34"/>
        <v>265.54000000000002</v>
      </c>
    </row>
    <row r="100" spans="1:17" ht="13">
      <c r="A100" s="304" t="s">
        <v>5</v>
      </c>
      <c r="B100" s="891" t="s">
        <v>164</v>
      </c>
      <c r="C100" s="891"/>
      <c r="D100" s="891"/>
      <c r="E100" s="891"/>
      <c r="F100" s="996"/>
      <c r="G100" s="266">
        <f t="shared" ref="G100:K100" si="35">G92</f>
        <v>387.04416666666668</v>
      </c>
      <c r="H100" s="266">
        <f t="shared" si="35"/>
        <v>390.0841666666667</v>
      </c>
      <c r="I100" s="266">
        <f t="shared" si="35"/>
        <v>384.91416666666669</v>
      </c>
      <c r="J100" s="266">
        <f t="shared" si="35"/>
        <v>384.76416666666665</v>
      </c>
      <c r="K100" s="266">
        <f t="shared" si="35"/>
        <v>386.43416666666667</v>
      </c>
      <c r="L100" s="266">
        <f t="shared" ref="L100:M100" si="36">L92</f>
        <v>387.34416666666669</v>
      </c>
      <c r="M100" s="266">
        <f t="shared" si="36"/>
        <v>385.5241666666667</v>
      </c>
      <c r="N100" s="266">
        <f t="shared" ref="N100:O100" si="37">N92</f>
        <v>387.95416666666665</v>
      </c>
      <c r="O100" s="266">
        <f t="shared" si="37"/>
        <v>389.0241666666667</v>
      </c>
      <c r="P100" s="266">
        <f t="shared" ref="P100:Q100" si="38">P92</f>
        <v>383.69416666666666</v>
      </c>
      <c r="Q100" s="266">
        <f t="shared" si="38"/>
        <v>385.5241666666667</v>
      </c>
    </row>
    <row r="101" spans="1:17" ht="13">
      <c r="A101" s="898" t="s">
        <v>9</v>
      </c>
      <c r="B101" s="898"/>
      <c r="C101" s="898"/>
      <c r="D101" s="898"/>
      <c r="E101" s="898"/>
      <c r="F101" s="899"/>
      <c r="G101" s="267">
        <f t="shared" ref="G101:K101" si="39">SUM(G96:G100)</f>
        <v>4141.3441666666668</v>
      </c>
      <c r="H101" s="267">
        <f t="shared" si="39"/>
        <v>4187.8341666666674</v>
      </c>
      <c r="I101" s="267">
        <f t="shared" si="39"/>
        <v>4108.7941666666675</v>
      </c>
      <c r="J101" s="267">
        <f t="shared" si="39"/>
        <v>4106.4741666666669</v>
      </c>
      <c r="K101" s="267">
        <f t="shared" si="39"/>
        <v>4132.0341666666664</v>
      </c>
      <c r="L101" s="267">
        <f t="shared" ref="L101:M101" si="40">SUM(L96:L100)</f>
        <v>4145.9841666666662</v>
      </c>
      <c r="M101" s="267">
        <f t="shared" si="40"/>
        <v>4118.0941666666668</v>
      </c>
      <c r="N101" s="267">
        <f t="shared" ref="N101:O101" si="41">SUM(N96:N100)</f>
        <v>4155.2841666666673</v>
      </c>
      <c r="O101" s="267">
        <f t="shared" si="41"/>
        <v>4171.564166666667</v>
      </c>
      <c r="P101" s="267">
        <f t="shared" ref="P101:Q101" si="42">SUM(P96:P100)</f>
        <v>4090.1941666666671</v>
      </c>
      <c r="Q101" s="267">
        <f t="shared" si="42"/>
        <v>4118.0941666666668</v>
      </c>
    </row>
    <row r="102" spans="1:17">
      <c r="A102" s="58"/>
      <c r="B102" s="900"/>
      <c r="C102" s="900"/>
      <c r="D102" s="900"/>
      <c r="E102" s="900"/>
      <c r="F102" s="900"/>
      <c r="G102" s="900"/>
      <c r="H102" s="900"/>
      <c r="I102" s="900"/>
      <c r="J102" s="900"/>
      <c r="K102" s="8"/>
    </row>
    <row r="103" spans="1:17" ht="13">
      <c r="A103" s="867" t="s">
        <v>171</v>
      </c>
      <c r="B103" s="867"/>
      <c r="C103" s="867"/>
      <c r="D103" s="867"/>
      <c r="E103" s="867"/>
      <c r="F103" s="867"/>
      <c r="G103" s="867"/>
      <c r="H103" s="867"/>
      <c r="I103" s="867"/>
      <c r="J103" s="867"/>
      <c r="K103" s="867"/>
      <c r="L103" s="867"/>
      <c r="M103" s="867"/>
      <c r="N103" s="867"/>
      <c r="O103" s="867"/>
      <c r="P103" s="867"/>
      <c r="Q103" s="867"/>
    </row>
    <row r="104" spans="1:17" ht="13">
      <c r="A104" s="48" t="s">
        <v>418</v>
      </c>
      <c r="B104" s="871" t="s">
        <v>172</v>
      </c>
      <c r="C104" s="871"/>
      <c r="D104" s="871"/>
      <c r="E104" s="871"/>
      <c r="F104" s="48" t="s">
        <v>11</v>
      </c>
      <c r="G104" s="48" t="s">
        <v>8</v>
      </c>
      <c r="H104" s="48" t="s">
        <v>8</v>
      </c>
      <c r="I104" s="48" t="s">
        <v>8</v>
      </c>
      <c r="J104" s="48" t="s">
        <v>8</v>
      </c>
      <c r="K104" s="48" t="s">
        <v>8</v>
      </c>
      <c r="L104" s="91" t="s">
        <v>8</v>
      </c>
      <c r="M104" s="93" t="s">
        <v>8</v>
      </c>
      <c r="N104" s="93" t="s">
        <v>8</v>
      </c>
      <c r="O104" s="93" t="s">
        <v>8</v>
      </c>
      <c r="P104" s="93" t="s">
        <v>8</v>
      </c>
      <c r="Q104" s="93" t="s">
        <v>8</v>
      </c>
    </row>
    <row r="105" spans="1:17">
      <c r="A105" s="38" t="s">
        <v>0</v>
      </c>
      <c r="B105" s="846" t="s">
        <v>173</v>
      </c>
      <c r="C105" s="846"/>
      <c r="D105" s="846"/>
      <c r="E105" s="846"/>
      <c r="F105" s="59">
        <f>'DADOS DO LICITANTE'!D74</f>
        <v>0.05</v>
      </c>
      <c r="G105" s="15">
        <f t="shared" ref="G105:K105" si="43">ROUND(G101*$F$105,2)</f>
        <v>207.07</v>
      </c>
      <c r="H105" s="15">
        <f t="shared" si="43"/>
        <v>209.39</v>
      </c>
      <c r="I105" s="15">
        <f t="shared" si="43"/>
        <v>205.44</v>
      </c>
      <c r="J105" s="15">
        <f t="shared" si="43"/>
        <v>205.32</v>
      </c>
      <c r="K105" s="15">
        <f t="shared" si="43"/>
        <v>206.6</v>
      </c>
      <c r="L105" s="92">
        <f t="shared" ref="L105:M105" si="44">ROUND(L101*$F$105,2)</f>
        <v>207.3</v>
      </c>
      <c r="M105" s="17">
        <f t="shared" si="44"/>
        <v>205.9</v>
      </c>
      <c r="N105" s="17">
        <f t="shared" ref="N105:O105" si="45">ROUND(N101*$F$105,2)</f>
        <v>207.76</v>
      </c>
      <c r="O105" s="17">
        <f t="shared" si="45"/>
        <v>208.58</v>
      </c>
      <c r="P105" s="17">
        <f t="shared" ref="P105:Q105" si="46">ROUND(P101*$F$105,2)</f>
        <v>204.51</v>
      </c>
      <c r="Q105" s="300">
        <f t="shared" si="46"/>
        <v>205.9</v>
      </c>
    </row>
    <row r="106" spans="1:17">
      <c r="A106" s="38" t="s">
        <v>1</v>
      </c>
      <c r="B106" s="846" t="s">
        <v>25</v>
      </c>
      <c r="C106" s="846"/>
      <c r="D106" s="846"/>
      <c r="E106" s="846"/>
      <c r="F106" s="59">
        <f>'DADOS DO LICITANTE'!D75</f>
        <v>0.1</v>
      </c>
      <c r="G106" s="15">
        <f t="shared" ref="G106:K106" si="47">ROUND((G101+G105)*$F$106,2)</f>
        <v>434.84</v>
      </c>
      <c r="H106" s="15">
        <f t="shared" si="47"/>
        <v>439.72</v>
      </c>
      <c r="I106" s="15">
        <f t="shared" si="47"/>
        <v>431.42</v>
      </c>
      <c r="J106" s="15">
        <f t="shared" si="47"/>
        <v>431.18</v>
      </c>
      <c r="K106" s="15">
        <f t="shared" si="47"/>
        <v>433.86</v>
      </c>
      <c r="L106" s="92">
        <f t="shared" ref="L106:M106" si="48">ROUND((L101+L105)*$F$106,2)</f>
        <v>435.33</v>
      </c>
      <c r="M106" s="17">
        <f t="shared" si="48"/>
        <v>432.4</v>
      </c>
      <c r="N106" s="17">
        <f t="shared" ref="N106:O106" si="49">ROUND((N101+N105)*$F$106,2)</f>
        <v>436.3</v>
      </c>
      <c r="O106" s="17">
        <f t="shared" si="49"/>
        <v>438.01</v>
      </c>
      <c r="P106" s="17">
        <f t="shared" ref="P106:Q106" si="50">ROUND((P101+P105)*$F$106,2)</f>
        <v>429.47</v>
      </c>
      <c r="Q106" s="300">
        <f t="shared" si="50"/>
        <v>432.4</v>
      </c>
    </row>
    <row r="107" spans="1:17">
      <c r="A107" s="38" t="s">
        <v>2</v>
      </c>
      <c r="B107" s="989" t="s">
        <v>26</v>
      </c>
      <c r="C107" s="882"/>
      <c r="D107" s="882"/>
      <c r="E107" s="883"/>
      <c r="F107" s="998">
        <f>SUM(E108:E111)</f>
        <v>8.6499999999999994E-2</v>
      </c>
      <c r="G107" s="947" t="s">
        <v>23</v>
      </c>
      <c r="H107" s="947">
        <f>((H101+H105+H106)/(1-$F$107))*$F$107</f>
        <v>458.01387018792201</v>
      </c>
      <c r="I107" s="947">
        <f>((I101+I105+I106)/(1-$F$107))*$F$107</f>
        <v>449.36955163291367</v>
      </c>
      <c r="J107" s="947" t="s">
        <v>23</v>
      </c>
      <c r="K107" s="947" t="s">
        <v>23</v>
      </c>
      <c r="L107" s="993" t="s">
        <v>23</v>
      </c>
      <c r="M107" s="992">
        <f>((M101+M105+M106)/(1-$F$107))*$F$107</f>
        <v>450.38653028644399</v>
      </c>
      <c r="N107" s="992">
        <f>((N101+N105+N106)/(1-$F$107))*$F$107</f>
        <v>454.453497993067</v>
      </c>
      <c r="O107" s="992" t="s">
        <v>23</v>
      </c>
      <c r="P107" s="992">
        <f t="shared" ref="P107:Q107" si="51">((P101+P105+P106)/(1-$F$107))*$F$107</f>
        <v>447.33559432585298</v>
      </c>
      <c r="Q107" s="992">
        <f t="shared" si="51"/>
        <v>450.38653028644399</v>
      </c>
    </row>
    <row r="108" spans="1:17">
      <c r="A108" s="897" t="s">
        <v>174</v>
      </c>
      <c r="B108" s="987" t="s">
        <v>175</v>
      </c>
      <c r="C108" s="988"/>
      <c r="D108" s="60" t="s">
        <v>176</v>
      </c>
      <c r="E108" s="61">
        <f>'DADOS DO LICITANTE'!D78</f>
        <v>6.4999999999999997E-3</v>
      </c>
      <c r="F108" s="999"/>
      <c r="G108" s="948"/>
      <c r="H108" s="948"/>
      <c r="I108" s="948"/>
      <c r="J108" s="948"/>
      <c r="K108" s="948"/>
      <c r="L108" s="994"/>
      <c r="M108" s="992"/>
      <c r="N108" s="992"/>
      <c r="O108" s="992"/>
      <c r="P108" s="992"/>
      <c r="Q108" s="992"/>
    </row>
    <row r="109" spans="1:17">
      <c r="A109" s="833"/>
      <c r="B109" s="981"/>
      <c r="C109" s="983"/>
      <c r="D109" s="60" t="s">
        <v>177</v>
      </c>
      <c r="E109" s="61">
        <f>'DADOS DO LICITANTE'!D79</f>
        <v>0.03</v>
      </c>
      <c r="F109" s="999"/>
      <c r="G109" s="948"/>
      <c r="H109" s="948"/>
      <c r="I109" s="948"/>
      <c r="J109" s="948"/>
      <c r="K109" s="948"/>
      <c r="L109" s="994"/>
      <c r="M109" s="992"/>
      <c r="N109" s="992"/>
      <c r="O109" s="992"/>
      <c r="P109" s="992"/>
      <c r="Q109" s="992"/>
    </row>
    <row r="110" spans="1:17">
      <c r="A110" s="38" t="s">
        <v>178</v>
      </c>
      <c r="B110" s="989" t="s">
        <v>179</v>
      </c>
      <c r="C110" s="882"/>
      <c r="D110" s="883"/>
      <c r="E110" s="28">
        <f>'DADOS DO LICITANTE'!D84</f>
        <v>0</v>
      </c>
      <c r="F110" s="999"/>
      <c r="G110" s="948"/>
      <c r="H110" s="948"/>
      <c r="I110" s="948"/>
      <c r="J110" s="948"/>
      <c r="K110" s="948"/>
      <c r="L110" s="994"/>
      <c r="M110" s="992"/>
      <c r="N110" s="992"/>
      <c r="O110" s="992"/>
      <c r="P110" s="992"/>
      <c r="Q110" s="992"/>
    </row>
    <row r="111" spans="1:17" ht="75" customHeight="1">
      <c r="A111" s="897" t="s">
        <v>180</v>
      </c>
      <c r="B111" s="987" t="s">
        <v>181</v>
      </c>
      <c r="C111" s="988"/>
      <c r="D111" s="62" t="str">
        <f>'DADOS DO LICITANTE'!A80</f>
        <v>Guarulhos, São Sebastião, Taubaté, Pindamonhangaba, Campos do Jordão</v>
      </c>
      <c r="E111" s="63">
        <f>'DADOS DO LICITANTE'!D80</f>
        <v>0.05</v>
      </c>
      <c r="F111" s="1000"/>
      <c r="G111" s="949"/>
      <c r="H111" s="949"/>
      <c r="I111" s="949"/>
      <c r="J111" s="949"/>
      <c r="K111" s="949"/>
      <c r="L111" s="995"/>
      <c r="M111" s="992"/>
      <c r="N111" s="992"/>
      <c r="O111" s="992"/>
      <c r="P111" s="992"/>
      <c r="Q111" s="992"/>
    </row>
    <row r="112" spans="1:17">
      <c r="A112" s="927"/>
      <c r="B112" s="990"/>
      <c r="C112" s="991"/>
      <c r="D112" s="319" t="str">
        <f>'DADOS DO LICITANTE'!A81</f>
        <v>Suzano</v>
      </c>
      <c r="E112" s="320">
        <f>'DADOS DO LICITANTE'!D81</f>
        <v>0.04</v>
      </c>
      <c r="F112" s="314">
        <f>'DADOS DO LICITANTE'!E81</f>
        <v>7.6499999999999999E-2</v>
      </c>
      <c r="G112" s="313"/>
      <c r="H112" s="313"/>
      <c r="I112" s="313"/>
      <c r="J112" s="313"/>
      <c r="K112" s="313"/>
      <c r="L112" s="316">
        <f>((L101+L105+L106)/(1-$F$112))*$F$112</f>
        <v>396.67458987547366</v>
      </c>
      <c r="M112" s="315"/>
      <c r="N112" s="312"/>
      <c r="O112" s="315"/>
      <c r="P112" s="312"/>
      <c r="Q112" s="312"/>
    </row>
    <row r="113" spans="1:17">
      <c r="A113" s="927"/>
      <c r="B113" s="990"/>
      <c r="C113" s="991"/>
      <c r="D113" s="62" t="str">
        <f>'DADOS DO LICITANTE'!A82</f>
        <v>Mogi das Cruzes</v>
      </c>
      <c r="E113" s="63">
        <f>'DADOS DO LICITANTE'!D82</f>
        <v>3.5000000000000003E-2</v>
      </c>
      <c r="F113" s="40">
        <f>E108+E109+E110+E113</f>
        <v>7.1500000000000008E-2</v>
      </c>
      <c r="G113" s="15" t="s">
        <v>23</v>
      </c>
      <c r="H113" s="15" t="s">
        <v>23</v>
      </c>
      <c r="I113" s="15" t="s">
        <v>23</v>
      </c>
      <c r="J113" s="15" t="s">
        <v>23</v>
      </c>
      <c r="K113" s="15">
        <f>((K101+K105+K106)/(1-$F$113))*$F$113</f>
        <v>367.51032085801478</v>
      </c>
      <c r="L113" s="92" t="s">
        <v>23</v>
      </c>
      <c r="M113" s="72" t="s">
        <v>23</v>
      </c>
      <c r="N113" s="17" t="s">
        <v>23</v>
      </c>
      <c r="O113" s="72" t="s">
        <v>23</v>
      </c>
      <c r="P113" s="17" t="s">
        <v>23</v>
      </c>
      <c r="Q113" s="300" t="s">
        <v>23</v>
      </c>
    </row>
    <row r="114" spans="1:17" ht="33" customHeight="1">
      <c r="A114" s="833"/>
      <c r="B114" s="981"/>
      <c r="C114" s="983"/>
      <c r="D114" s="62" t="str">
        <f>'DADOS DO LICITANTE'!A83</f>
        <v>SJC, Jacareí,Guaratinguetá</v>
      </c>
      <c r="E114" s="63">
        <f>'DADOS DO LICITANTE'!D83</f>
        <v>0.03</v>
      </c>
      <c r="F114" s="40">
        <f>E108+E109+E110+E114</f>
        <v>6.6500000000000004E-2</v>
      </c>
      <c r="G114" s="251">
        <f>((G101+G105+G106)/(1-$F$114))*$F$114</f>
        <v>340.74601187287982</v>
      </c>
      <c r="H114" s="251" t="s">
        <v>23</v>
      </c>
      <c r="I114" s="251" t="s">
        <v>23</v>
      </c>
      <c r="J114" s="251">
        <f>((J101+J105+J106)/(1-$F$114))*$F$114</f>
        <v>337.87657427245142</v>
      </c>
      <c r="K114" s="251" t="s">
        <v>23</v>
      </c>
      <c r="L114" s="252" t="s">
        <v>23</v>
      </c>
      <c r="M114" s="279" t="s">
        <v>23</v>
      </c>
      <c r="N114" s="268"/>
      <c r="O114" s="323">
        <f>((O101+O105+O106)/(1-$F$114))*$F$114</f>
        <v>343.23219291198006</v>
      </c>
      <c r="P114" s="280" t="s">
        <v>23</v>
      </c>
      <c r="Q114" s="280" t="s">
        <v>23</v>
      </c>
    </row>
    <row r="115" spans="1:17" ht="13">
      <c r="A115" s="38"/>
      <c r="B115" s="892" t="s">
        <v>9</v>
      </c>
      <c r="C115" s="893"/>
      <c r="D115" s="893"/>
      <c r="E115" s="893"/>
      <c r="F115" s="894"/>
      <c r="G115" s="269">
        <f t="shared" ref="G115:K115" si="52">SUM(G105:G114)</f>
        <v>982.65601187287984</v>
      </c>
      <c r="H115" s="269">
        <f t="shared" si="52"/>
        <v>1107.123870187922</v>
      </c>
      <c r="I115" s="269">
        <f t="shared" si="52"/>
        <v>1086.2295516329136</v>
      </c>
      <c r="J115" s="269">
        <f t="shared" si="52"/>
        <v>974.37657427245142</v>
      </c>
      <c r="K115" s="269">
        <f t="shared" si="52"/>
        <v>1007.9703208580148</v>
      </c>
      <c r="L115" s="269">
        <f t="shared" ref="L115:N115" si="53">SUM(L105:L114)</f>
        <v>1039.3045898754735</v>
      </c>
      <c r="M115" s="269">
        <f t="shared" si="53"/>
        <v>1088.6865302864439</v>
      </c>
      <c r="N115" s="269">
        <f t="shared" si="53"/>
        <v>1098.5134979930669</v>
      </c>
      <c r="O115" s="269">
        <f t="shared" ref="O115:P115" si="54">SUM(O105:O114)</f>
        <v>989.8221929119801</v>
      </c>
      <c r="P115" s="269">
        <f t="shared" si="54"/>
        <v>1081.315594325853</v>
      </c>
      <c r="Q115" s="269">
        <f t="shared" ref="Q115" si="55">SUM(Q105:Q114)</f>
        <v>1088.6865302864439</v>
      </c>
    </row>
    <row r="116" spans="1:17">
      <c r="A116" s="986"/>
      <c r="B116" s="986"/>
      <c r="C116" s="986"/>
      <c r="D116" s="986"/>
      <c r="E116" s="986"/>
      <c r="F116" s="986"/>
      <c r="G116" s="680"/>
      <c r="H116" s="8"/>
      <c r="I116" s="8"/>
      <c r="J116" s="8"/>
      <c r="K116" s="8"/>
    </row>
    <row r="117" spans="1:17" ht="13">
      <c r="A117" s="867" t="s">
        <v>288</v>
      </c>
      <c r="B117" s="867"/>
      <c r="C117" s="867"/>
      <c r="D117" s="867"/>
      <c r="E117" s="867"/>
      <c r="F117" s="867"/>
      <c r="G117" s="867"/>
      <c r="H117" s="867"/>
      <c r="I117" s="867"/>
      <c r="J117" s="867"/>
      <c r="K117" s="867"/>
      <c r="L117" s="867"/>
      <c r="M117" s="867"/>
      <c r="N117" s="867"/>
      <c r="O117" s="867"/>
      <c r="P117" s="867"/>
      <c r="Q117" s="867"/>
    </row>
    <row r="118" spans="1:17" ht="13">
      <c r="A118" s="871" t="s">
        <v>182</v>
      </c>
      <c r="B118" s="871"/>
      <c r="C118" s="871"/>
      <c r="D118" s="871"/>
      <c r="E118" s="871"/>
      <c r="F118" s="871"/>
      <c r="G118" s="51" t="s">
        <v>183</v>
      </c>
      <c r="H118" s="51" t="s">
        <v>183</v>
      </c>
      <c r="I118" s="51" t="s">
        <v>183</v>
      </c>
      <c r="J118" s="51" t="s">
        <v>183</v>
      </c>
      <c r="K118" s="51" t="s">
        <v>183</v>
      </c>
      <c r="L118" s="51" t="s">
        <v>183</v>
      </c>
      <c r="M118" s="51" t="s">
        <v>183</v>
      </c>
      <c r="N118" s="51" t="s">
        <v>183</v>
      </c>
      <c r="O118" s="51" t="s">
        <v>183</v>
      </c>
      <c r="P118" s="51" t="s">
        <v>183</v>
      </c>
      <c r="Q118" s="51" t="s">
        <v>183</v>
      </c>
    </row>
    <row r="119" spans="1:17" ht="13">
      <c r="A119" s="38" t="s">
        <v>0</v>
      </c>
      <c r="B119" s="891" t="s">
        <v>123</v>
      </c>
      <c r="C119" s="891"/>
      <c r="D119" s="891"/>
      <c r="E119" s="891"/>
      <c r="F119" s="891"/>
      <c r="G119" s="39">
        <f t="shared" ref="G119:K119" si="56">G96</f>
        <v>1742.91</v>
      </c>
      <c r="H119" s="39">
        <f t="shared" si="56"/>
        <v>1742.91</v>
      </c>
      <c r="I119" s="39">
        <f t="shared" si="56"/>
        <v>1742.91</v>
      </c>
      <c r="J119" s="39">
        <f t="shared" si="56"/>
        <v>1742.91</v>
      </c>
      <c r="K119" s="39">
        <f t="shared" si="56"/>
        <v>1742.91</v>
      </c>
      <c r="L119" s="39">
        <f t="shared" ref="L119:M119" si="57">L96</f>
        <v>1742.91</v>
      </c>
      <c r="M119" s="39">
        <f t="shared" si="57"/>
        <v>1742.91</v>
      </c>
      <c r="N119" s="39">
        <f t="shared" ref="N119:O119" si="58">N96</f>
        <v>1742.91</v>
      </c>
      <c r="O119" s="39">
        <f t="shared" si="58"/>
        <v>1742.91</v>
      </c>
      <c r="P119" s="39">
        <f t="shared" ref="P119:Q119" si="59">P96</f>
        <v>1742.91</v>
      </c>
      <c r="Q119" s="298">
        <f t="shared" si="59"/>
        <v>1742.91</v>
      </c>
    </row>
    <row r="120" spans="1:17" ht="13">
      <c r="A120" s="38" t="s">
        <v>1</v>
      </c>
      <c r="B120" s="895" t="s">
        <v>130</v>
      </c>
      <c r="C120" s="895"/>
      <c r="D120" s="895"/>
      <c r="E120" s="895"/>
      <c r="F120" s="895"/>
      <c r="G120" s="39">
        <f t="shared" ref="G120:K120" si="60">G97</f>
        <v>1621.03</v>
      </c>
      <c r="H120" s="39">
        <f t="shared" si="60"/>
        <v>1664.48</v>
      </c>
      <c r="I120" s="39">
        <f t="shared" si="60"/>
        <v>1590.6100000000001</v>
      </c>
      <c r="J120" s="39">
        <f t="shared" si="60"/>
        <v>1588.44</v>
      </c>
      <c r="K120" s="39">
        <f t="shared" si="60"/>
        <v>1612.33</v>
      </c>
      <c r="L120" s="39">
        <f t="shared" ref="L120:M120" si="61">L97</f>
        <v>1625.37</v>
      </c>
      <c r="M120" s="39">
        <f t="shared" si="61"/>
        <v>1599.3</v>
      </c>
      <c r="N120" s="39">
        <f t="shared" ref="N120:O120" si="62">N97</f>
        <v>1634.06</v>
      </c>
      <c r="O120" s="39">
        <f t="shared" si="62"/>
        <v>1649.27</v>
      </c>
      <c r="P120" s="39">
        <f t="shared" ref="P120:Q120" si="63">P97</f>
        <v>1573.23</v>
      </c>
      <c r="Q120" s="298">
        <f t="shared" si="63"/>
        <v>1599.3</v>
      </c>
    </row>
    <row r="121" spans="1:17" ht="13">
      <c r="A121" s="38" t="s">
        <v>2</v>
      </c>
      <c r="B121" s="891" t="s">
        <v>145</v>
      </c>
      <c r="C121" s="891"/>
      <c r="D121" s="891"/>
      <c r="E121" s="891"/>
      <c r="F121" s="891"/>
      <c r="G121" s="39">
        <f t="shared" ref="G121:K121" si="64">G98</f>
        <v>124.82</v>
      </c>
      <c r="H121" s="39">
        <f t="shared" si="64"/>
        <v>124.82</v>
      </c>
      <c r="I121" s="39">
        <f t="shared" si="64"/>
        <v>124.82</v>
      </c>
      <c r="J121" s="39">
        <f t="shared" si="64"/>
        <v>124.82</v>
      </c>
      <c r="K121" s="39">
        <f t="shared" si="64"/>
        <v>124.82</v>
      </c>
      <c r="L121" s="39">
        <f t="shared" ref="L121:M121" si="65">L98</f>
        <v>124.82</v>
      </c>
      <c r="M121" s="39">
        <f t="shared" si="65"/>
        <v>124.82</v>
      </c>
      <c r="N121" s="39">
        <f t="shared" ref="N121:O121" si="66">N98</f>
        <v>124.82</v>
      </c>
      <c r="O121" s="39">
        <f t="shared" si="66"/>
        <v>124.82</v>
      </c>
      <c r="P121" s="39">
        <f t="shared" ref="P121:Q121" si="67">P98</f>
        <v>124.82</v>
      </c>
      <c r="Q121" s="298">
        <f t="shared" si="67"/>
        <v>124.82</v>
      </c>
    </row>
    <row r="122" spans="1:17" ht="13">
      <c r="A122" s="38" t="s">
        <v>3</v>
      </c>
      <c r="B122" s="891" t="s">
        <v>151</v>
      </c>
      <c r="C122" s="891"/>
      <c r="D122" s="891"/>
      <c r="E122" s="891"/>
      <c r="F122" s="891"/>
      <c r="G122" s="39">
        <f t="shared" ref="G122:K122" si="68">G99</f>
        <v>265.54000000000002</v>
      </c>
      <c r="H122" s="39">
        <f t="shared" si="68"/>
        <v>265.54000000000002</v>
      </c>
      <c r="I122" s="39">
        <f t="shared" si="68"/>
        <v>265.54000000000002</v>
      </c>
      <c r="J122" s="39">
        <f t="shared" si="68"/>
        <v>265.54000000000002</v>
      </c>
      <c r="K122" s="39">
        <f t="shared" si="68"/>
        <v>265.54000000000002</v>
      </c>
      <c r="L122" s="39">
        <f t="shared" ref="L122:M122" si="69">L99</f>
        <v>265.54000000000002</v>
      </c>
      <c r="M122" s="39">
        <f t="shared" si="69"/>
        <v>265.54000000000002</v>
      </c>
      <c r="N122" s="39">
        <f t="shared" ref="N122:O122" si="70">N99</f>
        <v>265.54000000000002</v>
      </c>
      <c r="O122" s="39">
        <f t="shared" si="70"/>
        <v>265.54000000000002</v>
      </c>
      <c r="P122" s="39">
        <f t="shared" ref="P122:Q122" si="71">P99</f>
        <v>265.54000000000002</v>
      </c>
      <c r="Q122" s="298">
        <f t="shared" si="71"/>
        <v>265.54000000000002</v>
      </c>
    </row>
    <row r="123" spans="1:17" ht="13">
      <c r="A123" s="38" t="s">
        <v>5</v>
      </c>
      <c r="B123" s="891" t="s">
        <v>164</v>
      </c>
      <c r="C123" s="891"/>
      <c r="D123" s="891"/>
      <c r="E123" s="891"/>
      <c r="F123" s="891"/>
      <c r="G123" s="39">
        <f t="shared" ref="G123:K123" si="72">G100</f>
        <v>387.04416666666668</v>
      </c>
      <c r="H123" s="39">
        <f t="shared" si="72"/>
        <v>390.0841666666667</v>
      </c>
      <c r="I123" s="39">
        <f t="shared" si="72"/>
        <v>384.91416666666669</v>
      </c>
      <c r="J123" s="39">
        <f t="shared" si="72"/>
        <v>384.76416666666665</v>
      </c>
      <c r="K123" s="39">
        <f t="shared" si="72"/>
        <v>386.43416666666667</v>
      </c>
      <c r="L123" s="39">
        <f t="shared" ref="L123:M123" si="73">L100</f>
        <v>387.34416666666669</v>
      </c>
      <c r="M123" s="39">
        <f t="shared" si="73"/>
        <v>385.5241666666667</v>
      </c>
      <c r="N123" s="39">
        <f t="shared" ref="N123:O123" si="74">N100</f>
        <v>387.95416666666665</v>
      </c>
      <c r="O123" s="39">
        <f t="shared" si="74"/>
        <v>389.0241666666667</v>
      </c>
      <c r="P123" s="39">
        <f t="shared" ref="P123:Q123" si="75">P100</f>
        <v>383.69416666666666</v>
      </c>
      <c r="Q123" s="298">
        <f t="shared" si="75"/>
        <v>385.5241666666667</v>
      </c>
    </row>
    <row r="124" spans="1:17" ht="13">
      <c r="A124" s="38" t="s">
        <v>6</v>
      </c>
      <c r="B124" s="891" t="s">
        <v>184</v>
      </c>
      <c r="C124" s="891"/>
      <c r="D124" s="891"/>
      <c r="E124" s="891"/>
      <c r="F124" s="891"/>
      <c r="G124" s="39">
        <f t="shared" ref="G124:K124" si="76">G115</f>
        <v>982.65601187287984</v>
      </c>
      <c r="H124" s="39">
        <f t="shared" si="76"/>
        <v>1107.123870187922</v>
      </c>
      <c r="I124" s="39">
        <f t="shared" si="76"/>
        <v>1086.2295516329136</v>
      </c>
      <c r="J124" s="39">
        <f t="shared" si="76"/>
        <v>974.37657427245142</v>
      </c>
      <c r="K124" s="39">
        <f t="shared" si="76"/>
        <v>1007.9703208580148</v>
      </c>
      <c r="L124" s="39">
        <f t="shared" ref="L124:M124" si="77">L115</f>
        <v>1039.3045898754735</v>
      </c>
      <c r="M124" s="39">
        <f t="shared" si="77"/>
        <v>1088.6865302864439</v>
      </c>
      <c r="N124" s="39">
        <f t="shared" ref="N124:O124" si="78">N115</f>
        <v>1098.5134979930669</v>
      </c>
      <c r="O124" s="39">
        <f t="shared" si="78"/>
        <v>989.8221929119801</v>
      </c>
      <c r="P124" s="39">
        <f t="shared" ref="P124:Q124" si="79">P115</f>
        <v>1081.315594325853</v>
      </c>
      <c r="Q124" s="298">
        <f t="shared" si="79"/>
        <v>1088.6865302864439</v>
      </c>
    </row>
    <row r="125" spans="1:17" ht="13">
      <c r="A125" s="38"/>
      <c r="B125" s="857" t="s">
        <v>185</v>
      </c>
      <c r="C125" s="857"/>
      <c r="D125" s="857"/>
      <c r="E125" s="857"/>
      <c r="F125" s="857"/>
      <c r="G125" s="64">
        <f t="shared" ref="G125:K125" si="80">SUM(G119:G124)</f>
        <v>5124.0001785395471</v>
      </c>
      <c r="H125" s="64">
        <f t="shared" si="80"/>
        <v>5294.9580368545894</v>
      </c>
      <c r="I125" s="64">
        <f t="shared" si="80"/>
        <v>5195.0237182995807</v>
      </c>
      <c r="J125" s="64">
        <f t="shared" si="80"/>
        <v>5080.8507409391186</v>
      </c>
      <c r="K125" s="64">
        <f t="shared" si="80"/>
        <v>5140.0044875246813</v>
      </c>
      <c r="L125" s="64">
        <f t="shared" ref="L125:M125" si="81">SUM(L119:L124)</f>
        <v>5185.2887565421397</v>
      </c>
      <c r="M125" s="64">
        <f t="shared" si="81"/>
        <v>5206.7806969531102</v>
      </c>
      <c r="N125" s="64">
        <f t="shared" ref="N125:O125" si="82">SUM(N119:N124)</f>
        <v>5253.7976646597344</v>
      </c>
      <c r="O125" s="64">
        <f t="shared" si="82"/>
        <v>5161.386359578647</v>
      </c>
      <c r="P125" s="64">
        <f t="shared" ref="P125:Q125" si="83">SUM(P119:P124)</f>
        <v>5171.5097609925197</v>
      </c>
      <c r="Q125" s="64">
        <f t="shared" si="83"/>
        <v>5206.7806969531102</v>
      </c>
    </row>
    <row r="126" spans="1:17">
      <c r="A126" s="8"/>
      <c r="B126" s="8"/>
      <c r="C126" s="8"/>
      <c r="D126" s="8"/>
      <c r="E126" s="8"/>
      <c r="F126" s="8"/>
      <c r="G126" s="65" t="s">
        <v>271</v>
      </c>
      <c r="H126" s="66" t="s">
        <v>272</v>
      </c>
      <c r="I126" s="66" t="s">
        <v>273</v>
      </c>
      <c r="J126" s="66" t="s">
        <v>274</v>
      </c>
      <c r="K126" s="66" t="s">
        <v>292</v>
      </c>
      <c r="L126" s="66" t="s">
        <v>275</v>
      </c>
      <c r="M126" s="87" t="s">
        <v>276</v>
      </c>
      <c r="N126" s="87" t="s">
        <v>277</v>
      </c>
      <c r="O126" s="87" t="s">
        <v>278</v>
      </c>
      <c r="P126" s="87" t="s">
        <v>279</v>
      </c>
      <c r="Q126" s="87" t="s">
        <v>280</v>
      </c>
    </row>
  </sheetData>
  <mergeCells count="208">
    <mergeCell ref="Q62:Q63"/>
    <mergeCell ref="Q75:Q76"/>
    <mergeCell ref="Q77:Q78"/>
    <mergeCell ref="Q79:Q80"/>
    <mergeCell ref="Q81:Q82"/>
    <mergeCell ref="Q107:Q111"/>
    <mergeCell ref="A71:Q71"/>
    <mergeCell ref="A72:Q72"/>
    <mergeCell ref="A87:Q87"/>
    <mergeCell ref="A95:Q95"/>
    <mergeCell ref="A103:Q103"/>
    <mergeCell ref="O79:O80"/>
    <mergeCell ref="P79:P80"/>
    <mergeCell ref="O81:O82"/>
    <mergeCell ref="P81:P82"/>
    <mergeCell ref="K62:K63"/>
    <mergeCell ref="B81:C81"/>
    <mergeCell ref="F81:F82"/>
    <mergeCell ref="G81:G82"/>
    <mergeCell ref="P107:P111"/>
    <mergeCell ref="B98:F98"/>
    <mergeCell ref="B93:J93"/>
    <mergeCell ref="B107:E107"/>
    <mergeCell ref="F107:F111"/>
    <mergeCell ref="B96:F96"/>
    <mergeCell ref="B90:F90"/>
    <mergeCell ref="B91:F91"/>
    <mergeCell ref="A94:J94"/>
    <mergeCell ref="A85:F85"/>
    <mergeCell ref="B88:F88"/>
    <mergeCell ref="B89:F89"/>
    <mergeCell ref="M79:M80"/>
    <mergeCell ref="M81:M82"/>
    <mergeCell ref="N79:N80"/>
    <mergeCell ref="B78:D78"/>
    <mergeCell ref="I77:I78"/>
    <mergeCell ref="F79:F80"/>
    <mergeCell ref="B79:C79"/>
    <mergeCell ref="O107:O111"/>
    <mergeCell ref="M107:M111"/>
    <mergeCell ref="N107:N111"/>
    <mergeCell ref="N81:N82"/>
    <mergeCell ref="L107:L111"/>
    <mergeCell ref="H81:H82"/>
    <mergeCell ref="A86:G86"/>
    <mergeCell ref="B100:F100"/>
    <mergeCell ref="A101:F101"/>
    <mergeCell ref="B104:E104"/>
    <mergeCell ref="L81:L82"/>
    <mergeCell ref="B99:F99"/>
    <mergeCell ref="B106:E106"/>
    <mergeCell ref="B97:F97"/>
    <mergeCell ref="B102:J102"/>
    <mergeCell ref="I107:I111"/>
    <mergeCell ref="B84:E84"/>
    <mergeCell ref="K77:K78"/>
    <mergeCell ref="K75:K76"/>
    <mergeCell ref="J81:J82"/>
    <mergeCell ref="K81:K82"/>
    <mergeCell ref="G79:G80"/>
    <mergeCell ref="H79:H80"/>
    <mergeCell ref="K79:K80"/>
    <mergeCell ref="L75:L76"/>
    <mergeCell ref="L77:L78"/>
    <mergeCell ref="N77:N78"/>
    <mergeCell ref="B124:F124"/>
    <mergeCell ref="B125:F125"/>
    <mergeCell ref="B115:F115"/>
    <mergeCell ref="A116:G116"/>
    <mergeCell ref="A118:F118"/>
    <mergeCell ref="B119:F119"/>
    <mergeCell ref="B120:F120"/>
    <mergeCell ref="A108:A109"/>
    <mergeCell ref="B108:C109"/>
    <mergeCell ref="B110:D110"/>
    <mergeCell ref="A111:A114"/>
    <mergeCell ref="B111:C114"/>
    <mergeCell ref="B121:F121"/>
    <mergeCell ref="B122:F122"/>
    <mergeCell ref="B123:F123"/>
    <mergeCell ref="G107:G111"/>
    <mergeCell ref="A117:Q117"/>
    <mergeCell ref="M77:M78"/>
    <mergeCell ref="K107:K111"/>
    <mergeCell ref="H107:H111"/>
    <mergeCell ref="A77:A78"/>
    <mergeCell ref="B82:C82"/>
    <mergeCell ref="L79:L80"/>
    <mergeCell ref="B47:G47"/>
    <mergeCell ref="B51:F51"/>
    <mergeCell ref="A50:Q50"/>
    <mergeCell ref="O75:O76"/>
    <mergeCell ref="P75:P76"/>
    <mergeCell ref="J107:J111"/>
    <mergeCell ref="B105:E105"/>
    <mergeCell ref="I81:I82"/>
    <mergeCell ref="J62:J63"/>
    <mergeCell ref="L62:L63"/>
    <mergeCell ref="B80:D80"/>
    <mergeCell ref="J77:J78"/>
    <mergeCell ref="I79:I80"/>
    <mergeCell ref="J79:J80"/>
    <mergeCell ref="B76:D76"/>
    <mergeCell ref="B77:C77"/>
    <mergeCell ref="F77:F78"/>
    <mergeCell ref="G77:G78"/>
    <mergeCell ref="H77:H78"/>
    <mergeCell ref="B92:F92"/>
    <mergeCell ref="B54:F54"/>
    <mergeCell ref="B83:C83"/>
    <mergeCell ref="O77:O78"/>
    <mergeCell ref="P77:P78"/>
    <mergeCell ref="B64:F64"/>
    <mergeCell ref="A69:J69"/>
    <mergeCell ref="I75:I76"/>
    <mergeCell ref="B68:F68"/>
    <mergeCell ref="B58:F58"/>
    <mergeCell ref="B59:F59"/>
    <mergeCell ref="B60:G60"/>
    <mergeCell ref="B66:F66"/>
    <mergeCell ref="A70:G70"/>
    <mergeCell ref="B73:F73"/>
    <mergeCell ref="J75:J76"/>
    <mergeCell ref="B75:E75"/>
    <mergeCell ref="F75:F76"/>
    <mergeCell ref="G75:G76"/>
    <mergeCell ref="H75:H76"/>
    <mergeCell ref="B74:E74"/>
    <mergeCell ref="A61:Q61"/>
    <mergeCell ref="O62:O63"/>
    <mergeCell ref="A62:A63"/>
    <mergeCell ref="B65:C65"/>
    <mergeCell ref="B67:E67"/>
    <mergeCell ref="M75:M76"/>
    <mergeCell ref="A75:A76"/>
    <mergeCell ref="N75:N76"/>
    <mergeCell ref="P62:P63"/>
    <mergeCell ref="M62:M63"/>
    <mergeCell ref="N62:N63"/>
    <mergeCell ref="F62:F63"/>
    <mergeCell ref="G62:G63"/>
    <mergeCell ref="H62:H63"/>
    <mergeCell ref="B63:C63"/>
    <mergeCell ref="I62:I63"/>
    <mergeCell ref="A36:G36"/>
    <mergeCell ref="B55:F55"/>
    <mergeCell ref="B56:F56"/>
    <mergeCell ref="B57:F57"/>
    <mergeCell ref="B62:D62"/>
    <mergeCell ref="B37:E37"/>
    <mergeCell ref="B38:E38"/>
    <mergeCell ref="B39:E39"/>
    <mergeCell ref="B40:E40"/>
    <mergeCell ref="B41:E41"/>
    <mergeCell ref="B42:E42"/>
    <mergeCell ref="B52:F52"/>
    <mergeCell ref="B53:F53"/>
    <mergeCell ref="B43:E43"/>
    <mergeCell ref="B45:E45"/>
    <mergeCell ref="B46:E46"/>
    <mergeCell ref="A30:G30"/>
    <mergeCell ref="B31:F31"/>
    <mergeCell ref="B32:E32"/>
    <mergeCell ref="B33:E33"/>
    <mergeCell ref="B34:E34"/>
    <mergeCell ref="A15:G15"/>
    <mergeCell ref="B16:E16"/>
    <mergeCell ref="F16:G16"/>
    <mergeCell ref="B17:E17"/>
    <mergeCell ref="F17:G17"/>
    <mergeCell ref="B18:E18"/>
    <mergeCell ref="F18:G18"/>
    <mergeCell ref="B24:F24"/>
    <mergeCell ref="B25:E25"/>
    <mergeCell ref="B26:F26"/>
    <mergeCell ref="B27:F27"/>
    <mergeCell ref="A28:G28"/>
    <mergeCell ref="A29:G29"/>
    <mergeCell ref="B19:E19"/>
    <mergeCell ref="F19:G19"/>
    <mergeCell ref="A20:G20"/>
    <mergeCell ref="A21:G21"/>
    <mergeCell ref="B22:F22"/>
    <mergeCell ref="B23:D23"/>
    <mergeCell ref="A79:A80"/>
    <mergeCell ref="A81:A82"/>
    <mergeCell ref="A1:G1"/>
    <mergeCell ref="A2:G2"/>
    <mergeCell ref="B3:D3"/>
    <mergeCell ref="E3:G3"/>
    <mergeCell ref="A4:B4"/>
    <mergeCell ref="C4:D4"/>
    <mergeCell ref="B12:E12"/>
    <mergeCell ref="F12:G12"/>
    <mergeCell ref="A13:G13"/>
    <mergeCell ref="B8:E8"/>
    <mergeCell ref="F8:G8"/>
    <mergeCell ref="B9:E9"/>
    <mergeCell ref="F9:G9"/>
    <mergeCell ref="A5:B5"/>
    <mergeCell ref="C5:D5"/>
    <mergeCell ref="F5:G5"/>
    <mergeCell ref="A6:G6"/>
    <mergeCell ref="A7:G7"/>
    <mergeCell ref="A10:A11"/>
    <mergeCell ref="B10:E11"/>
    <mergeCell ref="F10:G11"/>
    <mergeCell ref="A14:G14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L54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6"/>
  <sheetViews>
    <sheetView workbookViewId="0">
      <selection activeCell="A7" sqref="A7:G7"/>
    </sheetView>
  </sheetViews>
  <sheetFormatPr defaultRowHeight="12.5"/>
  <cols>
    <col min="2" max="2" width="23.1796875" customWidth="1"/>
    <col min="3" max="3" width="17.1796875" customWidth="1"/>
    <col min="4" max="4" width="22.81640625" customWidth="1"/>
    <col min="5" max="5" width="13.81640625" customWidth="1"/>
    <col min="6" max="6" width="17.81640625" customWidth="1"/>
    <col min="7" max="7" width="15.1796875" customWidth="1"/>
    <col min="8" max="8" width="13.1796875" bestFit="1" customWidth="1"/>
    <col min="9" max="9" width="14.54296875" bestFit="1" customWidth="1"/>
  </cols>
  <sheetData>
    <row r="1" spans="1:9" ht="13">
      <c r="A1" s="834" t="s">
        <v>107</v>
      </c>
      <c r="B1" s="834"/>
      <c r="C1" s="834"/>
      <c r="D1" s="834"/>
      <c r="E1" s="834"/>
      <c r="F1" s="834"/>
      <c r="G1" s="834"/>
      <c r="H1" s="346"/>
      <c r="I1" s="346"/>
    </row>
    <row r="2" spans="1:9" ht="13">
      <c r="A2" s="835" t="s">
        <v>108</v>
      </c>
      <c r="B2" s="835"/>
      <c r="C2" s="835"/>
      <c r="D2" s="835"/>
      <c r="E2" s="835"/>
      <c r="F2" s="835"/>
      <c r="G2" s="835"/>
      <c r="H2" s="346"/>
      <c r="I2" s="346"/>
    </row>
    <row r="3" spans="1:9">
      <c r="A3" s="352"/>
      <c r="B3" s="836" t="s">
        <v>109</v>
      </c>
      <c r="C3" s="836"/>
      <c r="D3" s="836"/>
      <c r="E3" s="837" t="str">
        <f>'DADOS DO LICITANTE'!H3</f>
        <v>13843.720002/2024-24</v>
      </c>
      <c r="F3" s="837"/>
      <c r="G3" s="890"/>
      <c r="H3" s="346"/>
      <c r="I3" s="346"/>
    </row>
    <row r="4" spans="1:9">
      <c r="A4" s="837" t="s">
        <v>110</v>
      </c>
      <c r="B4" s="837"/>
      <c r="C4" s="837" t="str">
        <f>'DADOS DO LICITANTE'!A1</f>
        <v>PREGÃO DRF/SJC Nº 01/2024</v>
      </c>
      <c r="D4" s="837"/>
      <c r="E4" s="347"/>
      <c r="F4" s="256">
        <f>'DADOS DO LICITANTE'!D3</f>
        <v>45428</v>
      </c>
      <c r="G4" s="71" t="str">
        <f>'DADOS DO LICITANTE'!F3</f>
        <v>09h30min</v>
      </c>
      <c r="H4" s="346"/>
      <c r="I4" s="346"/>
    </row>
    <row r="5" spans="1:9">
      <c r="A5" s="837" t="s">
        <v>111</v>
      </c>
      <c r="B5" s="837"/>
      <c r="C5" s="846">
        <f>'DADOS DO LICITANTE'!C4</f>
        <v>0</v>
      </c>
      <c r="D5" s="846"/>
      <c r="E5" s="352" t="s">
        <v>112</v>
      </c>
      <c r="F5" s="847">
        <f>'DADOS DO LICITANTE'!B5</f>
        <v>0</v>
      </c>
      <c r="G5" s="911"/>
      <c r="H5" s="346"/>
      <c r="I5" s="346"/>
    </row>
    <row r="6" spans="1:9" ht="13">
      <c r="A6" s="943"/>
      <c r="B6" s="943"/>
      <c r="C6" s="943"/>
      <c r="D6" s="943"/>
      <c r="E6" s="943"/>
      <c r="F6" s="943"/>
      <c r="G6" s="943"/>
      <c r="H6" s="346"/>
      <c r="I6" s="346"/>
    </row>
    <row r="7" spans="1:9" ht="13">
      <c r="A7" s="944" t="s">
        <v>113</v>
      </c>
      <c r="B7" s="944"/>
      <c r="C7" s="944"/>
      <c r="D7" s="944"/>
      <c r="E7" s="944"/>
      <c r="F7" s="944"/>
      <c r="G7" s="944"/>
      <c r="H7" s="346"/>
      <c r="I7" s="346"/>
    </row>
    <row r="8" spans="1:9">
      <c r="A8" s="614" t="s">
        <v>0</v>
      </c>
      <c r="B8" s="945" t="s">
        <v>114</v>
      </c>
      <c r="C8" s="945"/>
      <c r="D8" s="945"/>
      <c r="E8" s="945"/>
      <c r="F8" s="1085" t="str">
        <f>'DADOS DO LICITANTE'!H13</f>
        <v>xx/xx/2024</v>
      </c>
      <c r="G8" s="1085"/>
      <c r="H8" s="346"/>
      <c r="I8" s="346"/>
    </row>
    <row r="9" spans="1:9">
      <c r="A9" s="352" t="s">
        <v>1</v>
      </c>
      <c r="B9" s="837" t="s">
        <v>115</v>
      </c>
      <c r="C9" s="837"/>
      <c r="D9" s="837"/>
      <c r="E9" s="837"/>
      <c r="F9" s="837" t="s">
        <v>228</v>
      </c>
      <c r="G9" s="837"/>
      <c r="H9" s="346"/>
      <c r="I9" s="346"/>
    </row>
    <row r="10" spans="1:9">
      <c r="A10" s="837" t="s">
        <v>2</v>
      </c>
      <c r="B10" s="844" t="s">
        <v>116</v>
      </c>
      <c r="C10" s="844"/>
      <c r="D10" s="844"/>
      <c r="E10" s="844"/>
      <c r="F10" s="845">
        <f>'DADOS DO LICITANTE'!E11</f>
        <v>45292</v>
      </c>
      <c r="G10" s="845"/>
      <c r="H10" s="346"/>
      <c r="I10" s="346"/>
    </row>
    <row r="11" spans="1:9">
      <c r="A11" s="837"/>
      <c r="B11" s="844"/>
      <c r="C11" s="844"/>
      <c r="D11" s="844"/>
      <c r="E11" s="844"/>
      <c r="F11" s="845"/>
      <c r="G11" s="845"/>
      <c r="H11" s="346"/>
      <c r="I11" s="346"/>
    </row>
    <row r="12" spans="1:9">
      <c r="A12" s="352" t="s">
        <v>3</v>
      </c>
      <c r="B12" s="837" t="s">
        <v>117</v>
      </c>
      <c r="C12" s="837"/>
      <c r="D12" s="837"/>
      <c r="E12" s="837"/>
      <c r="F12" s="837">
        <v>12</v>
      </c>
      <c r="G12" s="837"/>
      <c r="H12" s="346"/>
      <c r="I12" s="346"/>
    </row>
    <row r="13" spans="1:9">
      <c r="A13" s="854"/>
      <c r="B13" s="854"/>
      <c r="C13" s="854"/>
      <c r="D13" s="854"/>
      <c r="E13" s="854"/>
      <c r="F13" s="854"/>
      <c r="G13" s="854"/>
      <c r="H13" s="346"/>
      <c r="I13" s="346"/>
    </row>
    <row r="14" spans="1:9">
      <c r="A14" s="855" t="s">
        <v>118</v>
      </c>
      <c r="B14" s="855"/>
      <c r="C14" s="855"/>
      <c r="D14" s="855"/>
      <c r="E14" s="855"/>
      <c r="F14" s="855"/>
      <c r="G14" s="855"/>
      <c r="H14" s="346"/>
      <c r="I14" s="346"/>
    </row>
    <row r="15" spans="1:9" ht="13">
      <c r="A15" s="835" t="s">
        <v>119</v>
      </c>
      <c r="B15" s="835"/>
      <c r="C15" s="835"/>
      <c r="D15" s="835"/>
      <c r="E15" s="835"/>
      <c r="F15" s="835"/>
      <c r="G15" s="835"/>
      <c r="H15" s="346"/>
      <c r="I15" s="346"/>
    </row>
    <row r="16" spans="1:9">
      <c r="A16" s="352">
        <v>1</v>
      </c>
      <c r="B16" s="846" t="s">
        <v>120</v>
      </c>
      <c r="C16" s="846"/>
      <c r="D16" s="846"/>
      <c r="E16" s="846"/>
      <c r="F16" s="844" t="s">
        <v>195</v>
      </c>
      <c r="G16" s="844"/>
      <c r="H16" s="346"/>
      <c r="I16" s="346"/>
    </row>
    <row r="17" spans="1:9" ht="13">
      <c r="A17" s="352">
        <v>2</v>
      </c>
      <c r="B17" s="846" t="s">
        <v>121</v>
      </c>
      <c r="C17" s="846"/>
      <c r="D17" s="846"/>
      <c r="E17" s="846"/>
      <c r="F17" s="912">
        <f>'DADOS DO LICITANTE'!D16</f>
        <v>1742.91</v>
      </c>
      <c r="G17" s="912"/>
      <c r="H17" s="346"/>
      <c r="I17" s="346"/>
    </row>
    <row r="18" spans="1:9">
      <c r="A18" s="34">
        <v>3</v>
      </c>
      <c r="B18" s="841" t="s">
        <v>4</v>
      </c>
      <c r="C18" s="841"/>
      <c r="D18" s="841"/>
      <c r="E18" s="841"/>
      <c r="F18" s="842" t="s">
        <v>186</v>
      </c>
      <c r="G18" s="842"/>
      <c r="H18" s="346"/>
      <c r="I18" s="346"/>
    </row>
    <row r="19" spans="1:9">
      <c r="A19" s="357">
        <v>4</v>
      </c>
      <c r="B19" s="846" t="s">
        <v>122</v>
      </c>
      <c r="C19" s="846"/>
      <c r="D19" s="846"/>
      <c r="E19" s="846"/>
      <c r="F19" s="913">
        <f>'DADOS DO LICITANTE'!E11</f>
        <v>45292</v>
      </c>
      <c r="G19" s="913"/>
      <c r="H19" s="346"/>
      <c r="I19" s="346"/>
    </row>
    <row r="20" spans="1:9">
      <c r="A20" s="702"/>
      <c r="B20" s="702"/>
      <c r="C20" s="702"/>
      <c r="D20" s="702"/>
      <c r="E20" s="702"/>
      <c r="F20" s="702"/>
      <c r="G20" s="702"/>
      <c r="H20" s="346"/>
      <c r="I20" s="346"/>
    </row>
    <row r="21" spans="1:9" ht="13">
      <c r="A21" s="835" t="s">
        <v>123</v>
      </c>
      <c r="B21" s="835"/>
      <c r="C21" s="835"/>
      <c r="D21" s="835"/>
      <c r="E21" s="835"/>
      <c r="F21" s="835"/>
      <c r="G21" s="835"/>
      <c r="H21" s="346"/>
      <c r="I21" s="346"/>
    </row>
    <row r="22" spans="1:9" ht="13">
      <c r="A22" s="358"/>
      <c r="B22" s="857" t="s">
        <v>124</v>
      </c>
      <c r="C22" s="857"/>
      <c r="D22" s="857"/>
      <c r="E22" s="857"/>
      <c r="F22" s="857"/>
      <c r="G22" s="37" t="s">
        <v>8</v>
      </c>
      <c r="H22" s="346"/>
      <c r="I22" s="346"/>
    </row>
    <row r="23" spans="1:9">
      <c r="A23" s="360" t="s">
        <v>0</v>
      </c>
      <c r="B23" s="846" t="s">
        <v>121</v>
      </c>
      <c r="C23" s="846"/>
      <c r="D23" s="846"/>
      <c r="E23" s="352"/>
      <c r="F23" s="352"/>
      <c r="G23" s="354">
        <f>F17</f>
        <v>1742.91</v>
      </c>
      <c r="H23" s="346"/>
      <c r="I23" s="346"/>
    </row>
    <row r="24" spans="1:9">
      <c r="A24" s="360" t="s">
        <v>125</v>
      </c>
      <c r="B24" s="846" t="s">
        <v>126</v>
      </c>
      <c r="C24" s="846"/>
      <c r="D24" s="846"/>
      <c r="E24" s="846"/>
      <c r="F24" s="846"/>
      <c r="G24" s="354"/>
      <c r="H24" s="346"/>
      <c r="I24" s="346"/>
    </row>
    <row r="25" spans="1:9">
      <c r="A25" s="360" t="s">
        <v>1</v>
      </c>
      <c r="B25" s="846" t="s">
        <v>127</v>
      </c>
      <c r="C25" s="846"/>
      <c r="D25" s="846"/>
      <c r="E25" s="846"/>
      <c r="F25" s="348">
        <v>0.3</v>
      </c>
      <c r="G25" s="354">
        <f>ROUND(G23*F25,2)</f>
        <v>522.87</v>
      </c>
      <c r="H25" s="346"/>
      <c r="I25" s="346"/>
    </row>
    <row r="26" spans="1:9">
      <c r="A26" s="360" t="s">
        <v>2</v>
      </c>
      <c r="B26" s="856" t="s">
        <v>128</v>
      </c>
      <c r="C26" s="856"/>
      <c r="D26" s="856"/>
      <c r="E26" s="856"/>
      <c r="F26" s="856"/>
      <c r="G26" s="354"/>
      <c r="H26" s="346"/>
      <c r="I26" s="346"/>
    </row>
    <row r="27" spans="1:9" ht="13">
      <c r="A27" s="360"/>
      <c r="B27" s="857" t="s">
        <v>129</v>
      </c>
      <c r="C27" s="857"/>
      <c r="D27" s="857"/>
      <c r="E27" s="857"/>
      <c r="F27" s="857"/>
      <c r="G27" s="41">
        <f>SUM(G23:G26)</f>
        <v>2265.7800000000002</v>
      </c>
      <c r="H27" s="346"/>
      <c r="I27" s="346"/>
    </row>
    <row r="28" spans="1:9">
      <c r="A28" s="687"/>
      <c r="B28" s="687"/>
      <c r="C28" s="687"/>
      <c r="D28" s="687"/>
      <c r="E28" s="687"/>
      <c r="F28" s="687"/>
      <c r="G28" s="687"/>
      <c r="H28" s="346"/>
      <c r="I28" s="346"/>
    </row>
    <row r="29" spans="1:9" ht="13">
      <c r="A29" s="858" t="s">
        <v>130</v>
      </c>
      <c r="B29" s="858"/>
      <c r="C29" s="858"/>
      <c r="D29" s="858"/>
      <c r="E29" s="858"/>
      <c r="F29" s="858"/>
      <c r="G29" s="858"/>
      <c r="H29" s="346"/>
      <c r="I29" s="346"/>
    </row>
    <row r="30" spans="1:9">
      <c r="A30" s="860" t="s">
        <v>131</v>
      </c>
      <c r="B30" s="860"/>
      <c r="C30" s="860"/>
      <c r="D30" s="860"/>
      <c r="E30" s="860"/>
      <c r="F30" s="860"/>
      <c r="G30" s="860"/>
      <c r="H30" s="346"/>
      <c r="I30" s="346"/>
    </row>
    <row r="31" spans="1:9" ht="13">
      <c r="A31" s="358" t="s">
        <v>7</v>
      </c>
      <c r="B31" s="857" t="s">
        <v>132</v>
      </c>
      <c r="C31" s="857"/>
      <c r="D31" s="857"/>
      <c r="E31" s="857"/>
      <c r="F31" s="857"/>
      <c r="G31" s="37" t="s">
        <v>8</v>
      </c>
      <c r="H31" s="346"/>
      <c r="I31" s="346"/>
    </row>
    <row r="32" spans="1:9">
      <c r="A32" s="360" t="s">
        <v>0</v>
      </c>
      <c r="B32" s="846" t="s">
        <v>132</v>
      </c>
      <c r="C32" s="846"/>
      <c r="D32" s="846"/>
      <c r="E32" s="846"/>
      <c r="F32" s="350">
        <v>8.3299999999999999E-2</v>
      </c>
      <c r="G32" s="587">
        <f>ROUND(F32*$G$27,2)</f>
        <v>188.74</v>
      </c>
      <c r="H32" s="346"/>
      <c r="I32" s="346"/>
    </row>
    <row r="33" spans="1:9">
      <c r="A33" s="360" t="s">
        <v>1</v>
      </c>
      <c r="B33" s="846" t="s">
        <v>133</v>
      </c>
      <c r="C33" s="846"/>
      <c r="D33" s="846"/>
      <c r="E33" s="846"/>
      <c r="F33" s="152">
        <v>3.0249999999999999E-2</v>
      </c>
      <c r="G33" s="587">
        <f>ROUND(F33*$G$27,2)</f>
        <v>68.540000000000006</v>
      </c>
      <c r="H33" s="346"/>
      <c r="I33" s="346"/>
    </row>
    <row r="34" spans="1:9" ht="13">
      <c r="A34" s="360"/>
      <c r="B34" s="857" t="s">
        <v>9</v>
      </c>
      <c r="C34" s="857"/>
      <c r="D34" s="857"/>
      <c r="E34" s="857"/>
      <c r="F34" s="43">
        <f>F32+F33</f>
        <v>0.11355</v>
      </c>
      <c r="G34" s="18">
        <f>SUM(G32:G33)</f>
        <v>257.28000000000003</v>
      </c>
      <c r="H34" s="346"/>
      <c r="I34" s="346"/>
    </row>
    <row r="35" spans="1:9">
      <c r="A35" s="356"/>
      <c r="B35" s="356"/>
      <c r="C35" s="356"/>
      <c r="D35" s="356"/>
      <c r="E35" s="356"/>
      <c r="F35" s="356"/>
      <c r="G35" s="356"/>
      <c r="H35" s="346"/>
      <c r="I35" s="346"/>
    </row>
    <row r="36" spans="1:9">
      <c r="A36" s="861" t="s">
        <v>134</v>
      </c>
      <c r="B36" s="861"/>
      <c r="C36" s="861"/>
      <c r="D36" s="861"/>
      <c r="E36" s="861"/>
      <c r="F36" s="861"/>
      <c r="G36" s="861"/>
      <c r="H36" s="346"/>
      <c r="I36" s="346"/>
    </row>
    <row r="37" spans="1:9" ht="13">
      <c r="A37" s="358" t="s">
        <v>10</v>
      </c>
      <c r="B37" s="857" t="s">
        <v>135</v>
      </c>
      <c r="C37" s="857"/>
      <c r="D37" s="857"/>
      <c r="E37" s="857"/>
      <c r="F37" s="358" t="s">
        <v>136</v>
      </c>
      <c r="G37" s="37" t="s">
        <v>137</v>
      </c>
      <c r="H37" s="346"/>
      <c r="I37" s="346"/>
    </row>
    <row r="38" spans="1:9">
      <c r="A38" s="360" t="s">
        <v>0</v>
      </c>
      <c r="B38" s="846" t="s">
        <v>12</v>
      </c>
      <c r="C38" s="846"/>
      <c r="D38" s="846"/>
      <c r="E38" s="846"/>
      <c r="F38" s="348">
        <v>0.2</v>
      </c>
      <c r="G38" s="67">
        <f t="shared" ref="G38:G46" si="0">ROUND(F38*($G$27+$G$34),2)</f>
        <v>504.61</v>
      </c>
      <c r="H38" s="346"/>
      <c r="I38" s="346"/>
    </row>
    <row r="39" spans="1:9">
      <c r="A39" s="360" t="s">
        <v>1</v>
      </c>
      <c r="B39" s="846" t="s">
        <v>13</v>
      </c>
      <c r="C39" s="846"/>
      <c r="D39" s="846"/>
      <c r="E39" s="846"/>
      <c r="F39" s="348">
        <v>2.5000000000000001E-2</v>
      </c>
      <c r="G39" s="67">
        <f t="shared" si="0"/>
        <v>63.08</v>
      </c>
      <c r="H39" s="346"/>
      <c r="I39" s="346"/>
    </row>
    <row r="40" spans="1:9">
      <c r="A40" s="360" t="s">
        <v>2</v>
      </c>
      <c r="B40" s="846" t="s">
        <v>14</v>
      </c>
      <c r="C40" s="846"/>
      <c r="D40" s="846"/>
      <c r="E40" s="846"/>
      <c r="F40" s="281">
        <v>1.4999999999999999E-2</v>
      </c>
      <c r="G40" s="67">
        <f t="shared" si="0"/>
        <v>37.85</v>
      </c>
      <c r="H40" s="346"/>
      <c r="I40" s="346"/>
    </row>
    <row r="41" spans="1:9">
      <c r="A41" s="360" t="s">
        <v>3</v>
      </c>
      <c r="B41" s="846" t="s">
        <v>15</v>
      </c>
      <c r="C41" s="846"/>
      <c r="D41" s="846"/>
      <c r="E41" s="846"/>
      <c r="F41" s="281">
        <v>0.01</v>
      </c>
      <c r="G41" s="67">
        <f t="shared" si="0"/>
        <v>25.23</v>
      </c>
      <c r="H41" s="346"/>
      <c r="I41" s="346"/>
    </row>
    <row r="42" spans="1:9">
      <c r="A42" s="360" t="s">
        <v>5</v>
      </c>
      <c r="B42" s="846" t="s">
        <v>16</v>
      </c>
      <c r="C42" s="846"/>
      <c r="D42" s="846"/>
      <c r="E42" s="846"/>
      <c r="F42" s="281">
        <v>6.000000000000001E-3</v>
      </c>
      <c r="G42" s="67">
        <f t="shared" si="0"/>
        <v>15.14</v>
      </c>
      <c r="H42" s="346"/>
      <c r="I42" s="346"/>
    </row>
    <row r="43" spans="1:9">
      <c r="A43" s="360" t="s">
        <v>6</v>
      </c>
      <c r="B43" s="846" t="s">
        <v>18</v>
      </c>
      <c r="C43" s="846"/>
      <c r="D43" s="846"/>
      <c r="E43" s="846"/>
      <c r="F43" s="348">
        <v>2E-3</v>
      </c>
      <c r="G43" s="67">
        <f t="shared" si="0"/>
        <v>5.05</v>
      </c>
      <c r="H43" s="346"/>
      <c r="I43" s="346"/>
    </row>
    <row r="44" spans="1:9">
      <c r="A44" s="360" t="s">
        <v>17</v>
      </c>
      <c r="B44" s="351" t="s">
        <v>138</v>
      </c>
      <c r="C44" s="28">
        <f>'DADOS DO LICITANTE'!B22</f>
        <v>0.03</v>
      </c>
      <c r="D44" s="351" t="s">
        <v>139</v>
      </c>
      <c r="E44" s="44">
        <f>'DADOS DO LICITANTE'!F22</f>
        <v>1</v>
      </c>
      <c r="F44" s="348">
        <f>C44*E44</f>
        <v>0.03</v>
      </c>
      <c r="G44" s="67">
        <f t="shared" si="0"/>
        <v>75.69</v>
      </c>
      <c r="H44" s="346"/>
      <c r="I44" s="346"/>
    </row>
    <row r="45" spans="1:9">
      <c r="A45" s="360" t="s">
        <v>19</v>
      </c>
      <c r="B45" s="846" t="s">
        <v>20</v>
      </c>
      <c r="C45" s="846"/>
      <c r="D45" s="846"/>
      <c r="E45" s="846"/>
      <c r="F45" s="348">
        <v>0.08</v>
      </c>
      <c r="G45" s="67">
        <f t="shared" si="0"/>
        <v>201.84</v>
      </c>
      <c r="H45" s="346"/>
      <c r="I45" s="346"/>
    </row>
    <row r="46" spans="1:9" ht="13">
      <c r="A46" s="360"/>
      <c r="B46" s="857" t="s">
        <v>9</v>
      </c>
      <c r="C46" s="857"/>
      <c r="D46" s="857"/>
      <c r="E46" s="857"/>
      <c r="F46" s="43">
        <f>SUM(F38:F45)</f>
        <v>0.36800000000000005</v>
      </c>
      <c r="G46" s="154">
        <f t="shared" si="0"/>
        <v>928.49</v>
      </c>
      <c r="H46" s="346"/>
      <c r="I46" s="346"/>
    </row>
    <row r="47" spans="1:9">
      <c r="A47" s="346" t="s">
        <v>140</v>
      </c>
      <c r="B47" s="863" t="s">
        <v>141</v>
      </c>
      <c r="C47" s="863"/>
      <c r="D47" s="863"/>
      <c r="E47" s="863"/>
      <c r="F47" s="863"/>
      <c r="G47" s="863"/>
      <c r="H47" s="346"/>
      <c r="I47" s="346"/>
    </row>
    <row r="48" spans="1:9">
      <c r="A48" s="346"/>
      <c r="B48" s="45"/>
      <c r="C48" s="346"/>
      <c r="D48" s="346"/>
      <c r="E48" s="346"/>
      <c r="F48" s="346"/>
      <c r="G48" s="346"/>
      <c r="H48" s="346"/>
      <c r="I48" s="346"/>
    </row>
    <row r="49" spans="1:9">
      <c r="A49" s="345"/>
      <c r="B49" s="345"/>
      <c r="C49" s="345"/>
      <c r="D49" s="345"/>
      <c r="E49" s="345"/>
      <c r="F49" s="345"/>
      <c r="G49" s="46" t="s">
        <v>271</v>
      </c>
      <c r="H49" s="47" t="s">
        <v>272</v>
      </c>
      <c r="I49" s="47" t="s">
        <v>276</v>
      </c>
    </row>
    <row r="50" spans="1:9" ht="13">
      <c r="A50" s="864" t="s">
        <v>21</v>
      </c>
      <c r="B50" s="864"/>
      <c r="C50" s="864"/>
      <c r="D50" s="864"/>
      <c r="E50" s="864"/>
      <c r="F50" s="864"/>
      <c r="G50" s="864"/>
      <c r="H50" s="864"/>
      <c r="I50" s="864"/>
    </row>
    <row r="51" spans="1:9" ht="13">
      <c r="A51" s="366" t="s">
        <v>22</v>
      </c>
      <c r="B51" s="865" t="s">
        <v>142</v>
      </c>
      <c r="C51" s="865"/>
      <c r="D51" s="865"/>
      <c r="E51" s="865"/>
      <c r="F51" s="865"/>
      <c r="G51" s="258" t="s">
        <v>137</v>
      </c>
      <c r="H51" s="258" t="s">
        <v>137</v>
      </c>
      <c r="I51" s="258" t="s">
        <v>137</v>
      </c>
    </row>
    <row r="52" spans="1:9">
      <c r="A52" s="49" t="s">
        <v>0</v>
      </c>
      <c r="B52" s="846" t="s">
        <v>143</v>
      </c>
      <c r="C52" s="846"/>
      <c r="D52" s="846"/>
      <c r="E52" s="846"/>
      <c r="F52" s="862"/>
      <c r="G52" s="364">
        <f>'DADOS DO LICITANTE'!L40</f>
        <v>121.3758</v>
      </c>
      <c r="H52" s="364">
        <f>'DADOS DO LICITANTE'!L41</f>
        <v>164.8278</v>
      </c>
      <c r="I52" s="364">
        <f>'DADOS DO LICITANTE'!L46</f>
        <v>99.649799999999999</v>
      </c>
    </row>
    <row r="53" spans="1:9">
      <c r="A53" s="49" t="s">
        <v>1</v>
      </c>
      <c r="B53" s="846" t="s">
        <v>43</v>
      </c>
      <c r="C53" s="846"/>
      <c r="D53" s="846"/>
      <c r="E53" s="846"/>
      <c r="F53" s="862"/>
      <c r="G53" s="364">
        <f>'DADOS DO LICITANTE'!$I26</f>
        <v>400.84</v>
      </c>
      <c r="H53" s="364">
        <f>'DADOS DO LICITANTE'!$I26</f>
        <v>400.84</v>
      </c>
      <c r="I53" s="364">
        <f>'DADOS DO LICITANTE'!$I26</f>
        <v>400.84</v>
      </c>
    </row>
    <row r="54" spans="1:9">
      <c r="A54" s="49" t="s">
        <v>2</v>
      </c>
      <c r="B54" s="846" t="s">
        <v>53</v>
      </c>
      <c r="C54" s="846"/>
      <c r="D54" s="846"/>
      <c r="E54" s="846"/>
      <c r="F54" s="862"/>
      <c r="G54" s="364">
        <f>'DADOS DO LICITANTE'!$I33</f>
        <v>137.79</v>
      </c>
      <c r="H54" s="364">
        <f>'DADOS DO LICITANTE'!$I33</f>
        <v>137.79</v>
      </c>
      <c r="I54" s="364">
        <f>'DADOS DO LICITANTE'!$I33</f>
        <v>137.79</v>
      </c>
    </row>
    <row r="55" spans="1:9">
      <c r="A55" s="49" t="s">
        <v>3</v>
      </c>
      <c r="B55" s="846" t="s">
        <v>48</v>
      </c>
      <c r="C55" s="846"/>
      <c r="D55" s="846"/>
      <c r="E55" s="846"/>
      <c r="F55" s="862"/>
      <c r="G55" s="364">
        <f>'DADOS DO LICITANTE'!$I28</f>
        <v>0</v>
      </c>
      <c r="H55" s="364">
        <f>'DADOS DO LICITANTE'!$I28</f>
        <v>0</v>
      </c>
      <c r="I55" s="364">
        <f>'DADOS DO LICITANTE'!$I28</f>
        <v>0</v>
      </c>
    </row>
    <row r="56" spans="1:9">
      <c r="A56" s="49" t="s">
        <v>5</v>
      </c>
      <c r="B56" s="846" t="s">
        <v>50</v>
      </c>
      <c r="C56" s="846"/>
      <c r="D56" s="846"/>
      <c r="E56" s="846"/>
      <c r="F56" s="862"/>
      <c r="G56" s="364">
        <f>'DADOS DO LICITANTE'!$I30</f>
        <v>4.9419999999999999E-2</v>
      </c>
      <c r="H56" s="364">
        <f>'DADOS DO LICITANTE'!$I30</f>
        <v>4.9419999999999999E-2</v>
      </c>
      <c r="I56" s="364">
        <f>'DADOS DO LICITANTE'!$I30</f>
        <v>4.9419999999999999E-2</v>
      </c>
    </row>
    <row r="57" spans="1:9">
      <c r="A57" s="49" t="s">
        <v>6</v>
      </c>
      <c r="B57" s="846" t="s">
        <v>191</v>
      </c>
      <c r="C57" s="846"/>
      <c r="D57" s="846"/>
      <c r="E57" s="846"/>
      <c r="F57" s="862"/>
      <c r="G57" s="364">
        <f>'DADOS DO LICITANTE'!$I32</f>
        <v>33.65</v>
      </c>
      <c r="H57" s="364">
        <f>'DADOS DO LICITANTE'!$I32</f>
        <v>33.65</v>
      </c>
      <c r="I57" s="364">
        <f>'DADOS DO LICITANTE'!$I32</f>
        <v>33.65</v>
      </c>
    </row>
    <row r="58" spans="1:9">
      <c r="A58" s="49" t="s">
        <v>17</v>
      </c>
      <c r="B58" s="872" t="str">
        <f>'DADOS DO LICITANTE'!A34</f>
        <v>Benefício Social Sindical</v>
      </c>
      <c r="C58" s="873"/>
      <c r="D58" s="873"/>
      <c r="E58" s="873"/>
      <c r="F58" s="939"/>
      <c r="G58" s="364">
        <f>'DADOS DO LICITANTE'!$I35</f>
        <v>15.2</v>
      </c>
      <c r="H58" s="364">
        <f>'DADOS DO LICITANTE'!$I35</f>
        <v>15.2</v>
      </c>
      <c r="I58" s="364">
        <f>'DADOS DO LICITANTE'!$I35</f>
        <v>15.2</v>
      </c>
    </row>
    <row r="59" spans="1:9" ht="13">
      <c r="A59" s="360"/>
      <c r="B59" s="857" t="s">
        <v>144</v>
      </c>
      <c r="C59" s="857"/>
      <c r="D59" s="857"/>
      <c r="E59" s="857"/>
      <c r="F59" s="857"/>
      <c r="G59" s="262">
        <f>ROUND(SUM(G52:G58),2)</f>
        <v>708.91</v>
      </c>
      <c r="H59" s="262">
        <f t="shared" ref="H59:I59" si="1">ROUND(SUM(H52:H58),2)</f>
        <v>752.36</v>
      </c>
      <c r="I59" s="262">
        <f t="shared" si="1"/>
        <v>687.18</v>
      </c>
    </row>
    <row r="60" spans="1:9">
      <c r="A60" s="346"/>
      <c r="B60" s="687"/>
      <c r="C60" s="687"/>
      <c r="D60" s="687"/>
      <c r="E60" s="687"/>
      <c r="F60" s="687"/>
      <c r="G60" s="687"/>
      <c r="H60" s="346"/>
      <c r="I60" s="346"/>
    </row>
    <row r="61" spans="1:9" ht="13">
      <c r="A61" s="867" t="s">
        <v>145</v>
      </c>
      <c r="B61" s="867"/>
      <c r="C61" s="867"/>
      <c r="D61" s="867"/>
      <c r="E61" s="867"/>
      <c r="F61" s="867"/>
      <c r="G61" s="867"/>
      <c r="H61" s="867"/>
      <c r="I61" s="867"/>
    </row>
    <row r="62" spans="1:9">
      <c r="A62" s="984" t="s">
        <v>0</v>
      </c>
      <c r="B62" s="980" t="s">
        <v>146</v>
      </c>
      <c r="C62" s="980"/>
      <c r="D62" s="980"/>
      <c r="E62" s="275" t="s">
        <v>147</v>
      </c>
      <c r="F62" s="977">
        <f>E63/30/12*D63</f>
        <v>4.1666666666666666E-3</v>
      </c>
      <c r="G62" s="975">
        <f>ROUND(($G$27+$G$34)*$F$62,2)</f>
        <v>10.51</v>
      </c>
      <c r="H62" s="975">
        <f t="shared" ref="H62:I62" si="2">ROUND(($G$27+$G$34)*$F$62,2)</f>
        <v>10.51</v>
      </c>
      <c r="I62" s="975">
        <f t="shared" si="2"/>
        <v>10.51</v>
      </c>
    </row>
    <row r="63" spans="1:9">
      <c r="A63" s="985"/>
      <c r="B63" s="979" t="s">
        <v>148</v>
      </c>
      <c r="C63" s="979"/>
      <c r="D63" s="273">
        <f>'DADOS DO LICITANTE'!E52</f>
        <v>0.05</v>
      </c>
      <c r="E63" s="274">
        <v>30</v>
      </c>
      <c r="F63" s="978"/>
      <c r="G63" s="976"/>
      <c r="H63" s="976"/>
      <c r="I63" s="976"/>
    </row>
    <row r="64" spans="1:9">
      <c r="A64" s="49" t="s">
        <v>1</v>
      </c>
      <c r="B64" s="981" t="s">
        <v>149</v>
      </c>
      <c r="C64" s="982"/>
      <c r="D64" s="982"/>
      <c r="E64" s="982"/>
      <c r="F64" s="983"/>
      <c r="G64" s="362">
        <f>ROUND(G62*$F$45,2)</f>
        <v>0.84</v>
      </c>
      <c r="H64" s="592">
        <f t="shared" ref="H64:I64" si="3">ROUND(H62*$F$45,2)</f>
        <v>0.84</v>
      </c>
      <c r="I64" s="592">
        <f t="shared" si="3"/>
        <v>0.84</v>
      </c>
    </row>
    <row r="65" spans="1:9">
      <c r="A65" s="49" t="s">
        <v>2</v>
      </c>
      <c r="B65" s="862" t="s">
        <v>416</v>
      </c>
      <c r="C65" s="884"/>
      <c r="D65" s="577">
        <f>'DADOS DO LICITANTE'!E53</f>
        <v>1</v>
      </c>
      <c r="E65" s="576"/>
      <c r="F65" s="350">
        <f>7/30/12</f>
        <v>1.9444444444444445E-2</v>
      </c>
      <c r="G65" s="353">
        <f>ROUND($G$27*$F$65*$D$65,2)</f>
        <v>44.06</v>
      </c>
      <c r="H65" s="585">
        <f t="shared" ref="H65:I65" si="4">ROUND($G$27*$F$65*$D$65,2)</f>
        <v>44.06</v>
      </c>
      <c r="I65" s="585">
        <f t="shared" si="4"/>
        <v>44.06</v>
      </c>
    </row>
    <row r="66" spans="1:9">
      <c r="A66" s="49" t="s">
        <v>3</v>
      </c>
      <c r="B66" s="885" t="s">
        <v>150</v>
      </c>
      <c r="C66" s="886"/>
      <c r="D66" s="886"/>
      <c r="E66" s="886"/>
      <c r="F66" s="883"/>
      <c r="G66" s="354">
        <f>ROUND(G65*$F$46,2)</f>
        <v>16.21</v>
      </c>
      <c r="H66" s="586">
        <f t="shared" ref="H66:I66" si="5">ROUND(H65*$F$46,2)</f>
        <v>16.21</v>
      </c>
      <c r="I66" s="586">
        <f t="shared" si="5"/>
        <v>16.21</v>
      </c>
    </row>
    <row r="67" spans="1:9">
      <c r="A67" s="49" t="s">
        <v>5</v>
      </c>
      <c r="B67" s="841" t="s">
        <v>417</v>
      </c>
      <c r="C67" s="841"/>
      <c r="D67" s="841"/>
      <c r="E67" s="841"/>
      <c r="F67" s="575">
        <v>0.04</v>
      </c>
      <c r="G67" s="353">
        <f>ROUND($G$27*$F$67,2)</f>
        <v>90.63</v>
      </c>
      <c r="H67" s="585">
        <f t="shared" ref="H67:I67" si="6">ROUND($G$27*$F$67,2)</f>
        <v>90.63</v>
      </c>
      <c r="I67" s="585">
        <f t="shared" si="6"/>
        <v>90.63</v>
      </c>
    </row>
    <row r="68" spans="1:9" ht="13">
      <c r="A68" s="360"/>
      <c r="B68" s="887" t="s">
        <v>9</v>
      </c>
      <c r="C68" s="888"/>
      <c r="D68" s="888"/>
      <c r="E68" s="888"/>
      <c r="F68" s="889"/>
      <c r="G68" s="41">
        <f>ROUND(SUM(G62:G67),2)</f>
        <v>162.25</v>
      </c>
      <c r="H68" s="41">
        <f>ROUND(SUM(H62:H67),2)</f>
        <v>162.25</v>
      </c>
      <c r="I68" s="41">
        <f>ROUND(SUM(I62:I67),2)</f>
        <v>162.25</v>
      </c>
    </row>
    <row r="69" spans="1:9">
      <c r="A69" s="863" t="s">
        <v>414</v>
      </c>
      <c r="B69" s="863"/>
      <c r="C69" s="863"/>
      <c r="D69" s="863"/>
      <c r="E69" s="863"/>
      <c r="F69" s="863"/>
      <c r="G69" s="863"/>
      <c r="H69" s="863"/>
      <c r="I69" s="863"/>
    </row>
    <row r="70" spans="1:9">
      <c r="A70" s="680"/>
      <c r="B70" s="680"/>
      <c r="C70" s="680"/>
      <c r="D70" s="680"/>
      <c r="E70" s="680"/>
      <c r="F70" s="680"/>
      <c r="G70" s="680"/>
      <c r="H70" s="346"/>
      <c r="I70" s="346"/>
    </row>
    <row r="71" spans="1:9" ht="13">
      <c r="A71" s="867" t="s">
        <v>151</v>
      </c>
      <c r="B71" s="867"/>
      <c r="C71" s="867"/>
      <c r="D71" s="867"/>
      <c r="E71" s="867"/>
      <c r="F71" s="867"/>
      <c r="G71" s="867"/>
      <c r="H71" s="867"/>
      <c r="I71" s="867"/>
    </row>
    <row r="72" spans="1:9">
      <c r="A72" s="924" t="s">
        <v>152</v>
      </c>
      <c r="B72" s="924"/>
      <c r="C72" s="924"/>
      <c r="D72" s="924"/>
      <c r="E72" s="924"/>
      <c r="F72" s="924"/>
      <c r="G72" s="924"/>
      <c r="H72" s="924"/>
      <c r="I72" s="924"/>
    </row>
    <row r="73" spans="1:9" ht="13">
      <c r="A73" s="359"/>
      <c r="B73" s="871" t="s">
        <v>153</v>
      </c>
      <c r="C73" s="871"/>
      <c r="D73" s="871"/>
      <c r="E73" s="871"/>
      <c r="F73" s="871"/>
      <c r="G73" s="51" t="s">
        <v>137</v>
      </c>
      <c r="H73" s="51" t="s">
        <v>137</v>
      </c>
      <c r="I73" s="51" t="s">
        <v>137</v>
      </c>
    </row>
    <row r="74" spans="1:9" ht="12.5" customHeight="1">
      <c r="A74" s="360" t="s">
        <v>0</v>
      </c>
      <c r="B74" s="868" t="s">
        <v>154</v>
      </c>
      <c r="C74" s="869"/>
      <c r="D74" s="869"/>
      <c r="E74" s="870"/>
      <c r="F74" s="153">
        <v>9.0749999999999997E-2</v>
      </c>
      <c r="G74" s="349">
        <f>ROUND(($G$27*$F$74)+(($G$27*$F$74)*$F$46),2)</f>
        <v>281.29000000000002</v>
      </c>
      <c r="H74" s="587">
        <f t="shared" ref="H74:I74" si="7">ROUND(($G$27*$F$74)+(($G$27*$F$74)*$F$46),2)</f>
        <v>281.29000000000002</v>
      </c>
      <c r="I74" s="587">
        <f t="shared" si="7"/>
        <v>281.29000000000002</v>
      </c>
    </row>
    <row r="75" spans="1:9">
      <c r="A75" s="832" t="s">
        <v>1</v>
      </c>
      <c r="B75" s="846" t="s">
        <v>155</v>
      </c>
      <c r="C75" s="846"/>
      <c r="D75" s="846"/>
      <c r="E75" s="846"/>
      <c r="F75" s="878">
        <f>'DADOS DO LICITANTE'!G58</f>
        <v>2.7378507871321013E-3</v>
      </c>
      <c r="G75" s="866">
        <f>ROUND($F$75*($G$27+$G$34+$G$46+G59-G52-G53+G68+G74),2)</f>
        <v>11.18</v>
      </c>
      <c r="H75" s="866">
        <f t="shared" ref="H75:I75" si="8">ROUND($F$75*($G$27+$G$34+$G$46+H59-H52-H53+H68+H74),2)</f>
        <v>11.18</v>
      </c>
      <c r="I75" s="866">
        <f t="shared" si="8"/>
        <v>11.18</v>
      </c>
    </row>
    <row r="76" spans="1:9">
      <c r="A76" s="833"/>
      <c r="B76" s="836" t="s">
        <v>156</v>
      </c>
      <c r="C76" s="836"/>
      <c r="D76" s="836"/>
      <c r="E76" s="355">
        <f>'DADOS DO LICITANTE'!E58</f>
        <v>1</v>
      </c>
      <c r="F76" s="878"/>
      <c r="G76" s="866"/>
      <c r="H76" s="866"/>
      <c r="I76" s="866"/>
    </row>
    <row r="77" spans="1:9">
      <c r="A77" s="832" t="s">
        <v>2</v>
      </c>
      <c r="B77" s="846" t="s">
        <v>157</v>
      </c>
      <c r="C77" s="846"/>
      <c r="D77" s="352" t="s">
        <v>158</v>
      </c>
      <c r="E77" s="355">
        <f>'DADOS DO LICITANTE'!E59</f>
        <v>5</v>
      </c>
      <c r="F77" s="878">
        <f>'DADOS DO LICITANTE'!G59</f>
        <v>2.0533880903490757E-4</v>
      </c>
      <c r="G77" s="866">
        <f>ROUND($F$77*($G$27+$G$34+$G$46+G59-G52-G53+G68+G74),2)</f>
        <v>0.84</v>
      </c>
      <c r="H77" s="866">
        <f t="shared" ref="H77:I77" si="9">ROUND($F$77*($G$27+$G$34+$G$46+H59-H52-H53+H68+H74),2)</f>
        <v>0.84</v>
      </c>
      <c r="I77" s="866">
        <f t="shared" si="9"/>
        <v>0.84</v>
      </c>
    </row>
    <row r="78" spans="1:9">
      <c r="A78" s="833"/>
      <c r="B78" s="836" t="s">
        <v>148</v>
      </c>
      <c r="C78" s="836"/>
      <c r="D78" s="836"/>
      <c r="E78" s="28">
        <f>'DADOS DO LICITANTE'!F59</f>
        <v>1.4999999999999999E-2</v>
      </c>
      <c r="F78" s="878">
        <v>0.121</v>
      </c>
      <c r="G78" s="866"/>
      <c r="H78" s="866"/>
      <c r="I78" s="866"/>
    </row>
    <row r="79" spans="1:9">
      <c r="A79" s="832" t="s">
        <v>3</v>
      </c>
      <c r="B79" s="846" t="s">
        <v>159</v>
      </c>
      <c r="C79" s="846"/>
      <c r="D79" s="352" t="s">
        <v>160</v>
      </c>
      <c r="E79" s="355">
        <f>'DADOS DO LICITANTE'!E60</f>
        <v>0.97</v>
      </c>
      <c r="F79" s="878">
        <f>'DADOS DO LICITANTE'!G60</f>
        <v>2.6557152635181382E-3</v>
      </c>
      <c r="G79" s="866">
        <f>ROUND($F$79*($G$27+$G$34+$G$46+G59-G52-G53+G68+G74),2)</f>
        <v>10.84</v>
      </c>
      <c r="H79" s="866">
        <f t="shared" ref="H79:I79" si="10">ROUND($F$79*($G$27+$G$34+$G$46+H59-H52-H53+H68+H74),2)</f>
        <v>10.84</v>
      </c>
      <c r="I79" s="866">
        <f t="shared" si="10"/>
        <v>10.84</v>
      </c>
    </row>
    <row r="80" spans="1:9">
      <c r="A80" s="833"/>
      <c r="B80" s="846" t="s">
        <v>148</v>
      </c>
      <c r="C80" s="846"/>
      <c r="D80" s="846"/>
      <c r="E80" s="28">
        <f>'DADOS DO LICITANTE'!F60</f>
        <v>1</v>
      </c>
      <c r="F80" s="878"/>
      <c r="G80" s="866"/>
      <c r="H80" s="866"/>
      <c r="I80" s="866"/>
    </row>
    <row r="81" spans="1:9">
      <c r="A81" s="832" t="s">
        <v>5</v>
      </c>
      <c r="B81" s="846" t="s">
        <v>161</v>
      </c>
      <c r="C81" s="846"/>
      <c r="D81" s="352" t="s">
        <v>162</v>
      </c>
      <c r="E81" s="28">
        <f>'DADOS DO LICITANTE'!F61</f>
        <v>0.02</v>
      </c>
      <c r="F81" s="878">
        <f>'DADOS DO LICITANTE'!G61</f>
        <v>6.570841889117043E-3</v>
      </c>
      <c r="G81" s="866">
        <f>ROUND((($G$27*0.121)+($G$27*0.121)*$F$46)*$F$81+(($G$27*$F$45+$F$46*$G$32+G59+G68-G52-G53)*$F$81),2)</f>
        <v>6.4</v>
      </c>
      <c r="H81" s="866">
        <f t="shared" ref="H81:I81" si="11">ROUND((($G$27*0.121)+($G$27*0.121)*$F$46)*$F$81+(($G$27*$F$45+$F$46*$G$32+H59+H68-H52-H53)*$F$81),2)</f>
        <v>6.4</v>
      </c>
      <c r="I81" s="866">
        <f t="shared" si="11"/>
        <v>6.4</v>
      </c>
    </row>
    <row r="82" spans="1:9">
      <c r="A82" s="833"/>
      <c r="B82" s="890"/>
      <c r="C82" s="890"/>
      <c r="D82" s="588" t="s">
        <v>163</v>
      </c>
      <c r="E82" s="598">
        <v>4</v>
      </c>
      <c r="F82" s="878"/>
      <c r="G82" s="866"/>
      <c r="H82" s="866"/>
      <c r="I82" s="866"/>
    </row>
    <row r="83" spans="1:9">
      <c r="A83" s="595" t="s">
        <v>6</v>
      </c>
      <c r="B83" s="841" t="s">
        <v>236</v>
      </c>
      <c r="C83" s="841"/>
      <c r="D83" s="593" t="s">
        <v>158</v>
      </c>
      <c r="E83" s="593">
        <v>3</v>
      </c>
      <c r="F83" s="597">
        <f>'DADOS DO LICITANTE'!G62</f>
        <v>8.2135523613963042E-3</v>
      </c>
      <c r="G83" s="98">
        <f>ROUND($F$83*($G$27+$G$34+$G$46+G59-G52-G53+G68+G74),2)</f>
        <v>33.53</v>
      </c>
      <c r="H83" s="98">
        <f t="shared" ref="H83:I83" si="12">ROUND($F$83*($G$27+$G$34+$G$46+H59-H52-H53+H68+H74),2)</f>
        <v>33.53</v>
      </c>
      <c r="I83" s="98">
        <f t="shared" si="12"/>
        <v>33.53</v>
      </c>
    </row>
    <row r="84" spans="1:9">
      <c r="A84" s="360" t="s">
        <v>17</v>
      </c>
      <c r="B84" s="907" t="str">
        <f>'DADOS DO LICITANTE'!C63</f>
        <v>Outros</v>
      </c>
      <c r="C84" s="907"/>
      <c r="D84" s="907"/>
      <c r="E84" s="907"/>
      <c r="F84" s="350">
        <f>'DADOS DO LICITANTE'!G63</f>
        <v>0</v>
      </c>
      <c r="G84" s="349">
        <f>ROUND($F$84*($G$27+$G$34+$G$46+G59-G52-G53+G68+G74),2)</f>
        <v>0</v>
      </c>
      <c r="H84" s="587">
        <f t="shared" ref="H84:I84" si="13">ROUND($F$84*($G$27+$G$34+$G$46+H59-H52-H53+H68+H74),2)</f>
        <v>0</v>
      </c>
      <c r="I84" s="587">
        <f t="shared" si="13"/>
        <v>0</v>
      </c>
    </row>
    <row r="85" spans="1:9" ht="13">
      <c r="A85" s="898" t="s">
        <v>9</v>
      </c>
      <c r="B85" s="898"/>
      <c r="C85" s="898"/>
      <c r="D85" s="898"/>
      <c r="E85" s="898"/>
      <c r="F85" s="898"/>
      <c r="G85" s="18">
        <f>SUM(G74:G84)</f>
        <v>344.07999999999993</v>
      </c>
      <c r="H85" s="18">
        <f t="shared" ref="H85:I85" si="14">SUM(H74:H84)</f>
        <v>344.07999999999993</v>
      </c>
      <c r="I85" s="18">
        <f t="shared" si="14"/>
        <v>344.07999999999993</v>
      </c>
    </row>
    <row r="86" spans="1:9">
      <c r="A86" s="687"/>
      <c r="B86" s="687"/>
      <c r="C86" s="687"/>
      <c r="D86" s="687"/>
      <c r="E86" s="687"/>
      <c r="F86" s="687"/>
      <c r="G86" s="687"/>
      <c r="H86" s="346"/>
      <c r="I86" s="346"/>
    </row>
    <row r="87" spans="1:9" ht="13">
      <c r="A87" s="867" t="s">
        <v>164</v>
      </c>
      <c r="B87" s="867"/>
      <c r="C87" s="867"/>
      <c r="D87" s="867"/>
      <c r="E87" s="867"/>
      <c r="F87" s="867"/>
      <c r="G87" s="867"/>
      <c r="H87" s="867"/>
      <c r="I87" s="867"/>
    </row>
    <row r="88" spans="1:9" ht="13">
      <c r="A88" s="359"/>
      <c r="B88" s="871" t="s">
        <v>165</v>
      </c>
      <c r="C88" s="871"/>
      <c r="D88" s="871"/>
      <c r="E88" s="871"/>
      <c r="F88" s="871"/>
      <c r="G88" s="263" t="s">
        <v>8</v>
      </c>
      <c r="H88" s="263" t="s">
        <v>8</v>
      </c>
      <c r="I88" s="263" t="s">
        <v>8</v>
      </c>
    </row>
    <row r="89" spans="1:9">
      <c r="A89" s="360" t="s">
        <v>0</v>
      </c>
      <c r="B89" s="846" t="s">
        <v>166</v>
      </c>
      <c r="C89" s="846"/>
      <c r="D89" s="846"/>
      <c r="E89" s="846"/>
      <c r="F89" s="862"/>
      <c r="G89" s="363">
        <f>UNIFORMES!E11</f>
        <v>116.11416666666666</v>
      </c>
      <c r="H89" s="363">
        <f>UNIFORMES!E11</f>
        <v>116.11416666666666</v>
      </c>
      <c r="I89" s="363">
        <f>UNIFORMES!E11</f>
        <v>116.11416666666666</v>
      </c>
    </row>
    <row r="90" spans="1:9">
      <c r="A90" s="360" t="s">
        <v>1</v>
      </c>
      <c r="B90" s="846" t="s">
        <v>285</v>
      </c>
      <c r="C90" s="846"/>
      <c r="D90" s="846"/>
      <c r="E90" s="846"/>
      <c r="F90" s="862"/>
      <c r="G90" s="363">
        <f>ROUND(($G$27+$G$34+$G$46+G59+G68+G85+G89)*0.1,2)</f>
        <v>478.29</v>
      </c>
      <c r="H90" s="363">
        <f>ROUND(($G$27+$G$34+$G$46+H59+H68+H85+H89)*0.1,2)</f>
        <v>482.64</v>
      </c>
      <c r="I90" s="363">
        <f>ROUND(($G$27+$G$34+$G$46+I59+I68+I85+I89)*0.1,2)</f>
        <v>476.12</v>
      </c>
    </row>
    <row r="91" spans="1:9">
      <c r="A91" s="360" t="s">
        <v>2</v>
      </c>
      <c r="B91" s="903" t="str">
        <f>'DADOS DO LICITANTE'!A69</f>
        <v>Outros (especificar)</v>
      </c>
      <c r="C91" s="903"/>
      <c r="D91" s="903"/>
      <c r="E91" s="903"/>
      <c r="F91" s="1002"/>
      <c r="G91" s="264">
        <f>'DADOS DO LICITANTE'!G69</f>
        <v>0</v>
      </c>
      <c r="H91" s="264">
        <f>'DADOS DO LICITANTE'!G69</f>
        <v>0</v>
      </c>
      <c r="I91" s="264">
        <f>'DADOS DO LICITANTE'!G69</f>
        <v>0</v>
      </c>
    </row>
    <row r="92" spans="1:9" ht="13">
      <c r="A92" s="360"/>
      <c r="B92" s="857" t="s">
        <v>167</v>
      </c>
      <c r="C92" s="857"/>
      <c r="D92" s="857"/>
      <c r="E92" s="857"/>
      <c r="F92" s="904"/>
      <c r="G92" s="265">
        <f>G89+G90+G91</f>
        <v>594.4041666666667</v>
      </c>
      <c r="H92" s="265">
        <f t="shared" ref="H92:I92" si="15">H89+H90+H91</f>
        <v>598.75416666666661</v>
      </c>
      <c r="I92" s="265">
        <f t="shared" si="15"/>
        <v>592.23416666666662</v>
      </c>
    </row>
    <row r="93" spans="1:9">
      <c r="A93" s="346" t="s">
        <v>168</v>
      </c>
      <c r="B93" s="901" t="s">
        <v>169</v>
      </c>
      <c r="C93" s="901"/>
      <c r="D93" s="901"/>
      <c r="E93" s="901"/>
      <c r="F93" s="901"/>
      <c r="G93" s="1003"/>
      <c r="H93" s="1003"/>
      <c r="I93" s="1003"/>
    </row>
    <row r="94" spans="1:9">
      <c r="A94" s="900"/>
      <c r="B94" s="900"/>
      <c r="C94" s="900"/>
      <c r="D94" s="900"/>
      <c r="E94" s="900"/>
      <c r="F94" s="900"/>
      <c r="G94" s="900"/>
      <c r="H94" s="900"/>
      <c r="I94" s="900"/>
    </row>
    <row r="95" spans="1:9" ht="13">
      <c r="A95" s="867" t="s">
        <v>170</v>
      </c>
      <c r="B95" s="867"/>
      <c r="C95" s="867"/>
      <c r="D95" s="867"/>
      <c r="E95" s="867"/>
      <c r="F95" s="867"/>
      <c r="G95" s="867"/>
      <c r="H95" s="867"/>
      <c r="I95" s="867"/>
    </row>
    <row r="96" spans="1:9" ht="13">
      <c r="A96" s="303" t="s">
        <v>0</v>
      </c>
      <c r="B96" s="902" t="s">
        <v>123</v>
      </c>
      <c r="C96" s="902"/>
      <c r="D96" s="902"/>
      <c r="E96" s="902"/>
      <c r="F96" s="1001"/>
      <c r="G96" s="266">
        <f>$G$27</f>
        <v>2265.7800000000002</v>
      </c>
      <c r="H96" s="266">
        <f t="shared" ref="H96:I96" si="16">$G$27</f>
        <v>2265.7800000000002</v>
      </c>
      <c r="I96" s="266">
        <f t="shared" si="16"/>
        <v>2265.7800000000002</v>
      </c>
    </row>
    <row r="97" spans="1:9" ht="13">
      <c r="A97" s="304" t="s">
        <v>1</v>
      </c>
      <c r="B97" s="895" t="s">
        <v>130</v>
      </c>
      <c r="C97" s="895"/>
      <c r="D97" s="895"/>
      <c r="E97" s="895"/>
      <c r="F97" s="997"/>
      <c r="G97" s="266">
        <f>$G$34+$G$46+G59</f>
        <v>1894.6799999999998</v>
      </c>
      <c r="H97" s="266">
        <f>$G$34+$G$46+H59</f>
        <v>1938.13</v>
      </c>
      <c r="I97" s="266">
        <f>$G$34+$G$46+I59</f>
        <v>1872.9499999999998</v>
      </c>
    </row>
    <row r="98" spans="1:9" ht="13">
      <c r="A98" s="304" t="s">
        <v>2</v>
      </c>
      <c r="B98" s="891" t="s">
        <v>145</v>
      </c>
      <c r="C98" s="891"/>
      <c r="D98" s="891"/>
      <c r="E98" s="891"/>
      <c r="F98" s="996"/>
      <c r="G98" s="266">
        <f t="shared" ref="G98:I98" si="17">G68</f>
        <v>162.25</v>
      </c>
      <c r="H98" s="266">
        <f t="shared" si="17"/>
        <v>162.25</v>
      </c>
      <c r="I98" s="266">
        <f t="shared" si="17"/>
        <v>162.25</v>
      </c>
    </row>
    <row r="99" spans="1:9" ht="13">
      <c r="A99" s="304" t="s">
        <v>3</v>
      </c>
      <c r="B99" s="891" t="s">
        <v>151</v>
      </c>
      <c r="C99" s="891"/>
      <c r="D99" s="891"/>
      <c r="E99" s="891"/>
      <c r="F99" s="996"/>
      <c r="G99" s="266">
        <f t="shared" ref="G99:I99" si="18">G85</f>
        <v>344.07999999999993</v>
      </c>
      <c r="H99" s="266">
        <f t="shared" si="18"/>
        <v>344.07999999999993</v>
      </c>
      <c r="I99" s="266">
        <f t="shared" si="18"/>
        <v>344.07999999999993</v>
      </c>
    </row>
    <row r="100" spans="1:9" ht="13">
      <c r="A100" s="304" t="s">
        <v>5</v>
      </c>
      <c r="B100" s="891" t="s">
        <v>164</v>
      </c>
      <c r="C100" s="891"/>
      <c r="D100" s="891"/>
      <c r="E100" s="891"/>
      <c r="F100" s="996"/>
      <c r="G100" s="266">
        <f t="shared" ref="G100:I100" si="19">G92</f>
        <v>594.4041666666667</v>
      </c>
      <c r="H100" s="266">
        <f t="shared" si="19"/>
        <v>598.75416666666661</v>
      </c>
      <c r="I100" s="266">
        <f t="shared" si="19"/>
        <v>592.23416666666662</v>
      </c>
    </row>
    <row r="101" spans="1:9" ht="13">
      <c r="A101" s="898" t="s">
        <v>9</v>
      </c>
      <c r="B101" s="898"/>
      <c r="C101" s="898"/>
      <c r="D101" s="898"/>
      <c r="E101" s="898"/>
      <c r="F101" s="899"/>
      <c r="G101" s="267">
        <f>SUM(G96:G100)</f>
        <v>5261.1941666666662</v>
      </c>
      <c r="H101" s="267">
        <f>SUM(H96:H100)</f>
        <v>5308.9941666666664</v>
      </c>
      <c r="I101" s="267">
        <f>SUM(I96:I100)</f>
        <v>5237.2941666666666</v>
      </c>
    </row>
    <row r="102" spans="1:9">
      <c r="A102" s="58"/>
      <c r="B102" s="900"/>
      <c r="C102" s="900"/>
      <c r="D102" s="900"/>
      <c r="E102" s="900"/>
      <c r="F102" s="900"/>
      <c r="G102" s="900"/>
      <c r="H102" s="900"/>
      <c r="I102" s="900"/>
    </row>
    <row r="103" spans="1:9" ht="13">
      <c r="A103" s="867" t="s">
        <v>171</v>
      </c>
      <c r="B103" s="867"/>
      <c r="C103" s="867"/>
      <c r="D103" s="867"/>
      <c r="E103" s="867"/>
      <c r="F103" s="867"/>
      <c r="G103" s="867"/>
      <c r="H103" s="867"/>
      <c r="I103" s="867"/>
    </row>
    <row r="104" spans="1:9" ht="13">
      <c r="A104" s="359"/>
      <c r="B104" s="871" t="s">
        <v>172</v>
      </c>
      <c r="C104" s="871"/>
      <c r="D104" s="871"/>
      <c r="E104" s="871"/>
      <c r="F104" s="359" t="s">
        <v>11</v>
      </c>
      <c r="G104" s="359" t="s">
        <v>8</v>
      </c>
      <c r="H104" s="359" t="s">
        <v>8</v>
      </c>
      <c r="I104" s="359" t="s">
        <v>8</v>
      </c>
    </row>
    <row r="105" spans="1:9">
      <c r="A105" s="360" t="s">
        <v>0</v>
      </c>
      <c r="B105" s="846" t="s">
        <v>173</v>
      </c>
      <c r="C105" s="846"/>
      <c r="D105" s="846"/>
      <c r="E105" s="846"/>
      <c r="F105" s="59">
        <f>'DADOS DO LICITANTE'!D74</f>
        <v>0.05</v>
      </c>
      <c r="G105" s="349">
        <f t="shared" ref="G105:I105" si="20">ROUND(G101*$F$105,2)</f>
        <v>263.06</v>
      </c>
      <c r="H105" s="349">
        <f t="shared" si="20"/>
        <v>265.45</v>
      </c>
      <c r="I105" s="349">
        <f t="shared" si="20"/>
        <v>261.86</v>
      </c>
    </row>
    <row r="106" spans="1:9">
      <c r="A106" s="360" t="s">
        <v>1</v>
      </c>
      <c r="B106" s="846" t="s">
        <v>25</v>
      </c>
      <c r="C106" s="846"/>
      <c r="D106" s="846"/>
      <c r="E106" s="846"/>
      <c r="F106" s="59">
        <f>'DADOS DO LICITANTE'!D75</f>
        <v>0.1</v>
      </c>
      <c r="G106" s="349">
        <f t="shared" ref="G106:I106" si="21">ROUND((G101+G105)*$F$106,2)</f>
        <v>552.42999999999995</v>
      </c>
      <c r="H106" s="349">
        <f t="shared" si="21"/>
        <v>557.44000000000005</v>
      </c>
      <c r="I106" s="349">
        <f t="shared" si="21"/>
        <v>549.91999999999996</v>
      </c>
    </row>
    <row r="107" spans="1:9">
      <c r="A107" s="360" t="s">
        <v>2</v>
      </c>
      <c r="B107" s="989" t="s">
        <v>26</v>
      </c>
      <c r="C107" s="882"/>
      <c r="D107" s="882"/>
      <c r="E107" s="883"/>
      <c r="F107" s="998">
        <f>SUM(E108:E111)</f>
        <v>8.6499999999999994E-2</v>
      </c>
      <c r="G107" s="947" t="s">
        <v>23</v>
      </c>
      <c r="H107" s="947">
        <f>((H101+H105+H106)/(1-$F$107))*$F$107</f>
        <v>580.63270981572703</v>
      </c>
      <c r="I107" s="947">
        <f>((I101+I105+I106)/(1-$F$107))*$F$107</f>
        <v>572.79136881955844</v>
      </c>
    </row>
    <row r="108" spans="1:9">
      <c r="A108" s="897" t="s">
        <v>174</v>
      </c>
      <c r="B108" s="987" t="s">
        <v>175</v>
      </c>
      <c r="C108" s="988"/>
      <c r="D108" s="60" t="s">
        <v>176</v>
      </c>
      <c r="E108" s="61">
        <f>'DADOS DO LICITANTE'!D78</f>
        <v>6.4999999999999997E-3</v>
      </c>
      <c r="F108" s="999"/>
      <c r="G108" s="948"/>
      <c r="H108" s="948"/>
      <c r="I108" s="948"/>
    </row>
    <row r="109" spans="1:9">
      <c r="A109" s="833"/>
      <c r="B109" s="981"/>
      <c r="C109" s="983"/>
      <c r="D109" s="60" t="s">
        <v>177</v>
      </c>
      <c r="E109" s="61">
        <f>'DADOS DO LICITANTE'!D79</f>
        <v>0.03</v>
      </c>
      <c r="F109" s="999"/>
      <c r="G109" s="948"/>
      <c r="H109" s="948"/>
      <c r="I109" s="948"/>
    </row>
    <row r="110" spans="1:9">
      <c r="A110" s="360" t="s">
        <v>178</v>
      </c>
      <c r="B110" s="989" t="s">
        <v>179</v>
      </c>
      <c r="C110" s="882"/>
      <c r="D110" s="883"/>
      <c r="E110" s="28">
        <f>'DADOS DO LICITANTE'!D84</f>
        <v>0</v>
      </c>
      <c r="F110" s="999"/>
      <c r="G110" s="948"/>
      <c r="H110" s="948"/>
      <c r="I110" s="948"/>
    </row>
    <row r="111" spans="1:9" ht="75" customHeight="1">
      <c r="A111" s="897" t="s">
        <v>180</v>
      </c>
      <c r="B111" s="987" t="s">
        <v>181</v>
      </c>
      <c r="C111" s="988"/>
      <c r="D111" s="62" t="str">
        <f>'DADOS DO LICITANTE'!A80</f>
        <v>Guarulhos, São Sebastião, Taubaté, Pindamonhangaba, Campos do Jordão</v>
      </c>
      <c r="E111" s="63">
        <f>'DADOS DO LICITANTE'!D80</f>
        <v>0.05</v>
      </c>
      <c r="F111" s="1000"/>
      <c r="G111" s="949"/>
      <c r="H111" s="949"/>
      <c r="I111" s="949"/>
    </row>
    <row r="112" spans="1:9">
      <c r="A112" s="927"/>
      <c r="B112" s="990"/>
      <c r="C112" s="991"/>
      <c r="D112" s="319" t="str">
        <f>'DADOS DO LICITANTE'!A81</f>
        <v>Suzano</v>
      </c>
      <c r="E112" s="320">
        <f>'DADOS DO LICITANTE'!D81</f>
        <v>0.04</v>
      </c>
      <c r="F112" s="365">
        <f>'DADOS DO LICITANTE'!E81</f>
        <v>7.6499999999999999E-2</v>
      </c>
      <c r="G112" s="361"/>
      <c r="H112" s="361"/>
      <c r="I112" s="361"/>
    </row>
    <row r="113" spans="1:9">
      <c r="A113" s="927"/>
      <c r="B113" s="990"/>
      <c r="C113" s="991"/>
      <c r="D113" s="62" t="str">
        <f>'DADOS DO LICITANTE'!A82</f>
        <v>Mogi das Cruzes</v>
      </c>
      <c r="E113" s="63">
        <f>'DADOS DO LICITANTE'!D82</f>
        <v>3.5000000000000003E-2</v>
      </c>
      <c r="F113" s="348">
        <f>E108+E109+E110+E113</f>
        <v>7.1500000000000008E-2</v>
      </c>
      <c r="G113" s="349" t="s">
        <v>23</v>
      </c>
      <c r="H113" s="349" t="s">
        <v>23</v>
      </c>
      <c r="I113" s="349" t="s">
        <v>23</v>
      </c>
    </row>
    <row r="114" spans="1:9" ht="33" customHeight="1">
      <c r="A114" s="833"/>
      <c r="B114" s="981"/>
      <c r="C114" s="983"/>
      <c r="D114" s="62" t="str">
        <f>'DADOS DO LICITANTE'!A83</f>
        <v>SJC, Jacareí,Guaratinguetá</v>
      </c>
      <c r="E114" s="63">
        <f>'DADOS DO LICITANTE'!D83</f>
        <v>0.03</v>
      </c>
      <c r="F114" s="348">
        <f>E108+E109+E110+E114</f>
        <v>6.6500000000000004E-2</v>
      </c>
      <c r="G114" s="251">
        <f>((G101+G105+G106)/(1-$F$114))*$F$114</f>
        <v>432.88644572397789</v>
      </c>
      <c r="H114" s="251" t="s">
        <v>23</v>
      </c>
      <c r="I114" s="251" t="s">
        <v>23</v>
      </c>
    </row>
    <row r="115" spans="1:9" ht="13">
      <c r="A115" s="360"/>
      <c r="B115" s="892" t="s">
        <v>9</v>
      </c>
      <c r="C115" s="893"/>
      <c r="D115" s="893"/>
      <c r="E115" s="893"/>
      <c r="F115" s="894"/>
      <c r="G115" s="269">
        <f t="shared" ref="G115:I115" si="22">SUM(G105:G114)</f>
        <v>1248.3764457239779</v>
      </c>
      <c r="H115" s="269">
        <f t="shared" si="22"/>
        <v>1403.522709815727</v>
      </c>
      <c r="I115" s="269">
        <f t="shared" si="22"/>
        <v>1384.5713688195583</v>
      </c>
    </row>
    <row r="116" spans="1:9">
      <c r="A116" s="986"/>
      <c r="B116" s="986"/>
      <c r="C116" s="986"/>
      <c r="D116" s="986"/>
      <c r="E116" s="986"/>
      <c r="F116" s="986"/>
      <c r="G116" s="680"/>
      <c r="H116" s="346"/>
      <c r="I116" s="346"/>
    </row>
    <row r="117" spans="1:9" ht="13">
      <c r="A117" s="867" t="s">
        <v>288</v>
      </c>
      <c r="B117" s="867"/>
      <c r="C117" s="867"/>
      <c r="D117" s="867"/>
      <c r="E117" s="867"/>
      <c r="F117" s="867"/>
      <c r="G117" s="867"/>
      <c r="H117" s="867"/>
      <c r="I117" s="867"/>
    </row>
    <row r="118" spans="1:9" ht="13">
      <c r="A118" s="871" t="s">
        <v>182</v>
      </c>
      <c r="B118" s="871"/>
      <c r="C118" s="871"/>
      <c r="D118" s="871"/>
      <c r="E118" s="871"/>
      <c r="F118" s="871"/>
      <c r="G118" s="51" t="s">
        <v>183</v>
      </c>
      <c r="H118" s="51" t="s">
        <v>183</v>
      </c>
      <c r="I118" s="51" t="s">
        <v>183</v>
      </c>
    </row>
    <row r="119" spans="1:9" ht="13">
      <c r="A119" s="360" t="s">
        <v>0</v>
      </c>
      <c r="B119" s="891" t="s">
        <v>123</v>
      </c>
      <c r="C119" s="891"/>
      <c r="D119" s="891"/>
      <c r="E119" s="891"/>
      <c r="F119" s="891"/>
      <c r="G119" s="354">
        <f t="shared" ref="G119:I123" si="23">G96</f>
        <v>2265.7800000000002</v>
      </c>
      <c r="H119" s="354">
        <f t="shared" si="23"/>
        <v>2265.7800000000002</v>
      </c>
      <c r="I119" s="354">
        <f t="shared" si="23"/>
        <v>2265.7800000000002</v>
      </c>
    </row>
    <row r="120" spans="1:9" ht="13">
      <c r="A120" s="360" t="s">
        <v>1</v>
      </c>
      <c r="B120" s="895" t="s">
        <v>130</v>
      </c>
      <c r="C120" s="895"/>
      <c r="D120" s="895"/>
      <c r="E120" s="895"/>
      <c r="F120" s="895"/>
      <c r="G120" s="354">
        <f t="shared" si="23"/>
        <v>1894.6799999999998</v>
      </c>
      <c r="H120" s="354">
        <f t="shared" si="23"/>
        <v>1938.13</v>
      </c>
      <c r="I120" s="354">
        <f t="shared" si="23"/>
        <v>1872.9499999999998</v>
      </c>
    </row>
    <row r="121" spans="1:9" ht="13">
      <c r="A121" s="360" t="s">
        <v>2</v>
      </c>
      <c r="B121" s="891" t="s">
        <v>145</v>
      </c>
      <c r="C121" s="891"/>
      <c r="D121" s="891"/>
      <c r="E121" s="891"/>
      <c r="F121" s="891"/>
      <c r="G121" s="354">
        <f t="shared" si="23"/>
        <v>162.25</v>
      </c>
      <c r="H121" s="354">
        <f t="shared" si="23"/>
        <v>162.25</v>
      </c>
      <c r="I121" s="354">
        <f t="shared" si="23"/>
        <v>162.25</v>
      </c>
    </row>
    <row r="122" spans="1:9" ht="13">
      <c r="A122" s="360" t="s">
        <v>3</v>
      </c>
      <c r="B122" s="891" t="s">
        <v>151</v>
      </c>
      <c r="C122" s="891"/>
      <c r="D122" s="891"/>
      <c r="E122" s="891"/>
      <c r="F122" s="891"/>
      <c r="G122" s="354">
        <f t="shared" si="23"/>
        <v>344.07999999999993</v>
      </c>
      <c r="H122" s="354">
        <f t="shared" si="23"/>
        <v>344.07999999999993</v>
      </c>
      <c r="I122" s="354">
        <f t="shared" si="23"/>
        <v>344.07999999999993</v>
      </c>
    </row>
    <row r="123" spans="1:9" ht="13">
      <c r="A123" s="360" t="s">
        <v>5</v>
      </c>
      <c r="B123" s="891" t="s">
        <v>164</v>
      </c>
      <c r="C123" s="891"/>
      <c r="D123" s="891"/>
      <c r="E123" s="891"/>
      <c r="F123" s="891"/>
      <c r="G123" s="354">
        <f t="shared" si="23"/>
        <v>594.4041666666667</v>
      </c>
      <c r="H123" s="354">
        <f t="shared" si="23"/>
        <v>598.75416666666661</v>
      </c>
      <c r="I123" s="354">
        <f t="shared" si="23"/>
        <v>592.23416666666662</v>
      </c>
    </row>
    <row r="124" spans="1:9" ht="13">
      <c r="A124" s="360" t="s">
        <v>6</v>
      </c>
      <c r="B124" s="891" t="s">
        <v>184</v>
      </c>
      <c r="C124" s="891"/>
      <c r="D124" s="891"/>
      <c r="E124" s="891"/>
      <c r="F124" s="891"/>
      <c r="G124" s="354">
        <f t="shared" ref="G124:I124" si="24">G115</f>
        <v>1248.3764457239779</v>
      </c>
      <c r="H124" s="354">
        <f t="shared" si="24"/>
        <v>1403.522709815727</v>
      </c>
      <c r="I124" s="354">
        <f t="shared" si="24"/>
        <v>1384.5713688195583</v>
      </c>
    </row>
    <row r="125" spans="1:9" ht="13">
      <c r="A125" s="360"/>
      <c r="B125" s="857" t="s">
        <v>185</v>
      </c>
      <c r="C125" s="857"/>
      <c r="D125" s="857"/>
      <c r="E125" s="857"/>
      <c r="F125" s="857"/>
      <c r="G125" s="64">
        <f t="shared" ref="G125:I125" si="25">SUM(G119:G124)</f>
        <v>6509.5706123906439</v>
      </c>
      <c r="H125" s="64">
        <f t="shared" si="25"/>
        <v>6712.5168764823939</v>
      </c>
      <c r="I125" s="64">
        <f t="shared" si="25"/>
        <v>6621.8655354862249</v>
      </c>
    </row>
    <row r="126" spans="1:9">
      <c r="A126" s="346"/>
      <c r="B126" s="346"/>
      <c r="C126" s="346"/>
      <c r="D126" s="346"/>
      <c r="E126" s="346"/>
      <c r="F126" s="346"/>
      <c r="G126" s="65" t="s">
        <v>271</v>
      </c>
      <c r="H126" s="66" t="s">
        <v>272</v>
      </c>
      <c r="I126" s="66" t="s">
        <v>276</v>
      </c>
    </row>
  </sheetData>
  <mergeCells count="160">
    <mergeCell ref="B121:F121"/>
    <mergeCell ref="B122:F122"/>
    <mergeCell ref="B123:F123"/>
    <mergeCell ref="B124:F124"/>
    <mergeCell ref="B125:F125"/>
    <mergeCell ref="B115:F115"/>
    <mergeCell ref="A116:G116"/>
    <mergeCell ref="A117:I117"/>
    <mergeCell ref="A118:F118"/>
    <mergeCell ref="B119:F119"/>
    <mergeCell ref="B120:F120"/>
    <mergeCell ref="A108:A109"/>
    <mergeCell ref="B108:C109"/>
    <mergeCell ref="B110:D110"/>
    <mergeCell ref="A111:A114"/>
    <mergeCell ref="B111:C114"/>
    <mergeCell ref="H107:H111"/>
    <mergeCell ref="I107:I111"/>
    <mergeCell ref="B104:E104"/>
    <mergeCell ref="B105:E105"/>
    <mergeCell ref="B106:E106"/>
    <mergeCell ref="B107:E107"/>
    <mergeCell ref="F107:F111"/>
    <mergeCell ref="G107:G111"/>
    <mergeCell ref="B98:F98"/>
    <mergeCell ref="B99:F99"/>
    <mergeCell ref="B100:F100"/>
    <mergeCell ref="A101:F101"/>
    <mergeCell ref="B102:I102"/>
    <mergeCell ref="A103:I103"/>
    <mergeCell ref="B92:F92"/>
    <mergeCell ref="B93:I93"/>
    <mergeCell ref="A94:I94"/>
    <mergeCell ref="A95:I95"/>
    <mergeCell ref="B96:F96"/>
    <mergeCell ref="B97:F97"/>
    <mergeCell ref="A86:G86"/>
    <mergeCell ref="A87:I87"/>
    <mergeCell ref="B88:F88"/>
    <mergeCell ref="B89:F89"/>
    <mergeCell ref="B90:F90"/>
    <mergeCell ref="B91:F91"/>
    <mergeCell ref="B82:C82"/>
    <mergeCell ref="B84:E84"/>
    <mergeCell ref="A85:F85"/>
    <mergeCell ref="B83:C83"/>
    <mergeCell ref="B80:D80"/>
    <mergeCell ref="B81:C81"/>
    <mergeCell ref="F81:F82"/>
    <mergeCell ref="G81:G82"/>
    <mergeCell ref="H81:H82"/>
    <mergeCell ref="I81:I82"/>
    <mergeCell ref="B78:D78"/>
    <mergeCell ref="B79:C79"/>
    <mergeCell ref="F79:F80"/>
    <mergeCell ref="G79:G80"/>
    <mergeCell ref="H79:H80"/>
    <mergeCell ref="I79:I80"/>
    <mergeCell ref="B76:D76"/>
    <mergeCell ref="B77:C77"/>
    <mergeCell ref="F77:F78"/>
    <mergeCell ref="G77:G78"/>
    <mergeCell ref="H77:H78"/>
    <mergeCell ref="I77:I78"/>
    <mergeCell ref="A72:I72"/>
    <mergeCell ref="B73:F73"/>
    <mergeCell ref="B74:E74"/>
    <mergeCell ref="B75:E75"/>
    <mergeCell ref="F75:F76"/>
    <mergeCell ref="G75:G76"/>
    <mergeCell ref="H75:H76"/>
    <mergeCell ref="I75:I76"/>
    <mergeCell ref="A75:A76"/>
    <mergeCell ref="A77:A78"/>
    <mergeCell ref="B66:F66"/>
    <mergeCell ref="B68:F68"/>
    <mergeCell ref="A69:I69"/>
    <mergeCell ref="A70:G70"/>
    <mergeCell ref="A71:I71"/>
    <mergeCell ref="B63:C63"/>
    <mergeCell ref="B64:F64"/>
    <mergeCell ref="A62:A63"/>
    <mergeCell ref="B62:D62"/>
    <mergeCell ref="F62:F63"/>
    <mergeCell ref="G62:G63"/>
    <mergeCell ref="H62:H63"/>
    <mergeCell ref="I62:I63"/>
    <mergeCell ref="B65:C65"/>
    <mergeCell ref="B67:E67"/>
    <mergeCell ref="B56:F56"/>
    <mergeCell ref="B57:F57"/>
    <mergeCell ref="B58:F58"/>
    <mergeCell ref="B59:F59"/>
    <mergeCell ref="B60:G60"/>
    <mergeCell ref="A61:I61"/>
    <mergeCell ref="A50:I50"/>
    <mergeCell ref="B51:F51"/>
    <mergeCell ref="B52:F52"/>
    <mergeCell ref="B53:F53"/>
    <mergeCell ref="B54:F54"/>
    <mergeCell ref="B55:F55"/>
    <mergeCell ref="B41:E41"/>
    <mergeCell ref="B42:E42"/>
    <mergeCell ref="B43:E43"/>
    <mergeCell ref="B45:E45"/>
    <mergeCell ref="B46:E46"/>
    <mergeCell ref="B47:G47"/>
    <mergeCell ref="B34:E34"/>
    <mergeCell ref="A36:G36"/>
    <mergeCell ref="B37:E37"/>
    <mergeCell ref="B38:E38"/>
    <mergeCell ref="B39:E39"/>
    <mergeCell ref="B40:E40"/>
    <mergeCell ref="A28:G28"/>
    <mergeCell ref="A29:G29"/>
    <mergeCell ref="A30:G30"/>
    <mergeCell ref="B31:F31"/>
    <mergeCell ref="B32:E32"/>
    <mergeCell ref="B33:E33"/>
    <mergeCell ref="B22:F22"/>
    <mergeCell ref="B23:D23"/>
    <mergeCell ref="B24:F24"/>
    <mergeCell ref="B25:E25"/>
    <mergeCell ref="B26:F26"/>
    <mergeCell ref="B27:F27"/>
    <mergeCell ref="B19:E19"/>
    <mergeCell ref="F19:G19"/>
    <mergeCell ref="A20:G20"/>
    <mergeCell ref="A21:G21"/>
    <mergeCell ref="A13:G13"/>
    <mergeCell ref="A14:G14"/>
    <mergeCell ref="A15:G15"/>
    <mergeCell ref="B16:E16"/>
    <mergeCell ref="F16:G16"/>
    <mergeCell ref="B17:E17"/>
    <mergeCell ref="F17:G17"/>
    <mergeCell ref="A79:A80"/>
    <mergeCell ref="A81:A82"/>
    <mergeCell ref="A1:G1"/>
    <mergeCell ref="A2:G2"/>
    <mergeCell ref="B3:D3"/>
    <mergeCell ref="E3:G3"/>
    <mergeCell ref="A4:B4"/>
    <mergeCell ref="C4:D4"/>
    <mergeCell ref="B9:E9"/>
    <mergeCell ref="F9:G9"/>
    <mergeCell ref="A10:A11"/>
    <mergeCell ref="B10:E11"/>
    <mergeCell ref="F10:G11"/>
    <mergeCell ref="B12:E12"/>
    <mergeCell ref="F12:G12"/>
    <mergeCell ref="A5:B5"/>
    <mergeCell ref="C5:D5"/>
    <mergeCell ref="F5:G5"/>
    <mergeCell ref="A6:G6"/>
    <mergeCell ref="A7:G7"/>
    <mergeCell ref="B8:E8"/>
    <mergeCell ref="F8:G8"/>
    <mergeCell ref="B18:E18"/>
    <mergeCell ref="F18:G18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showGridLines="0" topLeftCell="A10" workbookViewId="0">
      <selection activeCell="C60" sqref="C60"/>
    </sheetView>
  </sheetViews>
  <sheetFormatPr defaultRowHeight="12.5"/>
  <cols>
    <col min="1" max="1" width="28.453125" customWidth="1"/>
    <col min="2" max="2" width="22.453125" customWidth="1"/>
    <col min="3" max="3" width="21.1796875" customWidth="1"/>
    <col min="6" max="6" width="14.1796875" bestFit="1" customWidth="1"/>
  </cols>
  <sheetData>
    <row r="1" spans="1:6" ht="31">
      <c r="A1" s="240" t="s">
        <v>205</v>
      </c>
      <c r="B1" s="240" t="s">
        <v>202</v>
      </c>
      <c r="C1" s="241" t="s">
        <v>206</v>
      </c>
      <c r="D1" s="76"/>
    </row>
    <row r="2" spans="1:6" ht="15.5">
      <c r="A2" s="1014" t="s">
        <v>97</v>
      </c>
      <c r="B2" s="242" t="s">
        <v>271</v>
      </c>
      <c r="C2" s="308">
        <f>ROUND('Servente 40h'!G126/'Áreas, Produt. e Postos'!G4,7)</f>
        <v>3.9857206000000001</v>
      </c>
      <c r="D2" s="76"/>
    </row>
    <row r="3" spans="1:6" ht="15.5">
      <c r="A3" s="1015"/>
      <c r="B3" s="242" t="s">
        <v>272</v>
      </c>
      <c r="C3" s="308">
        <f>ROUND('Servente 40h'!H126/'Áreas, Produt. e Postos'!K3,7)</f>
        <v>4.1219706</v>
      </c>
      <c r="D3" s="76"/>
    </row>
    <row r="4" spans="1:6" ht="15.5">
      <c r="A4" s="1015"/>
      <c r="B4" s="242" t="s">
        <v>273</v>
      </c>
      <c r="C4" s="308">
        <f>ROUND('Servente 40h'!I126/'Áreas, Produt. e Postos'!O3,7)</f>
        <v>4.1062070000000004</v>
      </c>
      <c r="D4" s="76"/>
    </row>
    <row r="5" spans="1:6" ht="15.5">
      <c r="A5" s="1016"/>
      <c r="B5" s="242" t="s">
        <v>276</v>
      </c>
      <c r="C5" s="308">
        <f>ROUND('Servente 40h'!J126/'Áreas, Produt. e Postos'!AE3,7)</f>
        <v>4.1478418000000001</v>
      </c>
      <c r="D5" s="76"/>
    </row>
    <row r="6" spans="1:6" ht="15.5">
      <c r="A6" s="1020" t="s">
        <v>207</v>
      </c>
      <c r="B6" s="243" t="s">
        <v>271</v>
      </c>
      <c r="C6" s="244">
        <f>'Servente 40h'!G126/'Áreas, Produt. e Postos'!G4</f>
        <v>3.9857205558531215</v>
      </c>
      <c r="D6" s="76"/>
    </row>
    <row r="7" spans="1:6" ht="15.5">
      <c r="A7" s="1021"/>
      <c r="B7" s="242" t="s">
        <v>272</v>
      </c>
      <c r="C7" s="244">
        <f>'Servente 40h'!H126/'Áreas, Produt. e Postos'!K4</f>
        <v>4.1219705953901355</v>
      </c>
      <c r="D7" s="76"/>
    </row>
    <row r="8" spans="1:6" ht="15.5">
      <c r="A8" s="1021"/>
      <c r="B8" s="242" t="s">
        <v>273</v>
      </c>
      <c r="C8" s="244">
        <f>'Servente 40h'!I126/'Áreas, Produt. e Postos'!O4</f>
        <v>4.1062070485921058</v>
      </c>
      <c r="D8" s="76"/>
    </row>
    <row r="9" spans="1:6" ht="15.5">
      <c r="A9" s="1021"/>
      <c r="B9" s="243" t="s">
        <v>276</v>
      </c>
      <c r="C9" s="244">
        <f>'Servente 40h'!J126/'Áreas, Produt. e Postos'!AE4</f>
        <v>4.1478417867785691</v>
      </c>
      <c r="D9" s="76"/>
    </row>
    <row r="10" spans="1:6" ht="15.5">
      <c r="A10" s="1023"/>
      <c r="B10" s="243" t="s">
        <v>280</v>
      </c>
      <c r="C10" s="244">
        <f>'Servente 40h'!K126/'Áreas, Produt. e Postos'!AU4</f>
        <v>4.1760118287417143</v>
      </c>
      <c r="D10" s="76"/>
    </row>
    <row r="11" spans="1:6" ht="15.5">
      <c r="A11" s="1017" t="s">
        <v>208</v>
      </c>
      <c r="B11" s="245" t="s">
        <v>271</v>
      </c>
      <c r="C11" s="246">
        <f>'Servente 40h'!G126/'Áreas, Produt. e Postos'!G6</f>
        <v>1.9131458668094983</v>
      </c>
      <c r="D11" s="76"/>
    </row>
    <row r="12" spans="1:6" ht="15.5">
      <c r="A12" s="1018"/>
      <c r="B12" s="305" t="s">
        <v>272</v>
      </c>
      <c r="C12" s="246">
        <f>'Servente 40h'!H126/'Áreas, Produt. e Postos'!K6</f>
        <v>1.9785458857872651</v>
      </c>
      <c r="D12" s="76"/>
    </row>
    <row r="13" spans="1:6" ht="15.5">
      <c r="A13" s="1018"/>
      <c r="B13" s="305" t="s">
        <v>273</v>
      </c>
      <c r="C13" s="246">
        <f>'Servente 40h'!I126/'Áreas, Produt. e Postos'!O6</f>
        <v>1.9709793833242106</v>
      </c>
      <c r="D13" s="76"/>
    </row>
    <row r="14" spans="1:6" ht="15.5">
      <c r="A14" s="1019"/>
      <c r="B14" s="245" t="s">
        <v>280</v>
      </c>
      <c r="C14" s="246">
        <f>'Servente 40h'!K126/'Áreas, Produt. e Postos'!AE6</f>
        <v>2.0044856777960227</v>
      </c>
      <c r="D14" s="76"/>
      <c r="F14" s="26"/>
    </row>
    <row r="15" spans="1:6" ht="15.5">
      <c r="A15" s="1020" t="s">
        <v>100</v>
      </c>
      <c r="B15" s="243" t="s">
        <v>271</v>
      </c>
      <c r="C15" s="249">
        <f>'Servente 40h'!G126/'Áreas, Produt. e Postos'!G7</f>
        <v>2.6571470372354145</v>
      </c>
      <c r="D15" s="76"/>
      <c r="F15" s="26"/>
    </row>
    <row r="16" spans="1:6" ht="15.5">
      <c r="A16" s="1021"/>
      <c r="B16" s="242" t="s">
        <v>273</v>
      </c>
      <c r="C16" s="249">
        <f>'Servente 40h'!I126/'Áreas, Produt. e Postos'!O7</f>
        <v>2.7374713657280703</v>
      </c>
      <c r="D16" s="76"/>
      <c r="F16" s="26"/>
    </row>
    <row r="17" spans="1:4" ht="15.5">
      <c r="A17" s="1017" t="s">
        <v>209</v>
      </c>
      <c r="B17" s="245" t="s">
        <v>271</v>
      </c>
      <c r="C17" s="246">
        <f>'Servente 40h'!G126/'Áreas, Produt. e Postos'!G8</f>
        <v>3.1885764446824973</v>
      </c>
      <c r="D17" s="76"/>
    </row>
    <row r="18" spans="1:4" ht="15.5">
      <c r="A18" s="1018"/>
      <c r="B18" s="305" t="s">
        <v>272</v>
      </c>
      <c r="C18" s="246">
        <f>'Servente 40h'!H126/'Áreas, Produt. e Postos'!K8</f>
        <v>3.2975764763121083</v>
      </c>
      <c r="D18" s="76"/>
    </row>
    <row r="19" spans="1:4" ht="15.5">
      <c r="A19" s="1018"/>
      <c r="B19" s="305" t="s">
        <v>273</v>
      </c>
      <c r="C19" s="246">
        <f>'Servente 40h'!I126/'Áreas, Produt. e Postos'!O8</f>
        <v>3.2849656388736848</v>
      </c>
      <c r="D19" s="76"/>
    </row>
    <row r="20" spans="1:4" ht="15.5" customHeight="1">
      <c r="A20" s="1019"/>
      <c r="B20" s="245" t="s">
        <v>276</v>
      </c>
      <c r="C20" s="246">
        <f>'Servente 40h'!J126/'Áreas, Produt. e Postos'!AE8</f>
        <v>3.3182734294228551</v>
      </c>
      <c r="D20" s="76"/>
    </row>
    <row r="21" spans="1:4" ht="15.5">
      <c r="A21" s="1020" t="s">
        <v>210</v>
      </c>
      <c r="B21" s="243" t="s">
        <v>271</v>
      </c>
      <c r="C21" s="244">
        <f>'Servente 40h'!G126/'Áreas, Produt. e Postos'!G9</f>
        <v>15.942882223412486</v>
      </c>
      <c r="D21" s="76"/>
    </row>
    <row r="22" spans="1:4" ht="15.5">
      <c r="A22" s="1021"/>
      <c r="B22" s="242" t="s">
        <v>272</v>
      </c>
      <c r="C22" s="244">
        <f>'Servente 40h'!H126/'Áreas, Produt. e Postos'!K9</f>
        <v>16.487882381560542</v>
      </c>
      <c r="D22" s="76"/>
    </row>
    <row r="23" spans="1:4" ht="15.5">
      <c r="A23" s="1021"/>
      <c r="B23" s="242" t="s">
        <v>273</v>
      </c>
      <c r="C23" s="244">
        <f>'Servente 40h'!I126/'Áreas, Produt. e Postos'!O9</f>
        <v>16.424828194368423</v>
      </c>
      <c r="D23" s="76"/>
    </row>
    <row r="24" spans="1:4" ht="15.5">
      <c r="A24" s="1023"/>
      <c r="B24" s="243" t="s">
        <v>280</v>
      </c>
      <c r="C24" s="244">
        <f>'Servente 40h'!K126/'Áreas, Produt. e Postos'!AU9</f>
        <v>16.704047314966857</v>
      </c>
      <c r="D24" s="76"/>
    </row>
    <row r="25" spans="1:4" ht="15.5">
      <c r="A25" s="247" t="s">
        <v>211</v>
      </c>
      <c r="B25" s="245" t="str">
        <f>B20</f>
        <v>ARF/TAU</v>
      </c>
      <c r="C25" s="246">
        <f>'Agente de Higienização'!G122/'Áreas, Produt. e Postos'!AE11</f>
        <v>20.638767256583346</v>
      </c>
      <c r="D25" s="76"/>
    </row>
    <row r="26" spans="1:4" ht="15.5">
      <c r="A26" s="1013" t="s">
        <v>212</v>
      </c>
      <c r="B26" s="1013"/>
      <c r="C26" s="1013"/>
      <c r="D26" s="76"/>
    </row>
    <row r="27" spans="1:4" ht="15.5">
      <c r="A27" s="1011" t="s">
        <v>281</v>
      </c>
      <c r="B27" s="243" t="s">
        <v>271</v>
      </c>
      <c r="C27" s="244">
        <f>'Servente 40h'!G126/'Áreas, Produt. e Postos'!G14</f>
        <v>1.771431358156943</v>
      </c>
      <c r="D27" s="76"/>
    </row>
    <row r="28" spans="1:4" ht="15.5">
      <c r="A28" s="1011"/>
      <c r="B28" s="242" t="s">
        <v>272</v>
      </c>
      <c r="C28" s="244">
        <f>'Servente 40h'!H126/'Áreas, Produt. e Postos'!K14</f>
        <v>1.8319869312845047</v>
      </c>
      <c r="D28" s="76"/>
    </row>
    <row r="29" spans="1:4" ht="15.5">
      <c r="A29" s="1011"/>
      <c r="B29" s="242" t="s">
        <v>273</v>
      </c>
      <c r="C29" s="244">
        <f>'Servente 40h'!I126/'Áreas, Produt. e Postos'!O14</f>
        <v>1.8249809104853802</v>
      </c>
      <c r="D29" s="76"/>
    </row>
    <row r="30" spans="1:4" ht="15.5">
      <c r="A30" s="1011"/>
      <c r="B30" s="243" t="s">
        <v>276</v>
      </c>
      <c r="C30" s="244">
        <f>'Servente 40h'!J126/'Áreas, Produt. e Postos'!AE14</f>
        <v>1.843485238568253</v>
      </c>
      <c r="D30" s="76"/>
    </row>
    <row r="31" spans="1:4" ht="15.5">
      <c r="A31" s="1022" t="s">
        <v>101</v>
      </c>
      <c r="B31" s="245" t="s">
        <v>271</v>
      </c>
      <c r="C31" s="246">
        <f>'Servente 40h'!G126/'Áreas, Produt. e Postos'!G15</f>
        <v>0.53142940744708289</v>
      </c>
      <c r="D31" s="76"/>
    </row>
    <row r="32" spans="1:4" ht="15.5">
      <c r="A32" s="1022"/>
      <c r="B32" s="305" t="s">
        <v>272</v>
      </c>
      <c r="C32" s="246">
        <f>'Servente 40h'!H126/'Áreas, Produt. e Postos'!K15</f>
        <v>0.54959607938535138</v>
      </c>
      <c r="D32" s="76"/>
    </row>
    <row r="33" spans="1:4" ht="15.5">
      <c r="A33" s="1022"/>
      <c r="B33" s="305" t="s">
        <v>273</v>
      </c>
      <c r="C33" s="246">
        <f>'Servente 40h'!I126/'Áreas, Produt. e Postos'!O15</f>
        <v>0.54749427314561405</v>
      </c>
      <c r="D33" s="76"/>
    </row>
    <row r="34" spans="1:4" ht="15.5">
      <c r="A34" s="1022"/>
      <c r="B34" s="245" t="s">
        <v>276</v>
      </c>
      <c r="C34" s="246">
        <f>'Servente 40h'!J126/'Áreas, Produt. e Postos'!AE15</f>
        <v>0.55304557157047585</v>
      </c>
      <c r="D34" s="76"/>
    </row>
    <row r="35" spans="1:4" ht="15.5">
      <c r="A35" s="1022"/>
      <c r="B35" s="245" t="s">
        <v>280</v>
      </c>
      <c r="C35" s="246">
        <f>'Servente 40h'!K126/'Áreas, Produt. e Postos'!AU15</f>
        <v>0.55680157716556189</v>
      </c>
      <c r="D35" s="76"/>
    </row>
    <row r="36" spans="1:4" ht="15.5">
      <c r="A36" s="1011" t="s">
        <v>102</v>
      </c>
      <c r="B36" s="243" t="s">
        <v>295</v>
      </c>
      <c r="C36" s="244">
        <f>'Servente 40h'!I126/'Áreas, Produt. e Postos'!O16</f>
        <v>1.8249809104853802</v>
      </c>
      <c r="D36" s="76"/>
    </row>
    <row r="37" spans="1:4" ht="15.5">
      <c r="A37" s="1011"/>
      <c r="B37" s="243" t="s">
        <v>276</v>
      </c>
      <c r="C37" s="244">
        <f>'Servente 40h'!J126/'Áreas, Produt. e Postos'!AE16</f>
        <v>1.843485238568253</v>
      </c>
      <c r="D37" s="76"/>
    </row>
    <row r="38" spans="1:4" ht="15.5">
      <c r="A38" s="1022" t="s">
        <v>103</v>
      </c>
      <c r="B38" s="245" t="s">
        <v>272</v>
      </c>
      <c r="C38" s="246">
        <f>'Servente 40h'!H126/'Áreas, Produt. e Postos'!K17</f>
        <v>1.8319869312845047</v>
      </c>
      <c r="D38" s="76"/>
    </row>
    <row r="39" spans="1:4" ht="15.5">
      <c r="A39" s="1022"/>
      <c r="B39" s="245" t="s">
        <v>273</v>
      </c>
      <c r="C39" s="246">
        <f>'Servente 40h'!I126/'Áreas, Produt. e Postos'!O17</f>
        <v>1.8249809104853802</v>
      </c>
      <c r="D39" s="76"/>
    </row>
    <row r="40" spans="1:4" ht="15.5">
      <c r="A40" s="1012" t="s">
        <v>104</v>
      </c>
      <c r="B40" s="248" t="s">
        <v>273</v>
      </c>
      <c r="C40" s="249">
        <f>'Servente 40h'!I126/'Áreas, Produt. e Postos'!O18</f>
        <v>1.8249809104853802</v>
      </c>
      <c r="D40" s="76"/>
    </row>
    <row r="41" spans="1:4" ht="15.5">
      <c r="A41" s="1012"/>
      <c r="B41" s="248" t="s">
        <v>280</v>
      </c>
      <c r="C41" s="249">
        <f>'Servente 40h'!K126/'Áreas, Produt. e Postos'!AU18</f>
        <v>1.8560052572185395</v>
      </c>
      <c r="D41" s="76"/>
    </row>
    <row r="42" spans="1:4" ht="15.5">
      <c r="A42" s="1017" t="s">
        <v>105</v>
      </c>
      <c r="B42" s="245" t="s">
        <v>272</v>
      </c>
      <c r="C42" s="246">
        <f>'Servente 40h'!H126/'Áreas, Produt. e Postos'!K19</f>
        <v>4.9463647144681627E-2</v>
      </c>
      <c r="D42" s="76"/>
    </row>
    <row r="43" spans="1:4" ht="15.5">
      <c r="A43" s="1018"/>
      <c r="B43" s="245" t="s">
        <v>273</v>
      </c>
      <c r="C43" s="246">
        <f>'Servente 40h'!I126/'Áreas, Produt. e Postos'!O19</f>
        <v>4.9274484583105266E-2</v>
      </c>
      <c r="D43" s="76"/>
    </row>
    <row r="44" spans="1:4" ht="17.5" customHeight="1">
      <c r="A44" s="1019"/>
      <c r="B44" s="245" t="s">
        <v>276</v>
      </c>
      <c r="C44" s="246">
        <f>'Servente 40h'!J126/'Áreas, Produt. e Postos'!AE19</f>
        <v>4.9774101441342825E-2</v>
      </c>
      <c r="D44" s="76"/>
    </row>
    <row r="45" spans="1:4" ht="15.5">
      <c r="A45" s="1013" t="s">
        <v>213</v>
      </c>
      <c r="B45" s="1013"/>
      <c r="C45" s="1013"/>
      <c r="D45" s="76"/>
    </row>
    <row r="46" spans="1:4" ht="15.5">
      <c r="A46" s="1004" t="s">
        <v>296</v>
      </c>
      <c r="B46" s="306" t="s">
        <v>271</v>
      </c>
      <c r="C46" s="318">
        <f>'Limp Vidros c risco'!G125*'Áreas, Produt. e Postos'!H22</f>
        <v>0.28737288594343302</v>
      </c>
      <c r="D46" s="76"/>
    </row>
    <row r="47" spans="1:4" ht="15.5">
      <c r="A47" s="1005"/>
      <c r="B47" s="306" t="s">
        <v>272</v>
      </c>
      <c r="C47" s="318">
        <f>'Limp Vidros c risco'!H125*'Áreas, Produt. e Postos'!L22</f>
        <v>0.29633219479438438</v>
      </c>
      <c r="D47" s="76"/>
    </row>
    <row r="48" spans="1:4" ht="15.5">
      <c r="A48" s="1007"/>
      <c r="B48" s="306" t="s">
        <v>276</v>
      </c>
      <c r="C48" s="400">
        <f>'Limp Vidros c risco'!I125*'Áreas, Produt. e Postos'!AF22</f>
        <v>0.29233028145356815</v>
      </c>
      <c r="D48" s="76"/>
    </row>
    <row r="49" spans="1:4" ht="15.5" customHeight="1">
      <c r="A49" s="1004" t="s">
        <v>214</v>
      </c>
      <c r="B49" s="243" t="s">
        <v>271</v>
      </c>
      <c r="C49" s="401">
        <f>'Limp Vidros'!G125*'Áreas, Produt. e Postos'!H23</f>
        <v>1.1429719005006742</v>
      </c>
      <c r="D49" s="76"/>
    </row>
    <row r="50" spans="1:4" ht="15.5">
      <c r="A50" s="1005"/>
      <c r="B50" s="242" t="s">
        <v>272</v>
      </c>
      <c r="C50" s="401">
        <f>'Limp Vidros'!H125*'Áreas, Produt. e Postos'!L23</f>
        <v>1.1811061747815861</v>
      </c>
      <c r="D50" s="76"/>
    </row>
    <row r="51" spans="1:4" ht="15.5">
      <c r="A51" s="1005"/>
      <c r="B51" s="242" t="s">
        <v>273</v>
      </c>
      <c r="C51" s="401">
        <f>'Limp Vidros'!I125*'Áreas, Produt. e Postos'!P23</f>
        <v>1.1588145834419827</v>
      </c>
      <c r="D51" s="76"/>
    </row>
    <row r="52" spans="1:4" ht="15.5">
      <c r="A52" s="1005"/>
      <c r="B52" s="243" t="s">
        <v>276</v>
      </c>
      <c r="C52" s="401">
        <f>'Limp Vidros'!M125*'Áreas, Produt. e Postos'!AF23</f>
        <v>1.1614371235995831</v>
      </c>
      <c r="D52" s="76"/>
    </row>
    <row r="53" spans="1:4" ht="15.5">
      <c r="A53" s="1006"/>
      <c r="B53" s="307" t="s">
        <v>280</v>
      </c>
      <c r="C53" s="401">
        <f>'Limp Vidros'!Q125*'Áreas, Produt. e Postos'!AV23</f>
        <v>1.1614371235995831</v>
      </c>
      <c r="D53" s="76"/>
    </row>
    <row r="54" spans="1:4" ht="15.5">
      <c r="A54" s="1010" t="s">
        <v>106</v>
      </c>
      <c r="B54" s="243" t="s">
        <v>271</v>
      </c>
      <c r="C54" s="250">
        <f>'Limp Vidros'!G125*'Áreas, Produt. e Postos'!H24</f>
        <v>1.1429719005006742</v>
      </c>
      <c r="D54" s="76"/>
    </row>
    <row r="55" spans="1:4" ht="15.5">
      <c r="A55" s="1010"/>
      <c r="B55" s="242" t="s">
        <v>272</v>
      </c>
      <c r="C55" s="250">
        <f>'Limp Vidros'!H125*'Áreas, Produt. e Postos'!L24</f>
        <v>1.1811061747815861</v>
      </c>
      <c r="D55" s="76"/>
    </row>
    <row r="56" spans="1:4" ht="15.5">
      <c r="A56" s="1010"/>
      <c r="B56" s="242" t="s">
        <v>273</v>
      </c>
      <c r="C56" s="250">
        <f>'Limp Vidros'!I125*'Áreas, Produt. e Postos'!P24</f>
        <v>1.1588145834419827</v>
      </c>
      <c r="D56" s="76"/>
    </row>
    <row r="57" spans="1:4" ht="15.5">
      <c r="A57" s="1010"/>
      <c r="B57" s="243" t="s">
        <v>276</v>
      </c>
      <c r="C57" s="250">
        <f>'Limp Vidros'!M125*'Áreas, Produt. e Postos'!AF24</f>
        <v>1.1614371235995831</v>
      </c>
      <c r="D57" s="76"/>
    </row>
    <row r="58" spans="1:4" ht="15.5">
      <c r="A58" s="1010"/>
      <c r="B58" s="307" t="s">
        <v>280</v>
      </c>
      <c r="C58" s="250">
        <f>'Limp Vidros'!Q125*'Áreas, Produt. e Postos'!AV24</f>
        <v>1.1614371235995831</v>
      </c>
      <c r="D58" s="76"/>
    </row>
    <row r="59" spans="1:4" ht="16.5" customHeight="1">
      <c r="A59" s="1008" t="s">
        <v>299</v>
      </c>
      <c r="B59" s="324" t="s">
        <v>271</v>
      </c>
      <c r="C59" s="325">
        <f>'Limp Vidros c risco'!G125*'Áreas, Produt. e Postos'!H25</f>
        <v>0.28737288594343302</v>
      </c>
      <c r="D59" s="76"/>
    </row>
    <row r="60" spans="1:4" ht="18.5" customHeight="1">
      <c r="A60" s="1009"/>
      <c r="B60" s="324" t="s">
        <v>276</v>
      </c>
      <c r="C60" s="325">
        <f>'Limp Vidros c risco'!I125*'Áreas, Produt. e Postos'!AF25</f>
        <v>0.29233028145356815</v>
      </c>
      <c r="D60" s="76"/>
    </row>
  </sheetData>
  <mergeCells count="18">
    <mergeCell ref="A2:A5"/>
    <mergeCell ref="A11:A14"/>
    <mergeCell ref="A15:A16"/>
    <mergeCell ref="A17:A20"/>
    <mergeCell ref="A42:A44"/>
    <mergeCell ref="A38:A39"/>
    <mergeCell ref="A6:A10"/>
    <mergeCell ref="A21:A24"/>
    <mergeCell ref="A26:C26"/>
    <mergeCell ref="A27:A30"/>
    <mergeCell ref="A31:A35"/>
    <mergeCell ref="A49:A53"/>
    <mergeCell ref="A46:A48"/>
    <mergeCell ref="A59:A60"/>
    <mergeCell ref="A54:A58"/>
    <mergeCell ref="A36:A37"/>
    <mergeCell ref="A40:A41"/>
    <mergeCell ref="A45:C4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7"/>
  <sheetViews>
    <sheetView topLeftCell="A89" workbookViewId="0">
      <selection activeCell="F108" sqref="F108"/>
    </sheetView>
  </sheetViews>
  <sheetFormatPr defaultRowHeight="12.5"/>
  <cols>
    <col min="1" max="1" width="15.54296875" customWidth="1"/>
    <col min="2" max="2" width="19.81640625" customWidth="1"/>
    <col min="3" max="3" width="49.54296875" customWidth="1"/>
    <col min="4" max="4" width="15.453125" customWidth="1"/>
    <col min="5" max="5" width="17.26953125" customWidth="1"/>
    <col min="6" max="6" width="16.81640625" customWidth="1"/>
    <col min="7" max="9" width="8.7265625" customWidth="1"/>
    <col min="10" max="10" width="13.26953125" customWidth="1"/>
    <col min="11" max="1025" width="8.7265625" customWidth="1"/>
  </cols>
  <sheetData>
    <row r="1" spans="1:24" ht="25.5" customHeight="1">
      <c r="A1" s="405" t="s">
        <v>202</v>
      </c>
      <c r="B1" s="1038" t="s">
        <v>205</v>
      </c>
      <c r="C1" s="1038"/>
      <c r="D1" s="406" t="s">
        <v>342</v>
      </c>
      <c r="E1" s="405" t="s">
        <v>303</v>
      </c>
      <c r="F1" s="405" t="s">
        <v>343</v>
      </c>
      <c r="G1" s="407"/>
      <c r="H1" s="407"/>
      <c r="I1" s="407"/>
      <c r="J1" s="407"/>
      <c r="K1" s="407"/>
      <c r="L1" s="407"/>
      <c r="M1" s="407"/>
      <c r="N1" s="407"/>
      <c r="O1" s="407"/>
      <c r="P1" s="407"/>
      <c r="Q1" s="374"/>
      <c r="R1" s="374"/>
      <c r="S1" s="374"/>
      <c r="T1" s="374"/>
      <c r="U1" s="374"/>
      <c r="V1" s="374"/>
      <c r="W1" s="374"/>
      <c r="X1" s="374"/>
    </row>
    <row r="2" spans="1:24" ht="25.5" customHeight="1">
      <c r="A2" s="1035" t="s">
        <v>271</v>
      </c>
      <c r="B2" s="1026" t="s">
        <v>34</v>
      </c>
      <c r="C2" s="408" t="str">
        <f>'Áreas, Produt. e Postos'!A3</f>
        <v>Piso acarpetado</v>
      </c>
      <c r="D2" s="409">
        <f>'Valores por m²'!C2</f>
        <v>3.9857206000000001</v>
      </c>
      <c r="E2" s="410">
        <f>'Áreas, Produt. e Postos'!E3</f>
        <v>85.3</v>
      </c>
      <c r="F2" s="409">
        <f t="shared" ref="F2:F8" si="0">ROUND(D2*E2,2)</f>
        <v>339.98</v>
      </c>
      <c r="G2" s="374"/>
      <c r="H2" s="374"/>
      <c r="I2" s="374"/>
      <c r="J2" s="374"/>
      <c r="K2" s="374"/>
      <c r="L2" s="374"/>
      <c r="M2" s="374"/>
      <c r="N2" s="374"/>
      <c r="O2" s="374"/>
      <c r="P2" s="374"/>
      <c r="Q2" s="374"/>
      <c r="R2" s="374"/>
      <c r="S2" s="374"/>
      <c r="T2" s="374"/>
      <c r="U2" s="374"/>
      <c r="V2" s="374"/>
      <c r="W2" s="374"/>
      <c r="X2" s="374"/>
    </row>
    <row r="3" spans="1:24" ht="25.5" customHeight="1">
      <c r="A3" s="1035"/>
      <c r="B3" s="1026"/>
      <c r="C3" s="408" t="str">
        <f>'Áreas, Produt. e Postos'!A4</f>
        <v>Piso frio</v>
      </c>
      <c r="D3" s="409">
        <f>'Valores por m²'!C6</f>
        <v>3.9857205558531215</v>
      </c>
      <c r="E3" s="410">
        <f>'Áreas, Produt. e Postos'!E4</f>
        <v>1905</v>
      </c>
      <c r="F3" s="409">
        <f t="shared" si="0"/>
        <v>7592.8</v>
      </c>
      <c r="G3" s="374"/>
      <c r="H3" s="374"/>
      <c r="I3" s="374"/>
      <c r="J3" s="374"/>
      <c r="K3" s="374"/>
      <c r="L3" s="374"/>
      <c r="M3" s="374"/>
      <c r="N3" s="374"/>
      <c r="O3" s="374"/>
      <c r="P3" s="374"/>
      <c r="Q3" s="374"/>
      <c r="R3" s="374"/>
      <c r="S3" s="374"/>
      <c r="T3" s="374"/>
      <c r="U3" s="374"/>
      <c r="V3" s="374"/>
      <c r="W3" s="374"/>
      <c r="X3" s="374"/>
    </row>
    <row r="4" spans="1:24" ht="25.5" hidden="1" customHeight="1">
      <c r="A4" s="1035"/>
      <c r="B4" s="1026"/>
      <c r="C4" s="408" t="str">
        <f>'[1]Áreas, Produtiv. e Funcionários'!$A$26</f>
        <v>Laboratórios</v>
      </c>
      <c r="D4" s="409">
        <f>('[1]Servente sem Insalubridade'!K120/'[1]Áreas, Produtiv. e Funcionários'!G26)+IF('[1]Áreas, Produtiv. e Funcionários'!AU72=1,'[1]Encarregado Residente'!K$120/(('[1]Áreas, Produtiv. e Funcionários'!$AU$64+'[1]Áreas, Produtiv. e Funcionários'!$AU$65+'[1]Áreas, Produtiv. e Funcionários'!$AU$67)*'[1]Áreas, Produtiv. e Funcionários'!G26),0)</f>
        <v>8.5564589277662009</v>
      </c>
      <c r="E4" s="410">
        <f>IF(A2=0,0,'[1]Áreas, Produtiv. e Funcionários'!E26)</f>
        <v>0</v>
      </c>
      <c r="F4" s="409">
        <f t="shared" si="0"/>
        <v>0</v>
      </c>
      <c r="G4" s="374"/>
      <c r="H4" s="374"/>
      <c r="I4" s="374"/>
      <c r="J4" s="374"/>
      <c r="K4" s="374"/>
      <c r="L4" s="374"/>
      <c r="M4" s="374"/>
      <c r="N4" s="374"/>
      <c r="O4" s="374"/>
      <c r="P4" s="374"/>
      <c r="Q4" s="374"/>
      <c r="R4" s="374"/>
      <c r="S4" s="374"/>
      <c r="T4" s="374"/>
      <c r="U4" s="374"/>
      <c r="V4" s="374"/>
      <c r="W4" s="374"/>
      <c r="X4" s="374"/>
    </row>
    <row r="5" spans="1:24" ht="25.5" customHeight="1">
      <c r="A5" s="1035"/>
      <c r="B5" s="1026"/>
      <c r="C5" s="408" t="str">
        <f>'Áreas, Produt. e Postos'!A6</f>
        <v>Almoxarifados/galpões</v>
      </c>
      <c r="D5" s="409">
        <f>'Valores por m²'!C11</f>
        <v>1.9131458668094983</v>
      </c>
      <c r="E5" s="410">
        <f>'Áreas, Produt. e Postos'!E6</f>
        <v>195</v>
      </c>
      <c r="F5" s="409">
        <f t="shared" si="0"/>
        <v>373.06</v>
      </c>
      <c r="G5" s="374"/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4"/>
      <c r="T5" s="374"/>
      <c r="U5" s="374"/>
      <c r="V5" s="374"/>
      <c r="W5" s="374"/>
      <c r="X5" s="374"/>
    </row>
    <row r="6" spans="1:24" ht="25.5" customHeight="1">
      <c r="A6" s="1035"/>
      <c r="B6" s="1026"/>
      <c r="C6" s="408" t="str">
        <f>'Áreas, Produt. e Postos'!A7</f>
        <v>Oficinas</v>
      </c>
      <c r="D6" s="409">
        <f>'Valores por m²'!C15</f>
        <v>2.6571470372354145</v>
      </c>
      <c r="E6" s="410">
        <f>'Áreas, Produt. e Postos'!E7</f>
        <v>31.5</v>
      </c>
      <c r="F6" s="409">
        <f t="shared" si="0"/>
        <v>83.7</v>
      </c>
      <c r="G6" s="374"/>
      <c r="H6" s="374"/>
      <c r="I6" s="374"/>
      <c r="J6" s="374"/>
      <c r="K6" s="374"/>
      <c r="L6" s="374"/>
      <c r="M6" s="374"/>
      <c r="N6" s="374"/>
      <c r="O6" s="374"/>
      <c r="P6" s="374"/>
      <c r="Q6" s="374"/>
      <c r="R6" s="374"/>
      <c r="S6" s="374"/>
      <c r="T6" s="374"/>
      <c r="U6" s="374"/>
      <c r="V6" s="374"/>
      <c r="W6" s="374"/>
      <c r="X6" s="374"/>
    </row>
    <row r="7" spans="1:24" ht="25.5" customHeight="1">
      <c r="A7" s="1035"/>
      <c r="B7" s="1026"/>
      <c r="C7" s="408" t="str">
        <f>'Áreas, Produt. e Postos'!A8</f>
        <v xml:space="preserve">Áreas com espaços livres - Saguão / Hall / Salão  </v>
      </c>
      <c r="D7" s="409">
        <f>'Valores por m²'!C17</f>
        <v>3.1885764446824973</v>
      </c>
      <c r="E7" s="410">
        <f>'Áreas, Produt. e Postos'!E8</f>
        <v>92</v>
      </c>
      <c r="F7" s="409">
        <f t="shared" si="0"/>
        <v>293.35000000000002</v>
      </c>
      <c r="G7" s="374"/>
      <c r="H7" s="374"/>
      <c r="I7" s="374"/>
      <c r="J7" s="374"/>
      <c r="K7" s="374"/>
      <c r="L7" s="374"/>
      <c r="M7" s="374"/>
      <c r="N7" s="374"/>
      <c r="O7" s="374"/>
      <c r="P7" s="374"/>
      <c r="Q7" s="374"/>
      <c r="R7" s="374"/>
      <c r="S7" s="374"/>
      <c r="T7" s="374"/>
      <c r="U7" s="374"/>
      <c r="V7" s="374"/>
      <c r="W7" s="374"/>
      <c r="X7" s="374"/>
    </row>
    <row r="8" spans="1:24" ht="25.5" customHeight="1">
      <c r="A8" s="1035"/>
      <c r="B8" s="1026"/>
      <c r="C8" s="408" t="str">
        <f>'Áreas, Produt. e Postos'!A9</f>
        <v>Banheiros SEM adicional de insalubridade</v>
      </c>
      <c r="D8" s="409">
        <f>'Valores por m²'!C21</f>
        <v>15.942882223412486</v>
      </c>
      <c r="E8" s="410">
        <f>'Áreas, Produt. e Postos'!E9</f>
        <v>94.6</v>
      </c>
      <c r="F8" s="409">
        <f t="shared" si="0"/>
        <v>1508.2</v>
      </c>
      <c r="G8" s="374"/>
      <c r="H8" s="374"/>
      <c r="I8" s="374"/>
      <c r="J8" s="374"/>
      <c r="K8" s="374"/>
      <c r="L8" s="374"/>
      <c r="M8" s="374"/>
      <c r="N8" s="374"/>
      <c r="O8" s="374"/>
      <c r="P8" s="374"/>
      <c r="Q8" s="374"/>
      <c r="R8" s="374"/>
      <c r="S8" s="374"/>
      <c r="T8" s="374"/>
      <c r="U8" s="374"/>
      <c r="V8" s="374"/>
      <c r="W8" s="374"/>
      <c r="X8" s="374"/>
    </row>
    <row r="9" spans="1:24" ht="2.5" customHeight="1">
      <c r="A9" s="1035"/>
      <c r="B9" s="447"/>
      <c r="C9" s="408"/>
      <c r="D9" s="409"/>
      <c r="E9" s="410"/>
      <c r="F9" s="409"/>
      <c r="G9" s="374"/>
      <c r="H9" s="374"/>
      <c r="I9" s="374"/>
      <c r="J9" s="374"/>
      <c r="K9" s="374"/>
      <c r="L9" s="374"/>
      <c r="M9" s="374"/>
      <c r="N9" s="374"/>
      <c r="O9" s="374"/>
      <c r="P9" s="374"/>
      <c r="Q9" s="374"/>
      <c r="R9" s="374"/>
      <c r="S9" s="374"/>
      <c r="T9" s="374"/>
      <c r="U9" s="374"/>
      <c r="V9" s="374"/>
      <c r="W9" s="374"/>
      <c r="X9" s="374"/>
    </row>
    <row r="10" spans="1:24" ht="25.5" customHeight="1">
      <c r="A10" s="1035"/>
      <c r="B10" s="1026" t="s">
        <v>35</v>
      </c>
      <c r="C10" s="408" t="str">
        <f>'Áreas, Produt. e Postos'!A14</f>
        <v>Pisos pavimentados adjacentes/contíguos às edificações</v>
      </c>
      <c r="D10" s="409">
        <f>'Valores por m²'!C27</f>
        <v>1.771431358156943</v>
      </c>
      <c r="E10" s="410">
        <f>'Áreas, Produt. e Postos'!E14</f>
        <v>401</v>
      </c>
      <c r="F10" s="409">
        <f t="shared" ref="F10:F11" si="1">ROUND(D10*E10,2)</f>
        <v>710.34</v>
      </c>
      <c r="G10" s="374"/>
      <c r="H10" s="374"/>
      <c r="I10" s="374"/>
      <c r="J10" s="374"/>
      <c r="K10" s="374"/>
      <c r="L10" s="374"/>
      <c r="M10" s="374"/>
      <c r="N10" s="374"/>
      <c r="O10" s="374"/>
      <c r="P10" s="374"/>
      <c r="Q10" s="374"/>
      <c r="R10" s="374"/>
      <c r="S10" s="374"/>
      <c r="T10" s="374"/>
      <c r="U10" s="374"/>
      <c r="V10" s="374"/>
      <c r="W10" s="374"/>
      <c r="X10" s="374"/>
    </row>
    <row r="11" spans="1:24" ht="22.5" customHeight="1">
      <c r="A11" s="1035"/>
      <c r="B11" s="1026"/>
      <c r="C11" s="511" t="str">
        <f>'Áreas, Produt. e Postos'!A15</f>
        <v>Varrição de passeios e arruamentos</v>
      </c>
      <c r="D11" s="409">
        <f>'Valores por m²'!C31</f>
        <v>0.53142940744708289</v>
      </c>
      <c r="E11" s="410">
        <f>'Áreas, Produt. e Postos'!E15</f>
        <v>2070</v>
      </c>
      <c r="F11" s="409">
        <f t="shared" si="1"/>
        <v>1100.06</v>
      </c>
      <c r="G11" s="374"/>
      <c r="H11" s="374"/>
      <c r="I11" s="374"/>
      <c r="J11" s="374"/>
      <c r="K11" s="374"/>
      <c r="L11" s="374"/>
      <c r="M11" s="374"/>
      <c r="N11" s="374"/>
      <c r="O11" s="374"/>
      <c r="P11" s="374"/>
      <c r="Q11" s="374"/>
      <c r="R11" s="374"/>
      <c r="S11" s="374"/>
      <c r="T11" s="374"/>
      <c r="U11" s="374"/>
      <c r="V11" s="374"/>
      <c r="W11" s="374"/>
      <c r="X11" s="374"/>
    </row>
    <row r="12" spans="1:24" ht="3" customHeight="1">
      <c r="A12" s="1035"/>
      <c r="B12" s="447"/>
      <c r="C12" s="415"/>
      <c r="D12" s="409"/>
      <c r="E12" s="410"/>
      <c r="F12" s="409"/>
      <c r="G12" s="374"/>
      <c r="H12" s="374"/>
      <c r="I12" s="374"/>
      <c r="J12" s="374"/>
      <c r="K12" s="374"/>
      <c r="L12" s="374"/>
      <c r="M12" s="374"/>
      <c r="N12" s="374"/>
      <c r="O12" s="374"/>
      <c r="P12" s="374"/>
      <c r="Q12" s="374"/>
      <c r="R12" s="374"/>
      <c r="S12" s="374"/>
      <c r="T12" s="374"/>
      <c r="U12" s="374"/>
      <c r="V12" s="374"/>
      <c r="W12" s="374"/>
      <c r="X12" s="374"/>
    </row>
    <row r="13" spans="1:24" ht="25.5" customHeight="1">
      <c r="A13" s="1035"/>
      <c r="B13" s="1026" t="s">
        <v>344</v>
      </c>
      <c r="C13" s="408" t="str">
        <f>'Áreas, Produt. e Postos'!A22</f>
        <v>Face externa COM exposição a risco (SEMESTRAL)</v>
      </c>
      <c r="D13" s="409">
        <f>'Valores por m²'!C46</f>
        <v>0.28737288594343302</v>
      </c>
      <c r="E13" s="410">
        <f>'Áreas, Produt. e Postos'!E22</f>
        <v>158.4</v>
      </c>
      <c r="F13" s="409">
        <f t="shared" ref="F13:F16" si="2">ROUND(D13*E13,2)</f>
        <v>45.52</v>
      </c>
      <c r="G13" s="374"/>
      <c r="H13" s="374"/>
      <c r="I13" s="374"/>
      <c r="J13" s="374"/>
      <c r="K13" s="374"/>
      <c r="L13" s="374"/>
      <c r="M13" s="374"/>
      <c r="N13" s="374"/>
      <c r="O13" s="374"/>
      <c r="P13" s="374"/>
      <c r="Q13" s="374"/>
      <c r="R13" s="374"/>
      <c r="S13" s="374"/>
      <c r="T13" s="374"/>
      <c r="U13" s="374"/>
      <c r="V13" s="374"/>
      <c r="W13" s="374"/>
      <c r="X13" s="374"/>
    </row>
    <row r="14" spans="1:24" ht="23" customHeight="1">
      <c r="A14" s="1035"/>
      <c r="B14" s="1026"/>
      <c r="C14" s="408" t="str">
        <f>'Áreas, Produt. e Postos'!A23</f>
        <v>Face externa SEM exposição a risco (MENSAL)</v>
      </c>
      <c r="D14" s="409">
        <f>'Valores por m²'!C49</f>
        <v>1.1429719005006742</v>
      </c>
      <c r="E14" s="410">
        <f>'Áreas, Produt. e Postos'!E23</f>
        <v>560</v>
      </c>
      <c r="F14" s="409">
        <f t="shared" si="2"/>
        <v>640.05999999999995</v>
      </c>
      <c r="G14" s="374"/>
      <c r="H14" s="374"/>
      <c r="I14" s="374"/>
      <c r="J14" s="374"/>
      <c r="K14" s="374"/>
      <c r="L14" s="374"/>
      <c r="M14" s="374"/>
      <c r="N14" s="374"/>
      <c r="O14" s="374"/>
      <c r="P14" s="374"/>
      <c r="Q14" s="374"/>
      <c r="R14" s="374"/>
      <c r="S14" s="374"/>
      <c r="T14" s="374"/>
      <c r="U14" s="374"/>
      <c r="V14" s="374"/>
      <c r="W14" s="374"/>
      <c r="X14" s="374"/>
    </row>
    <row r="15" spans="1:24" ht="25.5" customHeight="1">
      <c r="A15" s="1035"/>
      <c r="B15" s="1026"/>
      <c r="C15" s="408" t="str">
        <f>'Áreas, Produt. e Postos'!A24</f>
        <v>Face interna (MENSAL)</v>
      </c>
      <c r="D15" s="409">
        <f>'Valores por m²'!C54</f>
        <v>1.1429719005006742</v>
      </c>
      <c r="E15" s="410">
        <f>'Áreas, Produt. e Postos'!E24</f>
        <v>560</v>
      </c>
      <c r="F15" s="409">
        <f t="shared" si="2"/>
        <v>640.05999999999995</v>
      </c>
      <c r="G15" s="374"/>
      <c r="H15" s="374"/>
      <c r="I15" s="374"/>
      <c r="J15" s="374"/>
      <c r="K15" s="374"/>
      <c r="L15" s="374"/>
      <c r="M15" s="374"/>
      <c r="N15" s="374"/>
      <c r="O15" s="374"/>
      <c r="P15" s="374"/>
      <c r="Q15" s="374"/>
      <c r="R15" s="374"/>
      <c r="S15" s="374"/>
      <c r="T15" s="374"/>
      <c r="U15" s="374"/>
      <c r="V15" s="374"/>
      <c r="W15" s="374"/>
      <c r="X15" s="374"/>
    </row>
    <row r="16" spans="1:24" ht="20" customHeight="1">
      <c r="A16" s="1035"/>
      <c r="B16" s="1026"/>
      <c r="C16" s="408" t="str">
        <f>'Áreas, Produt. e Postos'!A25</f>
        <v>Fachadas envidraçadas (SEMESTRAL)</v>
      </c>
      <c r="D16" s="409">
        <f>'Valores por m²'!C59</f>
        <v>0.28737288594343302</v>
      </c>
      <c r="E16" s="410">
        <f>'Áreas, Produt. e Postos'!E25</f>
        <v>500</v>
      </c>
      <c r="F16" s="409">
        <f t="shared" si="2"/>
        <v>143.69</v>
      </c>
      <c r="G16" s="374"/>
      <c r="H16" s="374"/>
      <c r="I16" s="374"/>
      <c r="J16" s="374"/>
      <c r="K16" s="374"/>
      <c r="L16" s="374"/>
      <c r="M16" s="374"/>
      <c r="N16" s="374"/>
      <c r="O16" s="374"/>
      <c r="P16" s="374"/>
      <c r="Q16" s="374"/>
      <c r="R16" s="374"/>
      <c r="S16" s="374"/>
      <c r="T16" s="374"/>
      <c r="U16" s="374"/>
      <c r="V16" s="374"/>
      <c r="W16" s="374"/>
      <c r="X16" s="374"/>
    </row>
    <row r="17" spans="1:24" ht="2.5" customHeight="1">
      <c r="A17" s="1035"/>
      <c r="B17" s="447"/>
      <c r="C17" s="509"/>
      <c r="D17" s="418"/>
      <c r="E17" s="510"/>
      <c r="F17" s="409"/>
      <c r="G17" s="374"/>
      <c r="H17" s="374"/>
      <c r="I17" s="374"/>
      <c r="J17" s="374"/>
      <c r="K17" s="374"/>
      <c r="L17" s="374"/>
      <c r="M17" s="374"/>
      <c r="N17" s="374"/>
      <c r="O17" s="374"/>
      <c r="P17" s="374"/>
      <c r="Q17" s="374"/>
      <c r="R17" s="374"/>
      <c r="S17" s="374"/>
      <c r="T17" s="374"/>
      <c r="U17" s="374"/>
      <c r="V17" s="374"/>
      <c r="W17" s="374"/>
      <c r="X17" s="374"/>
    </row>
    <row r="18" spans="1:24" ht="25.5" customHeight="1">
      <c r="A18" s="1035"/>
      <c r="B18" s="416" t="s">
        <v>345</v>
      </c>
      <c r="C18" s="417"/>
      <c r="D18" s="418"/>
      <c r="E18" s="419">
        <f>SUM(E2:E16)</f>
        <v>6652.7999999999993</v>
      </c>
      <c r="F18" s="420">
        <f>SUM(F2:F16)</f>
        <v>13470.820000000002</v>
      </c>
      <c r="G18" s="374"/>
      <c r="H18" s="374"/>
      <c r="I18" s="374"/>
      <c r="J18" s="374"/>
      <c r="K18" s="374"/>
      <c r="L18" s="374"/>
      <c r="M18" s="374"/>
      <c r="N18" s="374"/>
      <c r="O18" s="374"/>
      <c r="P18" s="374"/>
      <c r="Q18" s="374"/>
      <c r="R18" s="374"/>
      <c r="S18" s="374"/>
      <c r="T18" s="374"/>
      <c r="U18" s="374"/>
      <c r="V18" s="374"/>
      <c r="W18" s="374"/>
      <c r="X18" s="374"/>
    </row>
    <row r="19" spans="1:24" ht="25.5" customHeight="1">
      <c r="A19" s="1035"/>
      <c r="B19" s="421" t="s">
        <v>346</v>
      </c>
      <c r="C19" s="417"/>
      <c r="D19" s="413"/>
      <c r="E19" s="422"/>
      <c r="F19" s="420">
        <f>'Servente 40h'!G131</f>
        <v>321.56400642742301</v>
      </c>
      <c r="G19" s="374"/>
      <c r="H19" s="374"/>
      <c r="I19" s="374"/>
      <c r="J19" s="374"/>
      <c r="K19" s="374"/>
      <c r="L19" s="374"/>
      <c r="M19" s="374"/>
      <c r="N19" s="374"/>
      <c r="O19" s="374"/>
      <c r="P19" s="374"/>
      <c r="Q19" s="374"/>
      <c r="R19" s="374"/>
      <c r="S19" s="374"/>
      <c r="T19" s="374"/>
      <c r="U19" s="374"/>
      <c r="V19" s="374"/>
      <c r="W19" s="374"/>
      <c r="X19" s="374"/>
    </row>
    <row r="20" spans="1:24" ht="25.5" customHeight="1">
      <c r="A20" s="1035"/>
      <c r="B20" s="421" t="s">
        <v>358</v>
      </c>
      <c r="C20" s="417"/>
      <c r="D20" s="413"/>
      <c r="E20" s="422"/>
      <c r="F20" s="420">
        <f>'Materiais de Higiene '!I19</f>
        <v>1841.1762185324051</v>
      </c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4"/>
      <c r="R20" s="374"/>
      <c r="S20" s="374"/>
      <c r="T20" s="374"/>
      <c r="U20" s="374"/>
      <c r="V20" s="374"/>
      <c r="W20" s="374"/>
      <c r="X20" s="374"/>
    </row>
    <row r="21" spans="1:24" ht="25.5" customHeight="1">
      <c r="A21" s="1035"/>
      <c r="B21" s="421" t="s">
        <v>347</v>
      </c>
      <c r="C21" s="417"/>
      <c r="D21" s="413"/>
      <c r="E21" s="422"/>
      <c r="F21" s="420">
        <f>SUM(F18:F20)</f>
        <v>15633.560224959831</v>
      </c>
      <c r="G21" s="374"/>
      <c r="H21" s="374"/>
      <c r="I21" s="374"/>
      <c r="J21" s="374"/>
      <c r="K21" s="374"/>
      <c r="L21" s="374"/>
      <c r="M21" s="374"/>
      <c r="N21" s="374"/>
      <c r="O21" s="374"/>
      <c r="P21" s="374"/>
      <c r="Q21" s="374"/>
      <c r="R21" s="374"/>
      <c r="S21" s="374"/>
      <c r="T21" s="374"/>
      <c r="U21" s="374"/>
      <c r="V21" s="374"/>
      <c r="W21" s="374"/>
      <c r="X21" s="374"/>
    </row>
    <row r="22" spans="1:24" ht="25.5" customHeight="1">
      <c r="A22" s="443"/>
      <c r="B22" s="444"/>
      <c r="C22" s="417"/>
      <c r="D22" s="413"/>
      <c r="E22" s="414"/>
      <c r="F22" s="445"/>
      <c r="G22" s="374"/>
      <c r="H22" s="374"/>
      <c r="I22" s="374"/>
      <c r="J22" s="374"/>
      <c r="K22" s="374"/>
      <c r="L22" s="374"/>
      <c r="M22" s="374"/>
      <c r="N22" s="374"/>
      <c r="O22" s="374"/>
      <c r="P22" s="374"/>
      <c r="Q22" s="374"/>
      <c r="R22" s="374"/>
      <c r="S22" s="374"/>
      <c r="T22" s="374"/>
      <c r="U22" s="374"/>
      <c r="V22" s="374"/>
      <c r="W22" s="374"/>
      <c r="X22" s="374"/>
    </row>
    <row r="23" spans="1:24" ht="28" customHeight="1">
      <c r="A23" s="405" t="s">
        <v>202</v>
      </c>
      <c r="B23" s="1038" t="s">
        <v>205</v>
      </c>
      <c r="C23" s="1038"/>
      <c r="D23" s="406" t="s">
        <v>342</v>
      </c>
      <c r="E23" s="405" t="s">
        <v>303</v>
      </c>
      <c r="F23" s="405" t="s">
        <v>343</v>
      </c>
      <c r="G23" s="374"/>
      <c r="H23" s="374"/>
      <c r="I23" s="374"/>
      <c r="J23" s="374"/>
      <c r="K23" s="374"/>
      <c r="L23" s="374"/>
      <c r="M23" s="374"/>
      <c r="N23" s="374"/>
      <c r="O23" s="374"/>
      <c r="P23" s="374"/>
      <c r="Q23" s="374"/>
      <c r="R23" s="374"/>
      <c r="S23" s="374"/>
      <c r="T23" s="374"/>
      <c r="U23" s="374"/>
      <c r="V23" s="374"/>
      <c r="W23" s="374"/>
      <c r="X23" s="374"/>
    </row>
    <row r="24" spans="1:24" ht="25.5" customHeight="1">
      <c r="A24" s="1035" t="s">
        <v>272</v>
      </c>
      <c r="B24" s="1026" t="s">
        <v>34</v>
      </c>
      <c r="C24" s="408" t="str">
        <f>'Áreas, Produt. e Postos'!A3</f>
        <v>Piso acarpetado</v>
      </c>
      <c r="D24" s="409">
        <f>'Valores por m²'!C3</f>
        <v>4.1219706</v>
      </c>
      <c r="E24" s="410">
        <f>'Áreas, Produt. e Postos'!I3</f>
        <v>260</v>
      </c>
      <c r="F24" s="409">
        <f t="shared" ref="F24:F37" si="3">ROUND(D24*E24,2)</f>
        <v>1071.71</v>
      </c>
      <c r="G24" s="374"/>
      <c r="H24" s="374"/>
      <c r="I24" s="374"/>
      <c r="J24" s="374"/>
      <c r="K24" s="374"/>
      <c r="L24" s="374"/>
      <c r="M24" s="374"/>
      <c r="N24" s="374"/>
      <c r="O24" s="374"/>
      <c r="P24" s="374"/>
      <c r="Q24" s="374"/>
      <c r="R24" s="374"/>
      <c r="S24" s="374"/>
      <c r="T24" s="374"/>
      <c r="U24" s="374"/>
      <c r="V24" s="374"/>
      <c r="W24" s="374"/>
      <c r="X24" s="374"/>
    </row>
    <row r="25" spans="1:24" ht="25.5" customHeight="1">
      <c r="A25" s="1035"/>
      <c r="B25" s="1026"/>
      <c r="C25" s="408" t="str">
        <f>'Áreas, Produt. e Postos'!A4</f>
        <v>Piso frio</v>
      </c>
      <c r="D25" s="409">
        <f>'Valores por m²'!C7</f>
        <v>4.1219705953901355</v>
      </c>
      <c r="E25" s="410">
        <f>'Áreas, Produt. e Postos'!I4</f>
        <v>2100</v>
      </c>
      <c r="F25" s="409">
        <f t="shared" si="3"/>
        <v>8656.14</v>
      </c>
      <c r="G25" s="374"/>
      <c r="H25" s="374"/>
      <c r="I25" s="374"/>
      <c r="J25" s="374"/>
      <c r="K25" s="374"/>
      <c r="L25" s="374"/>
      <c r="M25" s="374"/>
      <c r="N25" s="374"/>
      <c r="O25" s="374"/>
      <c r="P25" s="374"/>
      <c r="Q25" s="374"/>
      <c r="R25" s="374"/>
      <c r="S25" s="374"/>
      <c r="T25" s="374"/>
      <c r="U25" s="374"/>
      <c r="V25" s="374"/>
      <c r="W25" s="374"/>
      <c r="X25" s="374"/>
    </row>
    <row r="26" spans="1:24" ht="25.5" customHeight="1">
      <c r="A26" s="1035"/>
      <c r="B26" s="1026"/>
      <c r="C26" s="408" t="str">
        <f>'Áreas, Produt. e Postos'!A6</f>
        <v>Almoxarifados/galpões</v>
      </c>
      <c r="D26" s="409">
        <f>'Valores por m²'!C12</f>
        <v>1.9785458857872651</v>
      </c>
      <c r="E26" s="410">
        <f>'Áreas, Produt. e Postos'!I6</f>
        <v>420</v>
      </c>
      <c r="F26" s="409">
        <f t="shared" si="3"/>
        <v>830.99</v>
      </c>
      <c r="G26" s="374"/>
      <c r="H26" s="374"/>
      <c r="I26" s="374"/>
      <c r="J26" s="374"/>
      <c r="K26" s="374"/>
      <c r="L26" s="374"/>
      <c r="M26" s="374"/>
      <c r="N26" s="374"/>
      <c r="O26" s="374"/>
      <c r="P26" s="374"/>
      <c r="Q26" s="374"/>
      <c r="R26" s="374"/>
      <c r="S26" s="374"/>
      <c r="T26" s="374"/>
      <c r="U26" s="374"/>
      <c r="V26" s="374"/>
      <c r="W26" s="374"/>
      <c r="X26" s="374"/>
    </row>
    <row r="27" spans="1:24" ht="25.5" customHeight="1">
      <c r="A27" s="1035"/>
      <c r="B27" s="1026"/>
      <c r="C27" s="408" t="str">
        <f>'Áreas, Produt. e Postos'!A8</f>
        <v xml:space="preserve">Áreas com espaços livres - Saguão / Hall / Salão  </v>
      </c>
      <c r="D27" s="409">
        <f>'Valores por m²'!C18</f>
        <v>3.2975764763121083</v>
      </c>
      <c r="E27" s="410">
        <f>'Áreas, Produt. e Postos'!I8</f>
        <v>445</v>
      </c>
      <c r="F27" s="409">
        <f t="shared" si="3"/>
        <v>1467.42</v>
      </c>
      <c r="G27" s="374"/>
      <c r="H27" s="374"/>
      <c r="I27" s="374"/>
      <c r="J27" s="374"/>
      <c r="K27" s="374"/>
      <c r="L27" s="374"/>
      <c r="M27" s="374"/>
      <c r="N27" s="374"/>
      <c r="O27" s="374"/>
      <c r="P27" s="374"/>
      <c r="Q27" s="374"/>
      <c r="R27" s="374"/>
      <c r="S27" s="374"/>
      <c r="T27" s="374"/>
      <c r="U27" s="374"/>
      <c r="V27" s="374"/>
      <c r="W27" s="374"/>
      <c r="X27" s="374"/>
    </row>
    <row r="28" spans="1:24" ht="25.5" customHeight="1">
      <c r="A28" s="1035"/>
      <c r="B28" s="1026"/>
      <c r="C28" s="408" t="str">
        <f>'Áreas, Produt. e Postos'!A9</f>
        <v>Banheiros SEM adicional de insalubridade</v>
      </c>
      <c r="D28" s="409">
        <f>'Valores por m²'!C22</f>
        <v>16.487882381560542</v>
      </c>
      <c r="E28" s="410">
        <f>'Áreas, Produt. e Postos'!I9</f>
        <v>210</v>
      </c>
      <c r="F28" s="409">
        <f t="shared" si="3"/>
        <v>3462.46</v>
      </c>
      <c r="G28" s="374"/>
      <c r="H28" s="374"/>
      <c r="I28" s="374"/>
      <c r="J28" s="374"/>
      <c r="K28" s="374"/>
      <c r="L28" s="374"/>
      <c r="M28" s="374"/>
      <c r="N28" s="374"/>
      <c r="O28" s="374"/>
      <c r="P28" s="374"/>
      <c r="Q28" s="374"/>
      <c r="R28" s="374"/>
      <c r="S28" s="374"/>
      <c r="T28" s="374"/>
      <c r="U28" s="374"/>
      <c r="V28" s="374"/>
      <c r="W28" s="374"/>
      <c r="X28" s="374"/>
    </row>
    <row r="29" spans="1:24" ht="2.5" customHeight="1">
      <c r="A29" s="1035"/>
      <c r="B29" s="447"/>
      <c r="C29" s="408"/>
      <c r="D29" s="409"/>
      <c r="E29" s="410"/>
      <c r="F29" s="409"/>
      <c r="G29" s="374"/>
      <c r="H29" s="374"/>
      <c r="I29" s="374"/>
      <c r="J29" s="374"/>
      <c r="K29" s="374"/>
      <c r="L29" s="374"/>
      <c r="M29" s="374"/>
      <c r="N29" s="374"/>
      <c r="O29" s="374"/>
      <c r="P29" s="374"/>
      <c r="Q29" s="374"/>
      <c r="R29" s="374"/>
      <c r="S29" s="374"/>
      <c r="T29" s="374"/>
      <c r="U29" s="374"/>
      <c r="V29" s="374"/>
      <c r="W29" s="374"/>
      <c r="X29" s="374"/>
    </row>
    <row r="30" spans="1:24" ht="25.5" customHeight="1">
      <c r="A30" s="1035"/>
      <c r="B30" s="1026" t="s">
        <v>35</v>
      </c>
      <c r="C30" s="408" t="str">
        <f>'Áreas, Produt. e Postos'!A14</f>
        <v>Pisos pavimentados adjacentes/contíguos às edificações</v>
      </c>
      <c r="D30" s="409">
        <f>'Valores por m²'!C28</f>
        <v>1.8319869312845047</v>
      </c>
      <c r="E30" s="410">
        <f>'Áreas, Produt. e Postos'!I14</f>
        <v>1350</v>
      </c>
      <c r="F30" s="409">
        <f t="shared" si="3"/>
        <v>2473.1799999999998</v>
      </c>
      <c r="G30" s="374"/>
      <c r="H30" s="374"/>
      <c r="I30" s="374"/>
      <c r="J30" s="374"/>
      <c r="K30" s="374"/>
      <c r="L30" s="374"/>
      <c r="M30" s="374"/>
      <c r="N30" s="374"/>
      <c r="O30" s="374"/>
      <c r="P30" s="374"/>
      <c r="Q30" s="374"/>
      <c r="R30" s="374"/>
      <c r="S30" s="374"/>
      <c r="T30" s="374"/>
      <c r="U30" s="374"/>
      <c r="V30" s="374"/>
      <c r="W30" s="374"/>
      <c r="X30" s="374"/>
    </row>
    <row r="31" spans="1:24" ht="25.5" customHeight="1">
      <c r="A31" s="1035"/>
      <c r="B31" s="1026"/>
      <c r="C31" s="408" t="str">
        <f>'Áreas, Produt. e Postos'!A15</f>
        <v>Varrição de passeios e arruamentos</v>
      </c>
      <c r="D31" s="409">
        <f>'Valores por m²'!C32</f>
        <v>0.54959607938535138</v>
      </c>
      <c r="E31" s="410">
        <f>'Áreas, Produt. e Postos'!I15</f>
        <v>120</v>
      </c>
      <c r="F31" s="409">
        <f t="shared" si="3"/>
        <v>65.95</v>
      </c>
      <c r="G31" s="374"/>
      <c r="H31" s="374"/>
      <c r="I31" s="374"/>
      <c r="J31" s="374"/>
      <c r="K31" s="374"/>
      <c r="L31" s="374"/>
      <c r="M31" s="374"/>
      <c r="N31" s="374"/>
      <c r="O31" s="374"/>
      <c r="P31" s="374"/>
      <c r="Q31" s="374"/>
      <c r="R31" s="374"/>
      <c r="S31" s="374"/>
      <c r="T31" s="374"/>
      <c r="U31" s="374"/>
      <c r="V31" s="374"/>
      <c r="W31" s="374"/>
      <c r="X31" s="374"/>
    </row>
    <row r="32" spans="1:24" ht="25.5" customHeight="1">
      <c r="A32" s="1035"/>
      <c r="B32" s="1026"/>
      <c r="C32" s="408" t="str">
        <f>'Áreas, Produt. e Postos'!A17</f>
        <v>Pátios e áreas verdes com MÉDIA frequência</v>
      </c>
      <c r="D32" s="409">
        <f>'Valores por m²'!C38</f>
        <v>1.8319869312845047</v>
      </c>
      <c r="E32" s="410">
        <f>'Áreas, Produt. e Postos'!I17</f>
        <v>925</v>
      </c>
      <c r="F32" s="409">
        <f t="shared" si="3"/>
        <v>1694.59</v>
      </c>
      <c r="G32" s="374"/>
      <c r="H32" s="374"/>
      <c r="I32" s="374"/>
      <c r="J32" s="374"/>
      <c r="K32" s="374"/>
      <c r="L32" s="374"/>
      <c r="M32" s="374"/>
      <c r="N32" s="374"/>
      <c r="O32" s="374"/>
      <c r="P32" s="374"/>
      <c r="Q32" s="374"/>
      <c r="R32" s="374"/>
      <c r="S32" s="374"/>
      <c r="T32" s="374"/>
      <c r="U32" s="374"/>
      <c r="V32" s="374"/>
      <c r="W32" s="374"/>
      <c r="X32" s="374"/>
    </row>
    <row r="33" spans="1:24" ht="25.5" customHeight="1">
      <c r="A33" s="1035"/>
      <c r="B33" s="1026"/>
      <c r="C33" s="415" t="str">
        <f>'Áreas, Produt. e Postos'!A19</f>
        <v>Coleta de detritos em pátios e áreas verdes com frequência diária</v>
      </c>
      <c r="D33" s="409">
        <f>'Valores por m²'!C42</f>
        <v>4.9463647144681627E-2</v>
      </c>
      <c r="E33" s="410">
        <f>'Áreas, Produt. e Postos'!I19</f>
        <v>660</v>
      </c>
      <c r="F33" s="409">
        <f t="shared" si="3"/>
        <v>32.65</v>
      </c>
      <c r="G33" s="374"/>
      <c r="H33" s="374"/>
      <c r="I33" s="374"/>
      <c r="J33" s="374"/>
      <c r="K33" s="374"/>
      <c r="L33" s="374"/>
      <c r="M33" s="374"/>
      <c r="N33" s="374"/>
      <c r="O33" s="374"/>
      <c r="P33" s="374"/>
      <c r="Q33" s="374"/>
      <c r="R33" s="374"/>
      <c r="S33" s="374"/>
      <c r="T33" s="374"/>
      <c r="U33" s="374"/>
      <c r="V33" s="374"/>
      <c r="W33" s="374"/>
      <c r="X33" s="374"/>
    </row>
    <row r="34" spans="1:24" ht="2.5" customHeight="1">
      <c r="A34" s="1035"/>
      <c r="B34" s="447"/>
      <c r="C34" s="415"/>
      <c r="D34" s="409"/>
      <c r="E34" s="410"/>
      <c r="F34" s="409"/>
      <c r="G34" s="374"/>
      <c r="H34" s="374"/>
      <c r="I34" s="374"/>
      <c r="J34" s="374"/>
      <c r="K34" s="374"/>
      <c r="L34" s="374"/>
      <c r="M34" s="374"/>
      <c r="N34" s="374"/>
      <c r="O34" s="374"/>
      <c r="P34" s="374"/>
      <c r="Q34" s="374"/>
      <c r="R34" s="374"/>
      <c r="S34" s="374"/>
      <c r="T34" s="374"/>
      <c r="U34" s="374"/>
      <c r="V34" s="374"/>
      <c r="W34" s="374"/>
      <c r="X34" s="374"/>
    </row>
    <row r="35" spans="1:24" ht="25.5" customHeight="1">
      <c r="A35" s="1035"/>
      <c r="B35" s="1026" t="s">
        <v>344</v>
      </c>
      <c r="C35" s="408" t="str">
        <f>'Áreas, Produt. e Postos'!A22</f>
        <v>Face externa COM exposição a risco (SEMESTRAL)</v>
      </c>
      <c r="D35" s="409">
        <f>'Valores por m²'!C47</f>
        <v>0.29633219479438438</v>
      </c>
      <c r="E35" s="410">
        <f>'Áreas, Produt. e Postos'!I22</f>
        <v>91.57</v>
      </c>
      <c r="F35" s="409">
        <f t="shared" si="3"/>
        <v>27.14</v>
      </c>
      <c r="G35" s="374"/>
      <c r="H35" s="374"/>
      <c r="I35" s="374"/>
      <c r="J35" s="374"/>
      <c r="K35" s="374"/>
      <c r="L35" s="374"/>
      <c r="M35" s="374"/>
      <c r="N35" s="374"/>
      <c r="O35" s="374"/>
      <c r="P35" s="374"/>
      <c r="Q35" s="374"/>
      <c r="R35" s="374"/>
      <c r="S35" s="374"/>
      <c r="T35" s="374"/>
      <c r="U35" s="374"/>
      <c r="V35" s="374"/>
      <c r="W35" s="374"/>
      <c r="X35" s="374"/>
    </row>
    <row r="36" spans="1:24" ht="25.5" customHeight="1">
      <c r="A36" s="1035"/>
      <c r="B36" s="1026"/>
      <c r="C36" s="408" t="str">
        <f>'Áreas, Produt. e Postos'!A23</f>
        <v>Face externa SEM exposição a risco (MENSAL)</v>
      </c>
      <c r="D36" s="409">
        <f>'Valores por m²'!C50</f>
        <v>1.1811061747815861</v>
      </c>
      <c r="E36" s="410">
        <f>'Áreas, Produt. e Postos'!I23</f>
        <v>304.18</v>
      </c>
      <c r="F36" s="409">
        <f t="shared" si="3"/>
        <v>359.27</v>
      </c>
      <c r="G36" s="374"/>
      <c r="H36" s="374"/>
      <c r="I36" s="374"/>
      <c r="J36" s="374"/>
      <c r="K36" s="374"/>
      <c r="L36" s="374"/>
      <c r="M36" s="374"/>
      <c r="N36" s="374"/>
      <c r="O36" s="374"/>
      <c r="P36" s="374"/>
      <c r="Q36" s="374"/>
      <c r="R36" s="374"/>
      <c r="S36" s="374"/>
      <c r="T36" s="374"/>
      <c r="U36" s="374"/>
      <c r="V36" s="374"/>
      <c r="W36" s="374"/>
      <c r="X36" s="374"/>
    </row>
    <row r="37" spans="1:24" ht="25.5" customHeight="1">
      <c r="A37" s="1035"/>
      <c r="B37" s="1026"/>
      <c r="C37" s="408" t="str">
        <f>'Áreas, Produt. e Postos'!A24</f>
        <v>Face interna (MENSAL)</v>
      </c>
      <c r="D37" s="409">
        <f>'Valores por m²'!C55</f>
        <v>1.1811061747815861</v>
      </c>
      <c r="E37" s="410">
        <f>'Áreas, Produt. e Postos'!I24</f>
        <v>395.75</v>
      </c>
      <c r="F37" s="409">
        <f t="shared" si="3"/>
        <v>467.42</v>
      </c>
      <c r="G37" s="374"/>
      <c r="H37" s="374"/>
      <c r="I37" s="374"/>
      <c r="J37" s="374"/>
      <c r="K37" s="374"/>
      <c r="L37" s="374"/>
      <c r="M37" s="374"/>
      <c r="N37" s="374"/>
      <c r="O37" s="374"/>
      <c r="P37" s="374"/>
      <c r="Q37" s="374"/>
      <c r="R37" s="374"/>
      <c r="S37" s="374"/>
      <c r="T37" s="374"/>
      <c r="U37" s="374"/>
      <c r="V37" s="374"/>
      <c r="W37" s="374"/>
      <c r="X37" s="374"/>
    </row>
    <row r="38" spans="1:24" ht="3" customHeight="1">
      <c r="A38" s="1035"/>
      <c r="B38" s="447"/>
      <c r="C38" s="509"/>
      <c r="D38" s="418"/>
      <c r="E38" s="510"/>
      <c r="F38" s="409"/>
      <c r="G38" s="374"/>
      <c r="H38" s="374"/>
      <c r="I38" s="374"/>
      <c r="J38" s="374"/>
      <c r="K38" s="374"/>
      <c r="L38" s="374"/>
      <c r="M38" s="374"/>
      <c r="N38" s="374"/>
      <c r="O38" s="374"/>
      <c r="P38" s="374"/>
      <c r="Q38" s="374"/>
      <c r="R38" s="374"/>
      <c r="S38" s="374"/>
      <c r="T38" s="374"/>
      <c r="U38" s="374"/>
      <c r="V38" s="374"/>
      <c r="W38" s="374"/>
      <c r="X38" s="374"/>
    </row>
    <row r="39" spans="1:24" ht="25.5" customHeight="1">
      <c r="A39" s="1035"/>
      <c r="B39" s="416" t="s">
        <v>345</v>
      </c>
      <c r="C39" s="417"/>
      <c r="D39" s="418"/>
      <c r="E39" s="419">
        <f>SUM(E24:E37)</f>
        <v>7281.5</v>
      </c>
      <c r="F39" s="420">
        <f>SUM(F24:F37)</f>
        <v>20608.919999999998</v>
      </c>
      <c r="G39" s="374"/>
      <c r="H39" s="374"/>
      <c r="I39" s="374"/>
      <c r="J39" s="374"/>
      <c r="K39" s="374"/>
      <c r="L39" s="374"/>
      <c r="M39" s="374"/>
      <c r="N39" s="374"/>
      <c r="O39" s="374"/>
      <c r="P39" s="374"/>
      <c r="Q39" s="374"/>
      <c r="R39" s="374"/>
      <c r="S39" s="374"/>
      <c r="T39" s="374"/>
      <c r="U39" s="374"/>
      <c r="V39" s="374"/>
      <c r="W39" s="374"/>
      <c r="X39" s="374"/>
    </row>
    <row r="40" spans="1:24" ht="25.5" customHeight="1">
      <c r="A40" s="1035"/>
      <c r="B40" s="421" t="s">
        <v>346</v>
      </c>
      <c r="C40" s="417"/>
      <c r="D40" s="413"/>
      <c r="E40" s="422"/>
      <c r="F40" s="420">
        <f>'Servente 40h'!H131</f>
        <v>328.60426929392361</v>
      </c>
      <c r="G40" s="374"/>
      <c r="H40" s="374"/>
      <c r="I40" s="374"/>
      <c r="J40" s="374"/>
      <c r="K40" s="374"/>
      <c r="L40" s="374"/>
      <c r="M40" s="374"/>
      <c r="N40" s="374"/>
      <c r="O40" s="374"/>
      <c r="P40" s="374"/>
      <c r="Q40" s="374"/>
      <c r="R40" s="374"/>
      <c r="S40" s="374"/>
      <c r="T40" s="374"/>
      <c r="U40" s="374"/>
      <c r="V40" s="374"/>
      <c r="W40" s="374"/>
      <c r="X40" s="374"/>
    </row>
    <row r="41" spans="1:24" ht="25.5" customHeight="1">
      <c r="A41" s="1035"/>
      <c r="B41" s="421" t="str">
        <f>IF([1]Preparação!$B$34=5,"Valor Mensal do Material Limpeza e do Material de Higiene da Unidade","Valor Mensal do Material de Higiene da Unidade")</f>
        <v>Valor Mensal do Material de Higiene da Unidade</v>
      </c>
      <c r="C41" s="417"/>
      <c r="D41" s="413"/>
      <c r="E41" s="422"/>
      <c r="F41" s="420">
        <f>'Materiais de Higiene '!K19</f>
        <v>2177.9284802043421</v>
      </c>
      <c r="G41" s="374"/>
      <c r="H41" s="374"/>
      <c r="I41" s="374"/>
      <c r="J41" s="374"/>
      <c r="K41" s="374"/>
      <c r="L41" s="374"/>
      <c r="M41" s="374"/>
      <c r="N41" s="374"/>
      <c r="O41" s="374"/>
      <c r="P41" s="374"/>
      <c r="Q41" s="374"/>
      <c r="R41" s="374"/>
      <c r="S41" s="374"/>
      <c r="T41" s="374"/>
      <c r="U41" s="374"/>
      <c r="V41" s="374"/>
      <c r="W41" s="374"/>
      <c r="X41" s="374"/>
    </row>
    <row r="42" spans="1:24" ht="25.5" customHeight="1">
      <c r="A42" s="1035"/>
      <c r="B42" s="421" t="s">
        <v>347</v>
      </c>
      <c r="C42" s="417"/>
      <c r="D42" s="413"/>
      <c r="E42" s="422"/>
      <c r="F42" s="420">
        <f>SUM(F39:F41)</f>
        <v>23115.452749498261</v>
      </c>
      <c r="G42" s="374"/>
      <c r="H42" s="374"/>
      <c r="I42" s="374"/>
      <c r="J42" s="374"/>
      <c r="K42" s="374"/>
      <c r="L42" s="374"/>
      <c r="M42" s="374"/>
      <c r="N42" s="374"/>
      <c r="O42" s="374"/>
      <c r="P42" s="374"/>
      <c r="Q42" s="374"/>
      <c r="R42" s="374"/>
      <c r="S42" s="374"/>
      <c r="T42" s="374"/>
      <c r="U42" s="374"/>
      <c r="V42" s="374"/>
      <c r="W42" s="374"/>
      <c r="X42" s="374"/>
    </row>
    <row r="43" spans="1:24" ht="25.5" customHeight="1">
      <c r="A43" s="443"/>
      <c r="B43" s="444"/>
      <c r="C43" s="417"/>
      <c r="D43" s="413"/>
      <c r="E43" s="414"/>
      <c r="F43" s="445"/>
      <c r="G43" s="374"/>
      <c r="H43" s="374"/>
      <c r="I43" s="374"/>
      <c r="J43" s="374"/>
      <c r="K43" s="374"/>
      <c r="L43" s="374"/>
      <c r="M43" s="374"/>
      <c r="N43" s="374"/>
      <c r="O43" s="374"/>
      <c r="P43" s="374"/>
      <c r="Q43" s="374"/>
      <c r="R43" s="374"/>
      <c r="S43" s="374"/>
      <c r="T43" s="374"/>
      <c r="U43" s="374"/>
      <c r="V43" s="374"/>
      <c r="W43" s="374"/>
      <c r="X43" s="374"/>
    </row>
    <row r="44" spans="1:24" ht="25.5" customHeight="1">
      <c r="A44" s="405" t="s">
        <v>202</v>
      </c>
      <c r="B44" s="1038" t="s">
        <v>205</v>
      </c>
      <c r="C44" s="1038"/>
      <c r="D44" s="406" t="s">
        <v>342</v>
      </c>
      <c r="E44" s="405" t="s">
        <v>303</v>
      </c>
      <c r="F44" s="405" t="s">
        <v>343</v>
      </c>
      <c r="G44" s="374"/>
      <c r="H44" s="374"/>
      <c r="I44" s="374"/>
      <c r="J44" s="374"/>
      <c r="K44" s="374"/>
      <c r="L44" s="374"/>
      <c r="M44" s="374"/>
      <c r="N44" s="374"/>
      <c r="O44" s="374"/>
      <c r="P44" s="374"/>
      <c r="Q44" s="374"/>
      <c r="R44" s="374"/>
      <c r="S44" s="374"/>
      <c r="T44" s="374"/>
      <c r="U44" s="374"/>
      <c r="V44" s="374"/>
      <c r="W44" s="374"/>
      <c r="X44" s="374"/>
    </row>
    <row r="45" spans="1:24" ht="25.5" customHeight="1">
      <c r="A45" s="1035" t="s">
        <v>273</v>
      </c>
      <c r="B45" s="1026" t="str">
        <f>$B$2</f>
        <v>ÁREAS INTERNAS</v>
      </c>
      <c r="C45" s="408" t="str">
        <f>'Áreas, Produt. e Postos'!A3</f>
        <v>Piso acarpetado</v>
      </c>
      <c r="D45" s="409">
        <f>'Valores por m²'!C4</f>
        <v>4.1062070000000004</v>
      </c>
      <c r="E45" s="410">
        <f>'Áreas, Produt. e Postos'!M3</f>
        <v>65</v>
      </c>
      <c r="F45" s="409">
        <f t="shared" ref="F45:F50" si="4">ROUND(D45*E45,2)</f>
        <v>266.89999999999998</v>
      </c>
      <c r="G45" s="374"/>
      <c r="H45" s="374"/>
      <c r="I45" s="374"/>
      <c r="J45" s="374"/>
      <c r="K45" s="374"/>
      <c r="L45" s="374"/>
      <c r="M45" s="374"/>
      <c r="N45" s="374"/>
      <c r="O45" s="374"/>
      <c r="P45" s="374"/>
      <c r="Q45" s="374"/>
      <c r="R45" s="374"/>
      <c r="S45" s="374"/>
      <c r="T45" s="374"/>
      <c r="U45" s="374"/>
      <c r="V45" s="374"/>
      <c r="W45" s="374"/>
      <c r="X45" s="374"/>
    </row>
    <row r="46" spans="1:24" ht="25.5" customHeight="1">
      <c r="A46" s="1035"/>
      <c r="B46" s="1026"/>
      <c r="C46" s="408" t="str">
        <f>'Áreas, Produt. e Postos'!A4</f>
        <v>Piso frio</v>
      </c>
      <c r="D46" s="409">
        <f>'Valores por m²'!C8</f>
        <v>4.1062070485921058</v>
      </c>
      <c r="E46" s="410">
        <f>'Áreas, Produt. e Postos'!M4</f>
        <v>970</v>
      </c>
      <c r="F46" s="409">
        <f t="shared" si="4"/>
        <v>3983.02</v>
      </c>
      <c r="G46" s="374"/>
      <c r="H46" s="423"/>
      <c r="I46" s="374"/>
      <c r="J46" s="374"/>
      <c r="K46" s="374"/>
      <c r="L46" s="374"/>
      <c r="M46" s="374"/>
      <c r="N46" s="374"/>
      <c r="O46" s="374"/>
      <c r="P46" s="374"/>
      <c r="Q46" s="374"/>
      <c r="R46" s="374"/>
      <c r="S46" s="374"/>
      <c r="T46" s="374"/>
      <c r="U46" s="374"/>
      <c r="V46" s="374"/>
      <c r="W46" s="374"/>
      <c r="X46" s="374"/>
    </row>
    <row r="47" spans="1:24" ht="25.5" customHeight="1">
      <c r="A47" s="1035"/>
      <c r="B47" s="1026"/>
      <c r="C47" s="408" t="str">
        <f>'Áreas, Produt. e Postos'!A6</f>
        <v>Almoxarifados/galpões</v>
      </c>
      <c r="D47" s="409">
        <f>'Valores por m²'!C13</f>
        <v>1.9709793833242106</v>
      </c>
      <c r="E47" s="410">
        <f>'Áreas, Produt. e Postos'!M6</f>
        <v>300</v>
      </c>
      <c r="F47" s="409">
        <f t="shared" si="4"/>
        <v>591.29</v>
      </c>
      <c r="G47" s="374"/>
      <c r="H47" s="374"/>
      <c r="I47" s="374"/>
      <c r="J47" s="374"/>
      <c r="K47" s="374"/>
      <c r="L47" s="374"/>
      <c r="M47" s="374"/>
      <c r="N47" s="374"/>
      <c r="O47" s="374"/>
      <c r="P47" s="374"/>
      <c r="Q47" s="374"/>
      <c r="R47" s="374"/>
      <c r="S47" s="374"/>
      <c r="T47" s="374"/>
      <c r="U47" s="374"/>
      <c r="V47" s="374"/>
      <c r="W47" s="374"/>
      <c r="X47" s="374"/>
    </row>
    <row r="48" spans="1:24" ht="25.5" customHeight="1">
      <c r="A48" s="1035"/>
      <c r="B48" s="1026"/>
      <c r="C48" s="408" t="str">
        <f>'Áreas, Produt. e Postos'!A7</f>
        <v>Oficinas</v>
      </c>
      <c r="D48" s="409">
        <f>'Valores por m²'!C16</f>
        <v>2.7374713657280703</v>
      </c>
      <c r="E48" s="410">
        <f>'Áreas, Produt. e Postos'!M7</f>
        <v>5</v>
      </c>
      <c r="F48" s="409">
        <f t="shared" si="4"/>
        <v>13.69</v>
      </c>
      <c r="G48" s="374"/>
      <c r="H48" s="374"/>
      <c r="I48" s="374"/>
      <c r="J48" s="374"/>
      <c r="K48" s="374"/>
      <c r="L48" s="374"/>
      <c r="M48" s="374"/>
      <c r="N48" s="374"/>
      <c r="O48" s="374"/>
      <c r="P48" s="374"/>
      <c r="Q48" s="374"/>
      <c r="R48" s="374"/>
      <c r="S48" s="374"/>
      <c r="T48" s="374"/>
      <c r="U48" s="374"/>
      <c r="V48" s="374"/>
      <c r="W48" s="374"/>
      <c r="X48" s="374"/>
    </row>
    <row r="49" spans="1:24" ht="25.5" customHeight="1">
      <c r="A49" s="1035"/>
      <c r="B49" s="1026"/>
      <c r="C49" s="408" t="str">
        <f>'Áreas, Produt. e Postos'!A8</f>
        <v xml:space="preserve">Áreas com espaços livres - Saguão / Hall / Salão  </v>
      </c>
      <c r="D49" s="409">
        <f>'Valores por m²'!C19</f>
        <v>3.2849656388736848</v>
      </c>
      <c r="E49" s="410">
        <f>'Áreas, Produt. e Postos'!M8</f>
        <v>175</v>
      </c>
      <c r="F49" s="409">
        <f t="shared" si="4"/>
        <v>574.87</v>
      </c>
      <c r="G49" s="374"/>
      <c r="H49" s="374"/>
      <c r="I49" s="374"/>
      <c r="J49" s="374"/>
      <c r="K49" s="374"/>
      <c r="L49" s="374"/>
      <c r="M49" s="374"/>
      <c r="N49" s="374"/>
      <c r="O49" s="374"/>
      <c r="P49" s="374"/>
      <c r="Q49" s="374"/>
      <c r="R49" s="374"/>
      <c r="S49" s="374"/>
      <c r="T49" s="374"/>
      <c r="U49" s="374"/>
      <c r="V49" s="374"/>
      <c r="W49" s="374"/>
      <c r="X49" s="374"/>
    </row>
    <row r="50" spans="1:24" ht="25.5" customHeight="1">
      <c r="A50" s="1035"/>
      <c r="B50" s="1026"/>
      <c r="C50" s="408" t="str">
        <f>'Áreas, Produt. e Postos'!A9</f>
        <v>Banheiros SEM adicional de insalubridade</v>
      </c>
      <c r="D50" s="409">
        <f>'Valores por m²'!C23</f>
        <v>16.424828194368423</v>
      </c>
      <c r="E50" s="410">
        <f>'Áreas, Produt. e Postos'!M9</f>
        <v>40</v>
      </c>
      <c r="F50" s="409">
        <f t="shared" si="4"/>
        <v>656.99</v>
      </c>
      <c r="G50" s="374"/>
      <c r="H50" s="374"/>
      <c r="I50" s="374"/>
      <c r="J50" s="374"/>
      <c r="K50" s="374"/>
      <c r="L50" s="374"/>
      <c r="M50" s="374"/>
      <c r="N50" s="374"/>
      <c r="O50" s="374"/>
      <c r="P50" s="374"/>
      <c r="Q50" s="374"/>
      <c r="R50" s="374"/>
      <c r="S50" s="374"/>
      <c r="T50" s="374"/>
      <c r="U50" s="374"/>
      <c r="V50" s="374"/>
      <c r="W50" s="374"/>
      <c r="X50" s="374"/>
    </row>
    <row r="51" spans="1:24" ht="2.5" customHeight="1">
      <c r="A51" s="1035"/>
      <c r="B51" s="447"/>
      <c r="C51" s="408"/>
      <c r="D51" s="409"/>
      <c r="E51" s="410"/>
      <c r="F51" s="409"/>
      <c r="G51" s="374"/>
      <c r="H51" s="374"/>
      <c r="I51" s="374"/>
      <c r="J51" s="374"/>
      <c r="K51" s="374"/>
      <c r="L51" s="374"/>
      <c r="M51" s="374"/>
      <c r="N51" s="374"/>
      <c r="O51" s="374"/>
      <c r="P51" s="374"/>
      <c r="Q51" s="374"/>
      <c r="R51" s="374"/>
      <c r="S51" s="374"/>
      <c r="T51" s="374"/>
      <c r="U51" s="374"/>
      <c r="V51" s="374"/>
      <c r="W51" s="374"/>
      <c r="X51" s="374"/>
    </row>
    <row r="52" spans="1:24" ht="25.5" customHeight="1">
      <c r="A52" s="1035"/>
      <c r="B52" s="1026" t="str">
        <f>$B$10</f>
        <v>ÁREAS EXTERNAS</v>
      </c>
      <c r="C52" s="408" t="str">
        <f>'Áreas, Produt. e Postos'!A14</f>
        <v>Pisos pavimentados adjacentes/contíguos às edificações</v>
      </c>
      <c r="D52" s="409">
        <f>'Valores por m²'!C29</f>
        <v>1.8249809104853802</v>
      </c>
      <c r="E52" s="410">
        <f>'Áreas, Produt. e Postos'!M14</f>
        <v>350</v>
      </c>
      <c r="F52" s="409">
        <f t="shared" ref="F52:F57" si="5">ROUND(D52*E52,2)</f>
        <v>638.74</v>
      </c>
      <c r="G52" s="374"/>
      <c r="H52" s="374"/>
      <c r="I52" s="374"/>
      <c r="J52" s="374"/>
      <c r="K52" s="374"/>
      <c r="L52" s="374"/>
      <c r="M52" s="374"/>
      <c r="N52" s="374"/>
      <c r="O52" s="374"/>
      <c r="P52" s="374"/>
      <c r="Q52" s="374"/>
      <c r="R52" s="374"/>
      <c r="S52" s="374"/>
      <c r="T52" s="374"/>
      <c r="U52" s="374"/>
      <c r="V52" s="374"/>
      <c r="W52" s="374"/>
      <c r="X52" s="374"/>
    </row>
    <row r="53" spans="1:24" ht="25.5" customHeight="1">
      <c r="A53" s="1035"/>
      <c r="B53" s="1026"/>
      <c r="C53" s="415" t="str">
        <f>'Áreas, Produt. e Postos'!A15</f>
        <v>Varrição de passeios e arruamentos</v>
      </c>
      <c r="D53" s="409">
        <f>'Valores por m²'!C33</f>
        <v>0.54749427314561405</v>
      </c>
      <c r="E53" s="410">
        <f>'Áreas, Produt. e Postos'!M15</f>
        <v>330</v>
      </c>
      <c r="F53" s="409">
        <f t="shared" si="5"/>
        <v>180.67</v>
      </c>
      <c r="G53" s="374"/>
      <c r="H53" s="374"/>
      <c r="I53" s="374"/>
      <c r="J53" s="374"/>
      <c r="K53" s="374"/>
      <c r="L53" s="374"/>
      <c r="M53" s="374"/>
      <c r="N53" s="374"/>
      <c r="O53" s="374"/>
      <c r="P53" s="374"/>
      <c r="Q53" s="374"/>
      <c r="R53" s="374"/>
      <c r="S53" s="374"/>
      <c r="T53" s="374"/>
      <c r="U53" s="374"/>
      <c r="V53" s="374"/>
      <c r="W53" s="374"/>
      <c r="X53" s="374"/>
    </row>
    <row r="54" spans="1:24" ht="19.5" customHeight="1">
      <c r="A54" s="1035"/>
      <c r="B54" s="1026"/>
      <c r="C54" s="408" t="str">
        <f>'Áreas, Produt. e Postos'!A16</f>
        <v>Pátios e áreas verdes com ALTA frequência</v>
      </c>
      <c r="D54" s="409">
        <f>'Valores por m²'!C36</f>
        <v>1.8249809104853802</v>
      </c>
      <c r="E54" s="410">
        <f>'Áreas, Produt. e Postos'!M16</f>
        <v>30</v>
      </c>
      <c r="F54" s="409">
        <f t="shared" si="5"/>
        <v>54.75</v>
      </c>
      <c r="G54" s="374"/>
      <c r="H54" s="374"/>
      <c r="I54" s="374"/>
      <c r="J54" s="374"/>
      <c r="K54" s="374"/>
      <c r="L54" s="374"/>
      <c r="M54" s="374"/>
      <c r="N54" s="374"/>
      <c r="O54" s="374"/>
      <c r="P54" s="374"/>
      <c r="Q54" s="374"/>
      <c r="R54" s="374"/>
      <c r="S54" s="374"/>
      <c r="T54" s="374"/>
      <c r="U54" s="374"/>
      <c r="V54" s="374"/>
      <c r="W54" s="374"/>
      <c r="X54" s="374"/>
    </row>
    <row r="55" spans="1:24" ht="18" customHeight="1">
      <c r="A55" s="1035"/>
      <c r="B55" s="1026"/>
      <c r="C55" s="408" t="str">
        <f>'Áreas, Produt. e Postos'!A17</f>
        <v>Pátios e áreas verdes com MÉDIA frequência</v>
      </c>
      <c r="D55" s="409">
        <f>'Valores por m²'!C39</f>
        <v>1.8249809104853802</v>
      </c>
      <c r="E55" s="410">
        <f>'Áreas, Produt. e Postos'!M17</f>
        <v>180</v>
      </c>
      <c r="F55" s="409">
        <f t="shared" si="5"/>
        <v>328.5</v>
      </c>
      <c r="G55" s="374"/>
      <c r="H55" s="374"/>
      <c r="I55" s="374"/>
      <c r="J55" s="374"/>
      <c r="K55" s="374"/>
      <c r="L55" s="374"/>
      <c r="M55" s="374"/>
      <c r="N55" s="374"/>
      <c r="O55" s="374"/>
      <c r="P55" s="374"/>
      <c r="Q55" s="374"/>
      <c r="R55" s="374"/>
      <c r="S55" s="374"/>
      <c r="T55" s="374"/>
      <c r="U55" s="374"/>
      <c r="V55" s="374"/>
      <c r="W55" s="374"/>
      <c r="X55" s="374"/>
    </row>
    <row r="56" spans="1:24" ht="20" customHeight="1">
      <c r="A56" s="1035"/>
      <c r="B56" s="1026"/>
      <c r="C56" s="408" t="str">
        <f>'Áreas, Produt. e Postos'!A18</f>
        <v>Pátios e áreas verdes com BAIXA frequência</v>
      </c>
      <c r="D56" s="409">
        <f>'Valores por m²'!C40</f>
        <v>1.8249809104853802</v>
      </c>
      <c r="E56" s="410">
        <f>'Áreas, Produt. e Postos'!M18</f>
        <v>60</v>
      </c>
      <c r="F56" s="409">
        <f t="shared" si="5"/>
        <v>109.5</v>
      </c>
      <c r="G56" s="374"/>
      <c r="H56" s="374"/>
      <c r="I56" s="374"/>
      <c r="J56" s="374"/>
      <c r="K56" s="374"/>
      <c r="L56" s="374"/>
      <c r="M56" s="374"/>
      <c r="N56" s="374"/>
      <c r="O56" s="374"/>
      <c r="P56" s="374"/>
      <c r="Q56" s="374"/>
      <c r="R56" s="374"/>
      <c r="S56" s="374"/>
      <c r="T56" s="374"/>
      <c r="U56" s="374"/>
      <c r="V56" s="374"/>
      <c r="W56" s="374"/>
      <c r="X56" s="374"/>
    </row>
    <row r="57" spans="1:24" ht="25.5" customHeight="1">
      <c r="A57" s="1035"/>
      <c r="B57" s="1026"/>
      <c r="C57" s="408" t="str">
        <f>'Áreas, Produt. e Postos'!A19</f>
        <v>Coleta de detritos em pátios e áreas verdes com frequência diária</v>
      </c>
      <c r="D57" s="409">
        <f>'Valores por m²'!C43</f>
        <v>4.9274484583105266E-2</v>
      </c>
      <c r="E57" s="410">
        <f>'Áreas, Produt. e Postos'!M19</f>
        <v>90</v>
      </c>
      <c r="F57" s="409">
        <f t="shared" si="5"/>
        <v>4.43</v>
      </c>
      <c r="G57" s="374"/>
      <c r="H57" s="374"/>
      <c r="I57" s="374"/>
      <c r="J57" s="374"/>
      <c r="K57" s="374"/>
      <c r="L57" s="374"/>
      <c r="M57" s="374"/>
      <c r="N57" s="374"/>
      <c r="O57" s="374"/>
      <c r="P57" s="374"/>
      <c r="Q57" s="374"/>
      <c r="R57" s="374"/>
      <c r="S57" s="374"/>
      <c r="T57" s="374"/>
      <c r="U57" s="374"/>
      <c r="V57" s="374"/>
      <c r="W57" s="374"/>
      <c r="X57" s="374"/>
    </row>
    <row r="58" spans="1:24" ht="3.5" customHeight="1">
      <c r="A58" s="1035"/>
      <c r="B58" s="447"/>
      <c r="C58" s="408"/>
      <c r="D58" s="409"/>
      <c r="E58" s="410"/>
      <c r="F58" s="409"/>
      <c r="G58" s="374"/>
      <c r="H58" s="374"/>
      <c r="I58" s="374"/>
      <c r="J58" s="374"/>
      <c r="K58" s="374"/>
      <c r="L58" s="374"/>
      <c r="M58" s="374"/>
      <c r="N58" s="374"/>
      <c r="O58" s="374"/>
      <c r="P58" s="374"/>
      <c r="Q58" s="374"/>
      <c r="R58" s="374"/>
      <c r="S58" s="374"/>
      <c r="T58" s="374"/>
      <c r="U58" s="374"/>
      <c r="V58" s="374"/>
      <c r="W58" s="374"/>
      <c r="X58" s="374"/>
    </row>
    <row r="59" spans="1:24" ht="21.5" customHeight="1">
      <c r="A59" s="1035"/>
      <c r="B59" s="1027" t="str">
        <f>$B$13</f>
        <v>ESQUADRIAS</v>
      </c>
      <c r="C59" s="408" t="str">
        <f>'Áreas, Produt. e Postos'!A23</f>
        <v>Face externa SEM exposição a risco (MENSAL)</v>
      </c>
      <c r="D59" s="409">
        <f>'Valores por m²'!C51</f>
        <v>1.1588145834419827</v>
      </c>
      <c r="E59" s="410">
        <f>'Áreas, Produt. e Postos'!M23</f>
        <v>186</v>
      </c>
      <c r="F59" s="409">
        <f t="shared" ref="F59:F60" si="6">ROUND(D59*E59,2)</f>
        <v>215.54</v>
      </c>
      <c r="G59" s="374"/>
      <c r="H59" s="374"/>
      <c r="I59" s="374"/>
      <c r="J59" s="374"/>
      <c r="K59" s="374"/>
      <c r="L59" s="374"/>
      <c r="M59" s="374"/>
      <c r="N59" s="374"/>
      <c r="O59" s="374"/>
      <c r="P59" s="374"/>
      <c r="Q59" s="374"/>
      <c r="R59" s="374"/>
      <c r="S59" s="374"/>
      <c r="T59" s="374"/>
      <c r="U59" s="374"/>
      <c r="V59" s="374"/>
      <c r="W59" s="374"/>
      <c r="X59" s="374"/>
    </row>
    <row r="60" spans="1:24" ht="21.5" customHeight="1">
      <c r="A60" s="1035"/>
      <c r="B60" s="1028"/>
      <c r="C60" s="408" t="str">
        <f>'Áreas, Produt. e Postos'!A24</f>
        <v>Face interna (MENSAL)</v>
      </c>
      <c r="D60" s="409">
        <f>'Valores por m²'!C56</f>
        <v>1.1588145834419827</v>
      </c>
      <c r="E60" s="410">
        <f>'Áreas, Produt. e Postos'!M24</f>
        <v>186</v>
      </c>
      <c r="F60" s="409">
        <f t="shared" si="6"/>
        <v>215.54</v>
      </c>
      <c r="G60" s="374"/>
      <c r="H60" s="374"/>
      <c r="I60" s="374"/>
      <c r="J60" s="374"/>
      <c r="K60" s="374"/>
      <c r="L60" s="374"/>
      <c r="M60" s="374"/>
      <c r="N60" s="374"/>
      <c r="O60" s="374"/>
      <c r="P60" s="374"/>
      <c r="Q60" s="374"/>
      <c r="R60" s="374"/>
      <c r="S60" s="374"/>
      <c r="T60" s="374"/>
      <c r="U60" s="374"/>
      <c r="V60" s="374"/>
      <c r="W60" s="374"/>
      <c r="X60" s="374"/>
    </row>
    <row r="61" spans="1:24" ht="3" customHeight="1">
      <c r="A61" s="1035"/>
      <c r="B61" s="447"/>
      <c r="C61" s="417"/>
      <c r="D61" s="418"/>
      <c r="E61" s="510"/>
      <c r="F61" s="409"/>
      <c r="G61" s="374"/>
      <c r="H61" s="374"/>
      <c r="I61" s="374"/>
      <c r="J61" s="374"/>
      <c r="K61" s="374"/>
      <c r="L61" s="374"/>
      <c r="M61" s="374"/>
      <c r="N61" s="374"/>
      <c r="O61" s="374"/>
      <c r="P61" s="374"/>
      <c r="Q61" s="374"/>
      <c r="R61" s="374"/>
      <c r="S61" s="374"/>
      <c r="T61" s="374"/>
      <c r="U61" s="374"/>
      <c r="V61" s="374"/>
      <c r="W61" s="374"/>
      <c r="X61" s="374"/>
    </row>
    <row r="62" spans="1:24" ht="25.5" customHeight="1">
      <c r="A62" s="1035"/>
      <c r="B62" s="416" t="s">
        <v>345</v>
      </c>
      <c r="C62" s="417"/>
      <c r="D62" s="418"/>
      <c r="E62" s="419">
        <f>SUM(E45:E60)</f>
        <v>2967</v>
      </c>
      <c r="F62" s="420">
        <f>SUM(F45:F60)</f>
        <v>7834.4299999999994</v>
      </c>
      <c r="G62" s="374"/>
      <c r="H62" s="374"/>
      <c r="I62" s="374"/>
      <c r="J62" s="374"/>
      <c r="K62" s="374"/>
      <c r="L62" s="374"/>
      <c r="M62" s="374"/>
      <c r="N62" s="374"/>
      <c r="O62" s="374"/>
      <c r="P62" s="374"/>
      <c r="Q62" s="374"/>
      <c r="R62" s="374"/>
      <c r="S62" s="374"/>
      <c r="T62" s="374"/>
      <c r="U62" s="374"/>
      <c r="V62" s="374"/>
      <c r="W62" s="374"/>
      <c r="X62" s="374"/>
    </row>
    <row r="63" spans="1:24" ht="25.5" hidden="1" customHeight="1">
      <c r="A63" s="1035"/>
      <c r="B63" s="421" t="s">
        <v>346</v>
      </c>
      <c r="C63" s="417"/>
      <c r="D63" s="413"/>
      <c r="E63" s="422"/>
      <c r="F63" s="420">
        <f>IF(AND(A45&lt;&gt;0,'[1]Áreas, Produtiv. e Funcionários'!AV$69="Sim"),'[1]Servente Líder'!L$121-IF('[1]Servente Líder'!L22=1,'[1]Servente sem Insalubridade'!L$120,IF('[1]Servente Líder'!L22=2,'[1]Servente Banheiro 20%'!L121,IF('[1]Servente Líder'!L22=3,'[1]Servente Banheiro 40%'!L121,"Erro"))),0)</f>
        <v>0</v>
      </c>
      <c r="G63" s="374"/>
      <c r="H63" s="374"/>
      <c r="I63" s="374"/>
      <c r="J63" s="374"/>
      <c r="K63" s="374"/>
      <c r="L63" s="374"/>
      <c r="M63" s="374"/>
      <c r="N63" s="374"/>
      <c r="O63" s="374"/>
      <c r="P63" s="374"/>
      <c r="Q63" s="374"/>
      <c r="R63" s="374"/>
      <c r="S63" s="374"/>
      <c r="T63" s="374"/>
      <c r="U63" s="374"/>
      <c r="V63" s="374"/>
      <c r="W63" s="374"/>
      <c r="X63" s="374"/>
    </row>
    <row r="64" spans="1:24" ht="25.5" customHeight="1">
      <c r="A64" s="1035"/>
      <c r="B64" s="421" t="s">
        <v>358</v>
      </c>
      <c r="C64" s="417"/>
      <c r="D64" s="413"/>
      <c r="E64" s="422"/>
      <c r="F64" s="420">
        <f>'Materiais de Higiene '!M19</f>
        <v>449.8668126254334</v>
      </c>
      <c r="G64" s="374"/>
      <c r="H64" s="374"/>
      <c r="I64" s="374"/>
      <c r="J64" s="374"/>
      <c r="K64" s="374"/>
      <c r="L64" s="374"/>
      <c r="M64" s="374"/>
      <c r="N64" s="374"/>
      <c r="O64" s="374"/>
      <c r="P64" s="374"/>
      <c r="Q64" s="374"/>
      <c r="R64" s="374"/>
      <c r="S64" s="374"/>
      <c r="T64" s="374"/>
      <c r="U64" s="374"/>
      <c r="V64" s="374"/>
      <c r="W64" s="374"/>
      <c r="X64" s="374"/>
    </row>
    <row r="65" spans="1:24" ht="25.5" customHeight="1">
      <c r="A65" s="1035"/>
      <c r="B65" s="421" t="s">
        <v>348</v>
      </c>
      <c r="C65" s="417"/>
      <c r="D65" s="413"/>
      <c r="E65" s="422"/>
      <c r="F65" s="420">
        <f>SUM(F62:F64)</f>
        <v>8284.2968126254327</v>
      </c>
      <c r="G65" s="374"/>
      <c r="H65" s="374"/>
      <c r="I65" s="374"/>
      <c r="J65" s="374"/>
      <c r="K65" s="374"/>
      <c r="L65" s="374"/>
      <c r="M65" s="374"/>
      <c r="N65" s="374"/>
      <c r="O65" s="374"/>
      <c r="P65" s="374"/>
      <c r="Q65" s="374"/>
      <c r="R65" s="374"/>
      <c r="S65" s="374"/>
      <c r="T65" s="374"/>
      <c r="U65" s="374"/>
      <c r="V65" s="374"/>
      <c r="W65" s="374"/>
      <c r="X65" s="374"/>
    </row>
    <row r="66" spans="1:24" ht="25.5" customHeight="1">
      <c r="A66" s="443"/>
      <c r="B66" s="444"/>
      <c r="C66" s="417"/>
      <c r="D66" s="413"/>
      <c r="E66" s="414"/>
      <c r="F66" s="445"/>
      <c r="G66" s="374"/>
      <c r="H66" s="374"/>
      <c r="I66" s="374"/>
      <c r="J66" s="374"/>
      <c r="K66" s="374"/>
      <c r="L66" s="374"/>
      <c r="M66" s="374"/>
      <c r="N66" s="374"/>
      <c r="O66" s="374"/>
      <c r="P66" s="374"/>
      <c r="Q66" s="374"/>
      <c r="R66" s="374"/>
      <c r="S66" s="374"/>
      <c r="T66" s="374"/>
      <c r="U66" s="374"/>
      <c r="V66" s="374"/>
      <c r="W66" s="374"/>
      <c r="X66" s="374"/>
    </row>
    <row r="67" spans="1:24" ht="29" customHeight="1">
      <c r="A67" s="405" t="s">
        <v>202</v>
      </c>
      <c r="B67" s="1038" t="s">
        <v>205</v>
      </c>
      <c r="C67" s="1038"/>
      <c r="D67" s="406" t="s">
        <v>342</v>
      </c>
      <c r="E67" s="405" t="s">
        <v>303</v>
      </c>
      <c r="F67" s="405" t="s">
        <v>343</v>
      </c>
      <c r="G67" s="374"/>
      <c r="H67" s="374"/>
      <c r="I67" s="374"/>
      <c r="J67" s="374"/>
      <c r="K67" s="374"/>
      <c r="L67" s="374"/>
      <c r="M67" s="374"/>
      <c r="N67" s="374"/>
      <c r="O67" s="374"/>
      <c r="P67" s="374"/>
      <c r="Q67" s="374"/>
      <c r="R67" s="374"/>
      <c r="S67" s="374"/>
      <c r="T67" s="374"/>
      <c r="U67" s="374"/>
      <c r="V67" s="374"/>
      <c r="W67" s="374"/>
      <c r="X67" s="374"/>
    </row>
    <row r="68" spans="1:24" ht="25.5" customHeight="1">
      <c r="A68" s="1035" t="s">
        <v>276</v>
      </c>
      <c r="B68" s="1035" t="str">
        <f>$B$2</f>
        <v>ÁREAS INTERNAS</v>
      </c>
      <c r="C68" s="1" t="str">
        <f>'Áreas, Produt. e Postos'!A3</f>
        <v>Piso acarpetado</v>
      </c>
      <c r="D68" s="409">
        <f>'Valores por m²'!C5</f>
        <v>4.1478418000000001</v>
      </c>
      <c r="E68" s="410">
        <f>'Áreas, Produt. e Postos'!AC3</f>
        <v>280</v>
      </c>
      <c r="F68" s="409">
        <f t="shared" ref="F68:F81" si="7">ROUND(D68*E68,2)</f>
        <v>1161.4000000000001</v>
      </c>
      <c r="G68" s="374"/>
      <c r="H68" s="374"/>
      <c r="I68" s="374"/>
      <c r="J68" s="374"/>
      <c r="K68" s="374"/>
      <c r="L68" s="374"/>
      <c r="M68" s="374"/>
      <c r="N68" s="374"/>
      <c r="O68" s="374"/>
      <c r="P68" s="374"/>
      <c r="Q68" s="374"/>
      <c r="R68" s="374"/>
      <c r="S68" s="374"/>
      <c r="T68" s="374"/>
      <c r="U68" s="374"/>
      <c r="V68" s="374"/>
      <c r="W68" s="374"/>
      <c r="X68" s="374"/>
    </row>
    <row r="69" spans="1:24" ht="25.5" customHeight="1">
      <c r="A69" s="1035"/>
      <c r="B69" s="1035"/>
      <c r="C69" s="446" t="str">
        <f>'Áreas, Produt. e Postos'!A4</f>
        <v>Piso frio</v>
      </c>
      <c r="D69" s="409">
        <f>'Valores por m²'!C9</f>
        <v>4.1478417867785691</v>
      </c>
      <c r="E69" s="410">
        <f>'Áreas, Produt. e Postos'!AC4</f>
        <v>7600</v>
      </c>
      <c r="F69" s="409">
        <f t="shared" si="7"/>
        <v>31523.599999999999</v>
      </c>
      <c r="G69" s="374"/>
      <c r="H69" s="374"/>
      <c r="I69" s="374"/>
      <c r="J69" s="374"/>
      <c r="K69" s="374"/>
      <c r="L69" s="374"/>
      <c r="M69" s="374"/>
      <c r="N69" s="374"/>
      <c r="O69" s="374"/>
      <c r="P69" s="374"/>
      <c r="Q69" s="374"/>
      <c r="R69" s="374"/>
      <c r="S69" s="374"/>
      <c r="T69" s="374"/>
      <c r="U69" s="374"/>
      <c r="V69" s="374"/>
      <c r="W69" s="374"/>
      <c r="X69" s="374"/>
    </row>
    <row r="70" spans="1:24" ht="25.5" customHeight="1">
      <c r="A70" s="1035"/>
      <c r="B70" s="1035"/>
      <c r="C70" s="446" t="str">
        <f>'Áreas, Produt. e Postos'!A8</f>
        <v xml:space="preserve">Áreas com espaços livres - Saguão / Hall / Salão  </v>
      </c>
      <c r="D70" s="409">
        <f>'Valores por m²'!C20</f>
        <v>3.3182734294228551</v>
      </c>
      <c r="E70" s="410">
        <f>'Áreas, Produt. e Postos'!AC8</f>
        <v>800</v>
      </c>
      <c r="F70" s="409">
        <f t="shared" si="7"/>
        <v>2654.62</v>
      </c>
      <c r="G70" s="374"/>
      <c r="H70" s="374"/>
      <c r="I70" s="374"/>
      <c r="J70" s="374"/>
      <c r="K70" s="374"/>
      <c r="L70" s="374"/>
      <c r="M70" s="374"/>
      <c r="N70" s="374"/>
      <c r="O70" s="374"/>
      <c r="P70" s="374"/>
      <c r="Q70" s="374"/>
      <c r="R70" s="374"/>
      <c r="S70" s="374"/>
      <c r="T70" s="374"/>
      <c r="U70" s="374"/>
      <c r="V70" s="374"/>
      <c r="W70" s="374"/>
      <c r="X70" s="374"/>
    </row>
    <row r="71" spans="1:24" ht="25.5" customHeight="1">
      <c r="A71" s="1035"/>
      <c r="B71" s="1035"/>
      <c r="C71" s="446" t="str">
        <f>'Áreas, Produt. e Postos'!A11</f>
        <v>Banheiros COM adicional de insalubridade de 40%</v>
      </c>
      <c r="D71" s="409">
        <f>'Valores por m²'!C25</f>
        <v>20.638767256583346</v>
      </c>
      <c r="E71" s="410">
        <f>'Áreas, Produt. e Postos'!AC11</f>
        <v>314</v>
      </c>
      <c r="F71" s="409">
        <f t="shared" si="7"/>
        <v>6480.57</v>
      </c>
      <c r="G71" s="374"/>
      <c r="H71" s="374"/>
      <c r="I71" s="374"/>
      <c r="J71" s="374"/>
      <c r="K71" s="374"/>
      <c r="L71" s="374"/>
      <c r="M71" s="374"/>
      <c r="N71" s="374"/>
      <c r="O71" s="374"/>
      <c r="P71" s="374"/>
      <c r="Q71" s="374"/>
      <c r="R71" s="374"/>
      <c r="S71" s="374"/>
      <c r="T71" s="374"/>
      <c r="U71" s="374"/>
      <c r="V71" s="374"/>
      <c r="W71" s="374"/>
      <c r="X71" s="374"/>
    </row>
    <row r="72" spans="1:24" ht="3" customHeight="1">
      <c r="A72" s="1035"/>
      <c r="B72" s="447"/>
      <c r="C72" s="446"/>
      <c r="D72" s="409"/>
      <c r="E72" s="410"/>
      <c r="F72" s="409"/>
      <c r="G72" s="374"/>
      <c r="H72" s="374"/>
      <c r="I72" s="374"/>
      <c r="J72" s="374"/>
      <c r="K72" s="374"/>
      <c r="L72" s="374"/>
      <c r="M72" s="374"/>
      <c r="N72" s="374"/>
      <c r="O72" s="374"/>
      <c r="P72" s="374"/>
      <c r="Q72" s="374"/>
      <c r="R72" s="374"/>
      <c r="S72" s="374"/>
      <c r="T72" s="374"/>
      <c r="U72" s="374"/>
      <c r="V72" s="374"/>
      <c r="W72" s="374"/>
      <c r="X72" s="374"/>
    </row>
    <row r="73" spans="1:24" ht="25.5" customHeight="1">
      <c r="A73" s="1035"/>
      <c r="B73" s="1026" t="str">
        <f>$B$10</f>
        <v>ÁREAS EXTERNAS</v>
      </c>
      <c r="C73" s="408" t="str">
        <f>'Áreas, Produt. e Postos'!A14</f>
        <v>Pisos pavimentados adjacentes/contíguos às edificações</v>
      </c>
      <c r="D73" s="409">
        <f>'Valores por m²'!C30</f>
        <v>1.843485238568253</v>
      </c>
      <c r="E73" s="410">
        <f>'Áreas, Produt. e Postos'!AC14</f>
        <v>1000</v>
      </c>
      <c r="F73" s="409">
        <f t="shared" si="7"/>
        <v>1843.49</v>
      </c>
      <c r="G73" s="374"/>
      <c r="H73" s="374"/>
      <c r="I73" s="374"/>
      <c r="J73" s="374"/>
      <c r="K73" s="374"/>
      <c r="L73" s="374"/>
      <c r="M73" s="374"/>
      <c r="N73" s="374"/>
      <c r="O73" s="374"/>
      <c r="P73" s="374"/>
      <c r="Q73" s="374"/>
      <c r="R73" s="374"/>
      <c r="S73" s="374"/>
      <c r="T73" s="374"/>
      <c r="U73" s="374"/>
      <c r="V73" s="374"/>
      <c r="W73" s="374"/>
      <c r="X73" s="374"/>
    </row>
    <row r="74" spans="1:24" ht="25.5" customHeight="1">
      <c r="A74" s="1035"/>
      <c r="B74" s="1026"/>
      <c r="C74" s="415" t="str">
        <f>'Áreas, Produt. e Postos'!A15</f>
        <v>Varrição de passeios e arruamentos</v>
      </c>
      <c r="D74" s="409">
        <f>'Valores por m²'!C34</f>
        <v>0.55304557157047585</v>
      </c>
      <c r="E74" s="410">
        <f>'Áreas, Produt. e Postos'!AC15</f>
        <v>2200</v>
      </c>
      <c r="F74" s="409">
        <f t="shared" si="7"/>
        <v>1216.7</v>
      </c>
      <c r="G74" s="374"/>
      <c r="H74" s="374"/>
      <c r="I74" s="374"/>
      <c r="J74" s="374"/>
      <c r="K74" s="374"/>
      <c r="L74" s="374"/>
      <c r="M74" s="374"/>
      <c r="N74" s="374"/>
      <c r="O74" s="374"/>
      <c r="P74" s="374"/>
      <c r="Q74" s="374"/>
      <c r="R74" s="374"/>
      <c r="S74" s="374"/>
      <c r="T74" s="374"/>
      <c r="U74" s="374"/>
      <c r="V74" s="374"/>
      <c r="W74" s="374"/>
      <c r="X74" s="374"/>
    </row>
    <row r="75" spans="1:24" ht="25.5" customHeight="1">
      <c r="A75" s="1035"/>
      <c r="B75" s="1026"/>
      <c r="C75" s="408" t="str">
        <f>'Áreas, Produt. e Postos'!A16</f>
        <v>Pátios e áreas verdes com ALTA frequência</v>
      </c>
      <c r="D75" s="409">
        <f>'Valores por m²'!C37</f>
        <v>1.843485238568253</v>
      </c>
      <c r="E75" s="410">
        <f>'Áreas, Produt. e Postos'!AC16</f>
        <v>600</v>
      </c>
      <c r="F75" s="409">
        <f t="shared" si="7"/>
        <v>1106.0899999999999</v>
      </c>
      <c r="G75" s="374"/>
      <c r="H75" s="374"/>
      <c r="I75" s="374"/>
      <c r="J75" s="374"/>
      <c r="K75" s="374"/>
      <c r="L75" s="374"/>
      <c r="M75" s="374"/>
      <c r="N75" s="374"/>
      <c r="O75" s="374"/>
      <c r="P75" s="374"/>
      <c r="Q75" s="374"/>
      <c r="R75" s="374"/>
      <c r="S75" s="374"/>
      <c r="T75" s="374"/>
      <c r="U75" s="374"/>
      <c r="V75" s="374"/>
      <c r="W75" s="374"/>
      <c r="X75" s="374"/>
    </row>
    <row r="76" spans="1:24" ht="25.5" customHeight="1">
      <c r="A76" s="1035"/>
      <c r="B76" s="1026"/>
      <c r="C76" s="408" t="str">
        <f>'Áreas, Produt. e Postos'!A19</f>
        <v>Coleta de detritos em pátios e áreas verdes com frequência diária</v>
      </c>
      <c r="D76" s="409">
        <f>'Valores por m²'!C44</f>
        <v>4.9774101441342825E-2</v>
      </c>
      <c r="E76" s="410">
        <f>'Áreas, Produt. e Postos'!AC19</f>
        <v>600</v>
      </c>
      <c r="F76" s="409">
        <f t="shared" si="7"/>
        <v>29.86</v>
      </c>
      <c r="G76" s="374"/>
      <c r="H76" s="374"/>
      <c r="I76" s="374"/>
      <c r="J76" s="374"/>
      <c r="K76" s="374"/>
      <c r="L76" s="374"/>
      <c r="M76" s="374"/>
      <c r="N76" s="374"/>
      <c r="O76" s="374"/>
      <c r="P76" s="374"/>
      <c r="Q76" s="374"/>
      <c r="R76" s="374"/>
      <c r="S76" s="374"/>
      <c r="T76" s="374"/>
      <c r="U76" s="374"/>
      <c r="V76" s="374"/>
      <c r="W76" s="374"/>
      <c r="X76" s="374"/>
    </row>
    <row r="77" spans="1:24" ht="2.5" customHeight="1">
      <c r="A77" s="1035"/>
      <c r="B77" s="447"/>
      <c r="C77" s="408"/>
      <c r="D77" s="409"/>
      <c r="E77" s="410"/>
      <c r="F77" s="409"/>
      <c r="G77" s="374"/>
      <c r="H77" s="374"/>
      <c r="I77" s="374"/>
      <c r="J77" s="374"/>
      <c r="K77" s="374"/>
      <c r="L77" s="374"/>
      <c r="M77" s="374"/>
      <c r="N77" s="374"/>
      <c r="O77" s="374"/>
      <c r="P77" s="374"/>
      <c r="Q77" s="374"/>
      <c r="R77" s="374"/>
      <c r="S77" s="374"/>
      <c r="T77" s="374"/>
      <c r="U77" s="374"/>
      <c r="V77" s="374"/>
      <c r="W77" s="374"/>
      <c r="X77" s="374"/>
    </row>
    <row r="78" spans="1:24" ht="25.5" customHeight="1">
      <c r="A78" s="1035"/>
      <c r="B78" s="1026" t="str">
        <f>B13</f>
        <v>ESQUADRIAS</v>
      </c>
      <c r="C78" s="512" t="str">
        <f>'Áreas, Produt. e Postos'!A22</f>
        <v>Face externa COM exposição a risco (SEMESTRAL)</v>
      </c>
      <c r="D78" s="409">
        <f>'Valores por m²'!C48</f>
        <v>0.29233028145356815</v>
      </c>
      <c r="E78" s="410">
        <f>'Áreas, Produt. e Postos'!AC22</f>
        <v>660</v>
      </c>
      <c r="F78" s="409">
        <f t="shared" si="7"/>
        <v>192.94</v>
      </c>
      <c r="G78" s="374"/>
      <c r="H78" s="374"/>
      <c r="I78" s="374"/>
      <c r="J78" s="374"/>
      <c r="K78" s="374"/>
      <c r="L78" s="374"/>
      <c r="M78" s="374"/>
      <c r="N78" s="374"/>
      <c r="O78" s="374"/>
      <c r="P78" s="374"/>
      <c r="Q78" s="374"/>
      <c r="R78" s="374"/>
      <c r="S78" s="374"/>
      <c r="T78" s="374"/>
      <c r="U78" s="374"/>
      <c r="V78" s="374"/>
      <c r="W78" s="374"/>
      <c r="X78" s="374"/>
    </row>
    <row r="79" spans="1:24" ht="25.5" customHeight="1">
      <c r="A79" s="1035"/>
      <c r="B79" s="1026"/>
      <c r="C79" s="408" t="str">
        <f>'Áreas, Produt. e Postos'!A23</f>
        <v>Face externa SEM exposição a risco (MENSAL)</v>
      </c>
      <c r="D79" s="409">
        <f>'Valores por m²'!C52</f>
        <v>1.1614371235995831</v>
      </c>
      <c r="E79" s="410">
        <f>'Áreas, Produt. e Postos'!AC23</f>
        <v>250</v>
      </c>
      <c r="F79" s="409">
        <f t="shared" si="7"/>
        <v>290.36</v>
      </c>
      <c r="G79" s="374"/>
      <c r="H79" s="374"/>
      <c r="I79" s="374"/>
      <c r="J79" s="374"/>
      <c r="K79" s="374"/>
      <c r="L79" s="374"/>
      <c r="M79" s="374"/>
      <c r="N79" s="374"/>
      <c r="O79" s="374"/>
      <c r="P79" s="374"/>
      <c r="Q79" s="374"/>
      <c r="R79" s="374"/>
      <c r="S79" s="374"/>
      <c r="T79" s="374"/>
      <c r="U79" s="374"/>
      <c r="V79" s="374"/>
      <c r="W79" s="374"/>
      <c r="X79" s="374"/>
    </row>
    <row r="80" spans="1:24" ht="25.5" customHeight="1">
      <c r="A80" s="1035"/>
      <c r="B80" s="1026"/>
      <c r="C80" s="408" t="str">
        <f>'Áreas, Produt. e Postos'!A24</f>
        <v>Face interna (MENSAL)</v>
      </c>
      <c r="D80" s="409">
        <f>'Valores por m²'!C57</f>
        <v>1.1614371235995831</v>
      </c>
      <c r="E80" s="410">
        <f>'Áreas, Produt. e Postos'!AC24</f>
        <v>1410</v>
      </c>
      <c r="F80" s="409">
        <f t="shared" si="7"/>
        <v>1637.63</v>
      </c>
      <c r="G80" s="374"/>
      <c r="H80" s="374"/>
      <c r="I80" s="374"/>
      <c r="J80" s="374"/>
      <c r="K80" s="374"/>
      <c r="L80" s="374"/>
      <c r="M80" s="374"/>
      <c r="N80" s="374"/>
      <c r="O80" s="374"/>
      <c r="P80" s="374"/>
      <c r="Q80" s="374"/>
      <c r="R80" s="374"/>
      <c r="S80" s="374"/>
      <c r="T80" s="374"/>
      <c r="U80" s="374"/>
      <c r="V80" s="374"/>
      <c r="W80" s="374"/>
      <c r="X80" s="374"/>
    </row>
    <row r="81" spans="1:24" ht="25.5" customHeight="1">
      <c r="A81" s="1035"/>
      <c r="B81" s="1026"/>
      <c r="C81" s="408" t="str">
        <f>'Áreas, Produt. e Postos'!A25</f>
        <v>Fachadas envidraçadas (SEMESTRAL)</v>
      </c>
      <c r="D81" s="409">
        <f>'Valores por m²'!C60</f>
        <v>0.29233028145356815</v>
      </c>
      <c r="E81" s="410">
        <f>'Áreas, Produt. e Postos'!AC25</f>
        <v>500</v>
      </c>
      <c r="F81" s="409">
        <f t="shared" si="7"/>
        <v>146.16999999999999</v>
      </c>
      <c r="G81" s="374"/>
      <c r="H81" s="374"/>
      <c r="I81" s="374"/>
      <c r="J81" s="374"/>
      <c r="K81" s="374"/>
      <c r="L81" s="374"/>
      <c r="M81" s="374"/>
      <c r="N81" s="374"/>
      <c r="O81" s="374"/>
      <c r="P81" s="374"/>
      <c r="Q81" s="374"/>
      <c r="R81" s="374"/>
      <c r="S81" s="374"/>
      <c r="T81" s="374"/>
      <c r="U81" s="374"/>
      <c r="V81" s="374"/>
      <c r="W81" s="374"/>
      <c r="X81" s="374"/>
    </row>
    <row r="82" spans="1:24" ht="2.5" customHeight="1">
      <c r="A82" s="1035"/>
      <c r="B82" s="447"/>
      <c r="C82" s="509"/>
      <c r="D82" s="418"/>
      <c r="E82" s="510"/>
      <c r="F82" s="409"/>
      <c r="G82" s="374"/>
      <c r="H82" s="374"/>
      <c r="I82" s="374"/>
      <c r="J82" s="374"/>
      <c r="K82" s="374"/>
      <c r="L82" s="374"/>
      <c r="M82" s="374"/>
      <c r="N82" s="374"/>
      <c r="O82" s="374"/>
      <c r="P82" s="374"/>
      <c r="Q82" s="374"/>
      <c r="R82" s="374"/>
      <c r="S82" s="374"/>
      <c r="T82" s="374"/>
      <c r="U82" s="374"/>
      <c r="V82" s="374"/>
      <c r="W82" s="374"/>
      <c r="X82" s="374"/>
    </row>
    <row r="83" spans="1:24" ht="25.5" customHeight="1">
      <c r="A83" s="1035"/>
      <c r="B83" s="1029" t="s">
        <v>345</v>
      </c>
      <c r="C83" s="1030"/>
      <c r="D83" s="1031"/>
      <c r="E83" s="419">
        <f>SUM(E68:E81)</f>
        <v>16214</v>
      </c>
      <c r="F83" s="420">
        <f>SUM(F68:F81)</f>
        <v>48283.429999999993</v>
      </c>
      <c r="G83" s="374"/>
      <c r="H83" s="374"/>
      <c r="I83" s="374"/>
      <c r="J83" s="374"/>
      <c r="K83" s="374"/>
      <c r="L83" s="374"/>
      <c r="M83" s="374"/>
      <c r="N83" s="374"/>
      <c r="O83" s="374"/>
      <c r="P83" s="374"/>
      <c r="Q83" s="374"/>
      <c r="R83" s="374"/>
      <c r="S83" s="374"/>
      <c r="T83" s="374"/>
      <c r="U83" s="374"/>
      <c r="V83" s="374"/>
      <c r="W83" s="374"/>
      <c r="X83" s="374"/>
    </row>
    <row r="84" spans="1:24" ht="25.5" customHeight="1">
      <c r="A84" s="1035"/>
      <c r="B84" s="1032" t="s">
        <v>346</v>
      </c>
      <c r="C84" s="1033"/>
      <c r="D84" s="1033"/>
      <c r="E84" s="1034"/>
      <c r="F84" s="420">
        <f>'Servente 40h'!J131</f>
        <v>209.3705528188284</v>
      </c>
      <c r="G84" s="374"/>
      <c r="H84" s="374"/>
      <c r="I84" s="374"/>
      <c r="J84" s="374"/>
      <c r="K84" s="374"/>
      <c r="L84" s="374"/>
      <c r="M84" s="374"/>
      <c r="N84" s="374"/>
      <c r="O84" s="374"/>
      <c r="P84" s="374"/>
      <c r="Q84" s="374"/>
      <c r="R84" s="374"/>
      <c r="S84" s="374"/>
      <c r="T84" s="374"/>
      <c r="U84" s="374"/>
      <c r="V84" s="374"/>
      <c r="W84" s="374"/>
      <c r="X84" s="374"/>
    </row>
    <row r="85" spans="1:24" ht="25.5" customHeight="1">
      <c r="A85" s="1035"/>
      <c r="B85" s="1032" t="s">
        <v>358</v>
      </c>
      <c r="C85" s="1033"/>
      <c r="D85" s="1033"/>
      <c r="E85" s="1034"/>
      <c r="F85" s="420">
        <f>'Materiais de Higiene '!U19</f>
        <v>6123.1030833789455</v>
      </c>
      <c r="G85" s="374"/>
      <c r="H85" s="374"/>
      <c r="I85" s="374"/>
      <c r="J85" s="374"/>
      <c r="K85" s="374"/>
      <c r="L85" s="374"/>
      <c r="M85" s="374"/>
      <c r="N85" s="374"/>
      <c r="O85" s="374"/>
      <c r="P85" s="374"/>
      <c r="Q85" s="374"/>
      <c r="R85" s="374"/>
      <c r="S85" s="374"/>
      <c r="T85" s="374"/>
      <c r="U85" s="374"/>
      <c r="V85" s="374"/>
      <c r="W85" s="374"/>
      <c r="X85" s="374"/>
    </row>
    <row r="86" spans="1:24" ht="25.5" customHeight="1">
      <c r="A86" s="1027"/>
      <c r="B86" s="1032" t="s">
        <v>348</v>
      </c>
      <c r="C86" s="1033"/>
      <c r="D86" s="1033"/>
      <c r="E86" s="1034"/>
      <c r="F86" s="449">
        <f>SUM(F83:F85)</f>
        <v>54615.903636197771</v>
      </c>
      <c r="G86" s="374"/>
      <c r="H86" s="374"/>
      <c r="I86" s="374"/>
      <c r="J86" s="374"/>
      <c r="K86" s="374"/>
      <c r="L86" s="374"/>
      <c r="M86" s="374"/>
      <c r="N86" s="374"/>
      <c r="O86" s="374"/>
      <c r="P86" s="374"/>
      <c r="Q86" s="374"/>
      <c r="R86" s="374"/>
      <c r="S86" s="374"/>
      <c r="T86" s="374"/>
      <c r="U86" s="374"/>
      <c r="V86" s="374"/>
      <c r="W86" s="374"/>
      <c r="X86" s="374"/>
    </row>
    <row r="87" spans="1:24" ht="25.5" customHeight="1">
      <c r="A87" s="1036"/>
      <c r="B87" s="1036"/>
      <c r="C87" s="1036"/>
      <c r="D87" s="1036"/>
      <c r="E87" s="1036"/>
      <c r="F87" s="1036"/>
      <c r="G87" s="374"/>
      <c r="H87" s="374"/>
      <c r="I87" s="374"/>
      <c r="J87" s="374"/>
      <c r="K87" s="374"/>
      <c r="L87" s="374"/>
      <c r="M87" s="374"/>
      <c r="N87" s="374"/>
      <c r="O87" s="374"/>
      <c r="P87" s="374"/>
      <c r="Q87" s="374"/>
      <c r="R87" s="374"/>
      <c r="S87" s="374"/>
      <c r="T87" s="374"/>
      <c r="U87" s="374"/>
      <c r="V87" s="374"/>
      <c r="W87" s="374"/>
      <c r="X87" s="374"/>
    </row>
    <row r="88" spans="1:24" ht="25.5" customHeight="1">
      <c r="A88" s="450" t="s">
        <v>202</v>
      </c>
      <c r="B88" s="1037" t="s">
        <v>205</v>
      </c>
      <c r="C88" s="1037"/>
      <c r="D88" s="451" t="s">
        <v>342</v>
      </c>
      <c r="E88" s="450" t="s">
        <v>303</v>
      </c>
      <c r="F88" s="450" t="s">
        <v>343</v>
      </c>
      <c r="G88" s="374"/>
      <c r="H88" s="374"/>
      <c r="I88" s="374"/>
      <c r="J88" s="374"/>
      <c r="K88" s="374"/>
      <c r="L88" s="374"/>
      <c r="M88" s="374"/>
      <c r="N88" s="374"/>
      <c r="O88" s="374"/>
      <c r="P88" s="374"/>
      <c r="Q88" s="374"/>
      <c r="R88" s="374"/>
      <c r="S88" s="374"/>
      <c r="T88" s="374"/>
      <c r="U88" s="374"/>
      <c r="V88" s="374"/>
      <c r="W88" s="374"/>
      <c r="X88" s="374"/>
    </row>
    <row r="89" spans="1:24" ht="25.5" customHeight="1">
      <c r="A89" s="1035" t="s">
        <v>280</v>
      </c>
      <c r="B89" s="1026" t="str">
        <f>B2</f>
        <v>ÁREAS INTERNAS</v>
      </c>
      <c r="C89" s="408" t="str">
        <f>'Áreas, Produt. e Postos'!A4</f>
        <v>Piso frio</v>
      </c>
      <c r="D89" s="409">
        <f>'Valores por m²'!C10</f>
        <v>4.1760118287417143</v>
      </c>
      <c r="E89" s="410">
        <f>'Áreas, Produt. e Postos'!AS4</f>
        <v>550</v>
      </c>
      <c r="F89" s="409">
        <f t="shared" ref="F89:F91" si="8">ROUND(D89*E89,2)</f>
        <v>2296.81</v>
      </c>
      <c r="G89" s="374"/>
      <c r="H89" s="374"/>
      <c r="I89" s="374"/>
      <c r="J89" s="374"/>
      <c r="K89" s="374"/>
      <c r="L89" s="374"/>
      <c r="M89" s="374"/>
      <c r="N89" s="374"/>
      <c r="O89" s="374"/>
      <c r="P89" s="374"/>
      <c r="Q89" s="374"/>
      <c r="R89" s="374"/>
      <c r="S89" s="374"/>
      <c r="T89" s="374"/>
      <c r="U89" s="374"/>
      <c r="V89" s="374"/>
      <c r="W89" s="374"/>
      <c r="X89" s="374"/>
    </row>
    <row r="90" spans="1:24" ht="25.5" customHeight="1">
      <c r="A90" s="1035"/>
      <c r="B90" s="1026"/>
      <c r="C90" s="408" t="str">
        <f>'Áreas, Produt. e Postos'!A6</f>
        <v>Almoxarifados/galpões</v>
      </c>
      <c r="D90" s="409">
        <f>'Valores por m²'!C14</f>
        <v>2.0044856777960227</v>
      </c>
      <c r="E90" s="410">
        <f>'Áreas, Produt. e Postos'!AS6</f>
        <v>1592</v>
      </c>
      <c r="F90" s="409">
        <f t="shared" si="8"/>
        <v>3191.14</v>
      </c>
      <c r="G90" s="374"/>
      <c r="H90" s="374"/>
      <c r="I90" s="374"/>
      <c r="J90" s="374"/>
      <c r="K90" s="374"/>
      <c r="L90" s="374"/>
      <c r="M90" s="374"/>
      <c r="N90" s="374"/>
      <c r="O90" s="374"/>
      <c r="P90" s="374"/>
      <c r="Q90" s="374"/>
      <c r="R90" s="374"/>
      <c r="S90" s="374"/>
      <c r="T90" s="374"/>
      <c r="U90" s="374"/>
      <c r="V90" s="374"/>
      <c r="W90" s="374"/>
      <c r="X90" s="374"/>
    </row>
    <row r="91" spans="1:24" ht="25.5" customHeight="1">
      <c r="A91" s="1035"/>
      <c r="B91" s="1026"/>
      <c r="C91" s="408" t="str">
        <f>'Áreas, Produt. e Postos'!A9</f>
        <v>Banheiros SEM adicional de insalubridade</v>
      </c>
      <c r="D91" s="409">
        <f>'Valores por m²'!C24</f>
        <v>16.704047314966857</v>
      </c>
      <c r="E91" s="410">
        <f>'Áreas, Produt. e Postos'!AS9</f>
        <v>50</v>
      </c>
      <c r="F91" s="409">
        <f t="shared" si="8"/>
        <v>835.2</v>
      </c>
      <c r="G91" s="374"/>
      <c r="H91" s="374"/>
      <c r="I91" s="374"/>
      <c r="J91" s="374"/>
      <c r="K91" s="374"/>
      <c r="L91" s="374"/>
      <c r="M91" s="374"/>
      <c r="N91" s="374"/>
      <c r="O91" s="374"/>
      <c r="P91" s="374"/>
      <c r="Q91" s="374"/>
      <c r="R91" s="374"/>
      <c r="S91" s="374"/>
      <c r="T91" s="374"/>
      <c r="U91" s="374"/>
      <c r="V91" s="374"/>
      <c r="W91" s="374"/>
      <c r="X91" s="374"/>
    </row>
    <row r="92" spans="1:24" ht="3.5" customHeight="1">
      <c r="A92" s="1035"/>
      <c r="B92" s="447"/>
      <c r="C92" s="408"/>
      <c r="D92" s="409"/>
      <c r="E92" s="410"/>
      <c r="F92" s="409"/>
      <c r="G92" s="374"/>
      <c r="H92" s="374"/>
      <c r="I92" s="374"/>
      <c r="J92" s="374"/>
      <c r="K92" s="374"/>
      <c r="L92" s="374"/>
      <c r="M92" s="374"/>
      <c r="N92" s="374"/>
      <c r="O92" s="374"/>
      <c r="P92" s="374"/>
      <c r="Q92" s="374"/>
      <c r="R92" s="374"/>
      <c r="S92" s="374"/>
      <c r="T92" s="374"/>
      <c r="U92" s="374"/>
      <c r="V92" s="374"/>
      <c r="W92" s="374"/>
      <c r="X92" s="374"/>
    </row>
    <row r="93" spans="1:24" ht="25.5" customHeight="1">
      <c r="A93" s="1035"/>
      <c r="B93" s="1026" t="str">
        <f>B10</f>
        <v>ÁREAS EXTERNAS</v>
      </c>
      <c r="C93" s="415" t="str">
        <f>'Áreas, Produt. e Postos'!A15</f>
        <v>Varrição de passeios e arruamentos</v>
      </c>
      <c r="D93" s="409">
        <f>'Valores por m²'!C35</f>
        <v>0.55680157716556189</v>
      </c>
      <c r="E93" s="410">
        <f>'Áreas, Produt. e Postos'!AS15</f>
        <v>9000</v>
      </c>
      <c r="F93" s="409">
        <f t="shared" ref="F93:F94" si="9">ROUND(D93*E93,2)</f>
        <v>5011.21</v>
      </c>
      <c r="G93" s="374"/>
      <c r="H93" s="374"/>
      <c r="I93" s="374"/>
      <c r="J93" s="374"/>
      <c r="K93" s="374"/>
      <c r="L93" s="374"/>
      <c r="M93" s="374"/>
      <c r="N93" s="374"/>
      <c r="O93" s="374"/>
      <c r="P93" s="374"/>
      <c r="Q93" s="374"/>
      <c r="R93" s="374"/>
      <c r="S93" s="374"/>
      <c r="T93" s="374"/>
      <c r="U93" s="374"/>
      <c r="V93" s="374"/>
      <c r="W93" s="374"/>
      <c r="X93" s="374"/>
    </row>
    <row r="94" spans="1:24" ht="25.5" customHeight="1">
      <c r="A94" s="1035"/>
      <c r="B94" s="1026"/>
      <c r="C94" s="408" t="str">
        <f>'Áreas, Produt. e Postos'!A18</f>
        <v>Pátios e áreas verdes com BAIXA frequência</v>
      </c>
      <c r="D94" s="409">
        <f>'Valores por m²'!C41</f>
        <v>1.8560052572185395</v>
      </c>
      <c r="E94" s="410">
        <f>'Áreas, Produt. e Postos'!AS18</f>
        <v>2000</v>
      </c>
      <c r="F94" s="409">
        <f t="shared" si="9"/>
        <v>3712.01</v>
      </c>
      <c r="G94" s="374"/>
      <c r="H94" s="374"/>
      <c r="I94" s="374"/>
      <c r="J94" s="374"/>
      <c r="K94" s="374"/>
      <c r="L94" s="374"/>
      <c r="M94" s="374"/>
      <c r="N94" s="374"/>
      <c r="O94" s="374"/>
      <c r="P94" s="374"/>
      <c r="Q94" s="374"/>
      <c r="R94" s="374"/>
      <c r="S94" s="374"/>
      <c r="T94" s="374"/>
      <c r="U94" s="374"/>
      <c r="V94" s="374"/>
      <c r="W94" s="374"/>
      <c r="X94" s="374"/>
    </row>
    <row r="95" spans="1:24" ht="2.5" customHeight="1">
      <c r="A95" s="1035"/>
      <c r="B95" s="447"/>
      <c r="C95" s="408"/>
      <c r="D95" s="409"/>
      <c r="E95" s="410"/>
      <c r="F95" s="409"/>
      <c r="G95" s="374"/>
      <c r="H95" s="374"/>
      <c r="I95" s="374"/>
      <c r="J95" s="374"/>
      <c r="K95" s="374"/>
      <c r="L95" s="374"/>
      <c r="M95" s="374"/>
      <c r="N95" s="374"/>
      <c r="O95" s="374"/>
      <c r="P95" s="374"/>
      <c r="Q95" s="374"/>
      <c r="R95" s="374"/>
      <c r="S95" s="374"/>
      <c r="T95" s="374"/>
      <c r="U95" s="374"/>
      <c r="V95" s="374"/>
      <c r="W95" s="374"/>
      <c r="X95" s="374"/>
    </row>
    <row r="96" spans="1:24" ht="25.5" customHeight="1">
      <c r="A96" s="1035"/>
      <c r="B96" s="1026" t="str">
        <f>B78</f>
        <v>ESQUADRIAS</v>
      </c>
      <c r="C96" s="408" t="str">
        <f>'Áreas, Produt. e Postos'!A23</f>
        <v>Face externa SEM exposição a risco (MENSAL)</v>
      </c>
      <c r="D96" s="409">
        <f>'Valores por m²'!C53</f>
        <v>1.1614371235995831</v>
      </c>
      <c r="E96" s="410">
        <f>'Áreas, Produt. e Postos'!AS23</f>
        <v>90</v>
      </c>
      <c r="F96" s="409">
        <f t="shared" ref="F96:F97" si="10">ROUND(D96*E96,2)</f>
        <v>104.53</v>
      </c>
      <c r="G96" s="374"/>
      <c r="H96" s="374"/>
      <c r="I96" s="374"/>
      <c r="J96" s="374"/>
      <c r="K96" s="374"/>
      <c r="L96" s="374"/>
      <c r="M96" s="374"/>
      <c r="N96" s="374"/>
      <c r="O96" s="374"/>
      <c r="P96" s="374"/>
      <c r="Q96" s="374"/>
      <c r="R96" s="374"/>
      <c r="S96" s="374"/>
      <c r="T96" s="374"/>
      <c r="U96" s="374"/>
      <c r="V96" s="374"/>
      <c r="W96" s="374"/>
      <c r="X96" s="374"/>
    </row>
    <row r="97" spans="1:24" ht="25.5" customHeight="1">
      <c r="A97" s="1035"/>
      <c r="B97" s="1026"/>
      <c r="C97" s="408" t="str">
        <f>'Áreas, Produt. e Postos'!A24</f>
        <v>Face interna (MENSAL)</v>
      </c>
      <c r="D97" s="409">
        <f>'Valores por m²'!C58</f>
        <v>1.1614371235995831</v>
      </c>
      <c r="E97" s="410">
        <f>'Áreas, Produt. e Postos'!AS24</f>
        <v>90</v>
      </c>
      <c r="F97" s="409">
        <f t="shared" si="10"/>
        <v>104.53</v>
      </c>
      <c r="G97" s="374"/>
      <c r="H97" s="374"/>
      <c r="I97" s="374"/>
      <c r="J97" s="374"/>
      <c r="K97" s="374"/>
      <c r="L97" s="374"/>
      <c r="M97" s="374"/>
      <c r="N97" s="374"/>
      <c r="O97" s="374"/>
      <c r="P97" s="374"/>
      <c r="Q97" s="374"/>
      <c r="R97" s="374"/>
      <c r="S97" s="374"/>
      <c r="T97" s="374"/>
      <c r="U97" s="374"/>
      <c r="V97" s="374"/>
      <c r="W97" s="374"/>
      <c r="X97" s="374"/>
    </row>
    <row r="98" spans="1:24" ht="2.5" customHeight="1">
      <c r="A98" s="1035"/>
      <c r="B98" s="447"/>
      <c r="C98" s="509"/>
      <c r="D98" s="418"/>
      <c r="E98" s="510"/>
      <c r="F98" s="409"/>
      <c r="G98" s="374"/>
      <c r="H98" s="374"/>
      <c r="I98" s="374"/>
      <c r="J98" s="374"/>
      <c r="K98" s="374"/>
      <c r="L98" s="374"/>
      <c r="M98" s="374"/>
      <c r="N98" s="374"/>
      <c r="O98" s="374"/>
      <c r="P98" s="374"/>
      <c r="Q98" s="374"/>
      <c r="R98" s="374"/>
      <c r="S98" s="374"/>
      <c r="T98" s="374"/>
      <c r="U98" s="374"/>
      <c r="V98" s="374"/>
      <c r="W98" s="374"/>
      <c r="X98" s="374"/>
    </row>
    <row r="99" spans="1:24" ht="25.5" customHeight="1">
      <c r="A99" s="1035"/>
      <c r="B99" s="416" t="s">
        <v>345</v>
      </c>
      <c r="C99" s="417"/>
      <c r="D99" s="418"/>
      <c r="E99" s="419">
        <f>SUM(E89:E97)</f>
        <v>13372</v>
      </c>
      <c r="F99" s="420">
        <f>SUM(F89:F97)</f>
        <v>15255.430000000002</v>
      </c>
      <c r="G99" s="374"/>
      <c r="H99" s="374"/>
      <c r="I99" s="374"/>
      <c r="J99" s="374"/>
      <c r="K99" s="374"/>
      <c r="L99" s="374"/>
      <c r="M99" s="374"/>
      <c r="N99" s="374"/>
      <c r="O99" s="374"/>
      <c r="P99" s="374"/>
      <c r="Q99" s="374"/>
      <c r="R99" s="374"/>
      <c r="S99" s="374"/>
      <c r="T99" s="374"/>
      <c r="U99" s="374"/>
      <c r="V99" s="374"/>
      <c r="W99" s="374"/>
      <c r="X99" s="374"/>
    </row>
    <row r="100" spans="1:24" ht="25.5" customHeight="1">
      <c r="A100" s="1035"/>
      <c r="B100" s="421" t="s">
        <v>358</v>
      </c>
      <c r="C100" s="417"/>
      <c r="D100" s="413"/>
      <c r="E100" s="422"/>
      <c r="F100" s="420">
        <f>'Materiais de Higiene '!AC19</f>
        <v>1016.4320379492796</v>
      </c>
      <c r="G100" s="374"/>
      <c r="H100" s="374"/>
      <c r="I100" s="374"/>
      <c r="J100" s="374"/>
      <c r="K100" s="374"/>
      <c r="L100" s="374"/>
      <c r="M100" s="374"/>
      <c r="N100" s="374"/>
      <c r="O100" s="374"/>
      <c r="P100" s="374"/>
      <c r="Q100" s="374"/>
      <c r="R100" s="374"/>
      <c r="S100" s="374"/>
      <c r="T100" s="374"/>
      <c r="U100" s="374"/>
      <c r="V100" s="374"/>
      <c r="W100" s="374"/>
      <c r="X100" s="374"/>
    </row>
    <row r="101" spans="1:24" ht="25.5" customHeight="1">
      <c r="A101" s="1035"/>
      <c r="B101" s="421" t="s">
        <v>348</v>
      </c>
      <c r="C101" s="417"/>
      <c r="D101" s="413"/>
      <c r="E101" s="422"/>
      <c r="F101" s="420">
        <f>SUM(F99:F100)</f>
        <v>16271.862037949282</v>
      </c>
      <c r="G101" s="374"/>
      <c r="H101" s="374"/>
      <c r="I101" s="374"/>
      <c r="J101" s="374"/>
      <c r="K101" s="374"/>
      <c r="L101" s="374"/>
      <c r="M101" s="374"/>
      <c r="N101" s="374"/>
      <c r="O101" s="374"/>
      <c r="P101" s="374"/>
      <c r="Q101" s="374"/>
      <c r="R101" s="374"/>
      <c r="S101" s="374"/>
      <c r="T101" s="374"/>
      <c r="U101" s="374"/>
      <c r="V101" s="374"/>
      <c r="W101" s="374"/>
      <c r="X101" s="374"/>
    </row>
    <row r="102" spans="1:24" ht="13" customHeight="1">
      <c r="A102" s="1024"/>
      <c r="B102" s="1024"/>
      <c r="C102" s="1024"/>
      <c r="D102" s="1024"/>
      <c r="E102" s="1024"/>
      <c r="F102" s="1024"/>
      <c r="G102" s="374"/>
      <c r="H102" s="374"/>
      <c r="I102" s="374"/>
      <c r="J102" s="374"/>
      <c r="K102" s="374"/>
      <c r="L102" s="374"/>
      <c r="M102" s="374"/>
      <c r="N102" s="374"/>
      <c r="O102" s="374"/>
      <c r="P102" s="374"/>
      <c r="Q102" s="374"/>
      <c r="R102" s="374"/>
      <c r="S102" s="374"/>
      <c r="T102" s="374"/>
      <c r="U102" s="374"/>
      <c r="V102" s="374"/>
      <c r="W102" s="374"/>
      <c r="X102" s="374"/>
    </row>
    <row r="103" spans="1:24" ht="16.5" customHeight="1">
      <c r="A103" s="1025"/>
      <c r="B103" s="1025"/>
      <c r="C103" s="1025"/>
      <c r="D103" s="1025"/>
      <c r="E103" s="1025"/>
      <c r="F103" s="1025"/>
      <c r="G103" s="374"/>
      <c r="H103" s="374"/>
      <c r="I103" s="374"/>
      <c r="J103" s="374"/>
      <c r="K103" s="374"/>
      <c r="L103" s="374"/>
      <c r="M103" s="374"/>
      <c r="N103" s="374"/>
      <c r="O103" s="374"/>
      <c r="P103" s="374"/>
      <c r="Q103" s="374"/>
      <c r="R103" s="374"/>
      <c r="S103" s="374"/>
      <c r="T103" s="374"/>
      <c r="U103" s="374"/>
      <c r="V103" s="374"/>
      <c r="W103" s="374"/>
      <c r="X103" s="374"/>
    </row>
    <row r="104" spans="1:24" ht="20" customHeight="1">
      <c r="A104" s="424"/>
      <c r="B104" s="1039" t="s">
        <v>349</v>
      </c>
      <c r="C104" s="1039"/>
      <c r="D104" s="1039"/>
      <c r="E104" s="1039"/>
      <c r="F104" s="425" t="s">
        <v>350</v>
      </c>
      <c r="G104" s="426"/>
      <c r="H104" s="374"/>
      <c r="I104" s="374"/>
      <c r="J104" s="374"/>
      <c r="K104" s="374"/>
      <c r="L104" s="374"/>
      <c r="M104" s="374"/>
      <c r="N104" s="374"/>
      <c r="O104" s="374"/>
      <c r="P104" s="374"/>
      <c r="Q104" s="374"/>
      <c r="R104" s="374"/>
      <c r="S104" s="374"/>
      <c r="T104" s="374"/>
      <c r="U104" s="374"/>
      <c r="V104" s="374"/>
      <c r="W104" s="374"/>
      <c r="X104" s="374"/>
    </row>
    <row r="105" spans="1:24" ht="25.5" customHeight="1">
      <c r="A105" s="1040" t="s">
        <v>351</v>
      </c>
      <c r="B105" s="421" t="s">
        <v>352</v>
      </c>
      <c r="C105" s="427"/>
      <c r="D105" s="417"/>
      <c r="E105" s="428"/>
      <c r="F105" s="429">
        <f>F18+F19+F39+F40+F62+F83+F84+F99</f>
        <v>106312.56882854018</v>
      </c>
      <c r="G105" s="423"/>
      <c r="H105" s="423"/>
      <c r="I105" s="374"/>
      <c r="J105" s="374"/>
      <c r="K105" s="374"/>
      <c r="L105" s="374"/>
      <c r="M105" s="374"/>
      <c r="N105" s="374"/>
      <c r="O105" s="374"/>
      <c r="P105" s="374"/>
      <c r="Q105" s="374"/>
      <c r="R105" s="374"/>
      <c r="S105" s="374"/>
      <c r="T105" s="374"/>
      <c r="U105" s="374"/>
      <c r="V105" s="374"/>
      <c r="W105" s="374"/>
      <c r="X105" s="374"/>
    </row>
    <row r="106" spans="1:24" ht="25.5" customHeight="1">
      <c r="A106" s="1040"/>
      <c r="B106" s="421" t="str">
        <f>IF([1]Preparação!$B$34=5,"Valor Mensal do Material Limpeza e do Material de Higiene para Localidades contratadas por m²","Valor Mensal do Material de Higiene para Localidades contratadas por m²")</f>
        <v>Valor Mensal do Material de Higiene para Localidades contratadas por m²</v>
      </c>
      <c r="C106" s="430"/>
      <c r="D106" s="417"/>
      <c r="E106" s="431"/>
      <c r="F106" s="429">
        <f>F20+F41+F64+F85+F100</f>
        <v>11608.506632690407</v>
      </c>
      <c r="G106" s="423"/>
      <c r="H106" s="423"/>
      <c r="I106" s="374"/>
      <c r="J106" s="374"/>
      <c r="K106" s="374"/>
      <c r="L106" s="374"/>
      <c r="M106" s="374"/>
      <c r="N106" s="374"/>
      <c r="O106" s="374"/>
      <c r="P106" s="374"/>
      <c r="Q106" s="374"/>
      <c r="R106" s="374"/>
      <c r="S106" s="374"/>
      <c r="T106" s="374"/>
      <c r="U106" s="374"/>
      <c r="V106" s="374"/>
      <c r="W106" s="374"/>
      <c r="X106" s="374"/>
    </row>
    <row r="107" spans="1:24" ht="25.5" customHeight="1">
      <c r="A107" s="1040"/>
      <c r="B107" s="421" t="s">
        <v>353</v>
      </c>
      <c r="C107" s="427"/>
      <c r="D107" s="417"/>
      <c r="E107" s="431"/>
      <c r="F107" s="429">
        <f>F105+F106</f>
        <v>117921.07546123059</v>
      </c>
      <c r="G107" s="374"/>
      <c r="H107" s="374"/>
      <c r="I107" s="423"/>
      <c r="J107" s="374"/>
      <c r="K107" s="374"/>
      <c r="L107" s="374"/>
      <c r="M107" s="374"/>
      <c r="N107" s="374"/>
      <c r="O107" s="374"/>
      <c r="P107" s="374"/>
      <c r="Q107" s="374"/>
      <c r="R107" s="374"/>
      <c r="S107" s="374"/>
      <c r="T107" s="374"/>
      <c r="U107" s="374"/>
      <c r="V107" s="374"/>
      <c r="W107" s="374"/>
      <c r="X107" s="374"/>
    </row>
    <row r="108" spans="1:24" ht="38.25" customHeight="1">
      <c r="A108" s="432"/>
      <c r="B108" s="433" t="s">
        <v>354</v>
      </c>
      <c r="C108" s="434"/>
      <c r="D108" s="435">
        <v>12</v>
      </c>
      <c r="E108" s="436" t="s">
        <v>355</v>
      </c>
      <c r="F108" s="437">
        <f>F107*D108</f>
        <v>1415052.9055347671</v>
      </c>
      <c r="G108" s="374"/>
      <c r="H108" s="374"/>
      <c r="I108" s="374"/>
      <c r="J108" s="374"/>
      <c r="K108" s="374"/>
      <c r="L108" s="374"/>
      <c r="M108" s="374"/>
      <c r="N108" s="374"/>
      <c r="O108" s="374"/>
      <c r="P108" s="374"/>
      <c r="Q108" s="374"/>
      <c r="R108" s="374"/>
      <c r="S108" s="374"/>
      <c r="T108" s="374"/>
      <c r="U108" s="374"/>
      <c r="V108" s="374"/>
      <c r="W108" s="374"/>
      <c r="X108" s="374"/>
    </row>
    <row r="109" spans="1:24" ht="25.5" customHeight="1">
      <c r="A109" s="374"/>
      <c r="B109" s="374"/>
      <c r="C109" s="438"/>
      <c r="D109" s="439"/>
      <c r="E109" s="374"/>
      <c r="F109" s="439"/>
      <c r="G109" s="374"/>
      <c r="H109" s="374"/>
      <c r="I109" s="374"/>
      <c r="J109" s="374"/>
      <c r="K109" s="374"/>
      <c r="L109" s="374"/>
      <c r="M109" s="374"/>
      <c r="N109" s="374"/>
      <c r="O109" s="374"/>
      <c r="P109" s="374"/>
      <c r="Q109" s="374"/>
      <c r="R109" s="374"/>
      <c r="S109" s="374"/>
      <c r="T109" s="374"/>
      <c r="U109" s="374"/>
      <c r="V109" s="374"/>
      <c r="W109" s="374"/>
      <c r="X109" s="374"/>
    </row>
    <row r="110" spans="1:24" ht="25.5" customHeight="1">
      <c r="A110" s="440"/>
      <c r="B110" s="440"/>
      <c r="C110" s="441" t="s">
        <v>356</v>
      </c>
      <c r="D110" s="442"/>
      <c r="E110" s="440"/>
      <c r="F110" s="442"/>
      <c r="G110" s="440"/>
      <c r="H110" s="440"/>
      <c r="I110" s="440"/>
      <c r="J110" s="440"/>
      <c r="K110" s="440"/>
      <c r="L110" s="440"/>
      <c r="M110" s="440"/>
      <c r="N110" s="440"/>
      <c r="O110" s="440"/>
      <c r="P110" s="440"/>
      <c r="Q110" s="374"/>
      <c r="R110" s="374"/>
      <c r="S110" s="374"/>
      <c r="T110" s="374"/>
      <c r="U110" s="374"/>
      <c r="V110" s="374"/>
      <c r="W110" s="374"/>
      <c r="X110" s="374"/>
    </row>
    <row r="111" spans="1:24" ht="25.5" customHeight="1">
      <c r="A111" s="440"/>
      <c r="B111" s="440"/>
      <c r="C111" s="441"/>
      <c r="D111" s="442"/>
      <c r="E111" s="440"/>
      <c r="F111" s="442"/>
      <c r="G111" s="440"/>
      <c r="H111" s="440"/>
      <c r="I111" s="440"/>
      <c r="J111" s="440"/>
      <c r="K111" s="440"/>
      <c r="L111" s="440"/>
      <c r="M111" s="440"/>
      <c r="N111" s="440"/>
      <c r="O111" s="440"/>
      <c r="P111" s="440"/>
      <c r="Q111" s="374"/>
      <c r="R111" s="374"/>
      <c r="S111" s="374"/>
      <c r="T111" s="374"/>
      <c r="U111" s="374"/>
      <c r="V111" s="374"/>
      <c r="W111" s="374"/>
      <c r="X111" s="374"/>
    </row>
    <row r="112" spans="1:24" ht="25.5" customHeight="1">
      <c r="A112" s="440"/>
      <c r="B112" s="440"/>
      <c r="C112" s="441"/>
      <c r="D112" s="442"/>
      <c r="E112" s="440"/>
      <c r="F112" s="442"/>
      <c r="G112" s="440"/>
      <c r="H112" s="440"/>
      <c r="I112" s="440"/>
      <c r="J112" s="440"/>
      <c r="K112" s="440"/>
      <c r="L112" s="440"/>
      <c r="M112" s="440"/>
      <c r="N112" s="440"/>
      <c r="O112" s="440"/>
      <c r="P112" s="440"/>
      <c r="Q112" s="374"/>
      <c r="R112" s="374"/>
      <c r="S112" s="374"/>
      <c r="T112" s="374"/>
      <c r="U112" s="374"/>
      <c r="V112" s="374"/>
      <c r="W112" s="374"/>
      <c r="X112" s="374"/>
    </row>
    <row r="113" spans="1:24" ht="25.5" customHeight="1">
      <c r="A113" s="440"/>
      <c r="B113" s="440"/>
      <c r="C113" s="441" t="s">
        <v>357</v>
      </c>
      <c r="D113" s="442"/>
      <c r="E113" s="440"/>
      <c r="F113" s="442"/>
      <c r="G113" s="440"/>
      <c r="H113" s="440"/>
      <c r="I113" s="440"/>
      <c r="J113" s="440"/>
      <c r="K113" s="440"/>
      <c r="L113" s="440"/>
      <c r="M113" s="440"/>
      <c r="N113" s="440"/>
      <c r="O113" s="440"/>
      <c r="P113" s="440"/>
      <c r="Q113" s="374"/>
      <c r="R113" s="374"/>
      <c r="S113" s="374"/>
      <c r="T113" s="374"/>
      <c r="U113" s="374"/>
      <c r="V113" s="374"/>
      <c r="W113" s="374"/>
      <c r="X113" s="374"/>
    </row>
    <row r="114" spans="1:24" ht="25.5" customHeight="1">
      <c r="A114" s="374"/>
      <c r="B114" s="374"/>
      <c r="C114" s="438"/>
      <c r="D114" s="439"/>
      <c r="E114" s="374"/>
      <c r="F114" s="439"/>
      <c r="G114" s="374"/>
      <c r="H114" s="374"/>
      <c r="I114" s="374"/>
      <c r="J114" s="374"/>
      <c r="K114" s="374"/>
      <c r="L114" s="374"/>
      <c r="M114" s="374"/>
      <c r="N114" s="374"/>
      <c r="O114" s="374"/>
      <c r="P114" s="374"/>
      <c r="Q114" s="374"/>
      <c r="R114" s="374"/>
      <c r="S114" s="374"/>
      <c r="T114" s="374"/>
      <c r="U114" s="374"/>
      <c r="V114" s="374"/>
      <c r="W114" s="374"/>
      <c r="X114" s="374"/>
    </row>
    <row r="115" spans="1:24" ht="25.5" customHeight="1">
      <c r="A115" s="374"/>
      <c r="B115" s="374"/>
      <c r="C115" s="438"/>
      <c r="D115" s="439"/>
      <c r="E115" s="374"/>
      <c r="F115" s="439"/>
      <c r="G115" s="374"/>
      <c r="H115" s="374"/>
      <c r="I115" s="374"/>
      <c r="J115" s="374"/>
      <c r="K115" s="374"/>
      <c r="L115" s="374"/>
      <c r="M115" s="374"/>
      <c r="N115" s="374"/>
      <c r="O115" s="374"/>
      <c r="P115" s="374"/>
      <c r="Q115" s="374"/>
      <c r="R115" s="374"/>
      <c r="S115" s="374"/>
      <c r="T115" s="374"/>
      <c r="U115" s="374"/>
      <c r="V115" s="374"/>
      <c r="W115" s="374"/>
      <c r="X115" s="374"/>
    </row>
    <row r="116" spans="1:24" ht="25.5" customHeight="1">
      <c r="A116" s="374"/>
      <c r="B116" s="374"/>
      <c r="C116" s="438"/>
      <c r="D116" s="439"/>
      <c r="E116" s="374"/>
      <c r="F116" s="439"/>
      <c r="G116" s="374"/>
      <c r="H116" s="374"/>
      <c r="I116" s="374"/>
      <c r="J116" s="374"/>
      <c r="K116" s="374"/>
      <c r="L116" s="374"/>
      <c r="M116" s="374"/>
      <c r="N116" s="374"/>
      <c r="O116" s="374"/>
      <c r="P116" s="374"/>
      <c r="Q116" s="374"/>
      <c r="R116" s="374"/>
      <c r="S116" s="374"/>
      <c r="T116" s="374"/>
      <c r="U116" s="374"/>
      <c r="V116" s="374"/>
      <c r="W116" s="374"/>
      <c r="X116" s="374"/>
    </row>
    <row r="117" spans="1:24" ht="25.5" customHeight="1">
      <c r="A117" s="374"/>
      <c r="B117" s="374"/>
      <c r="C117" s="438"/>
      <c r="D117" s="439"/>
      <c r="E117" s="374"/>
      <c r="F117" s="439"/>
      <c r="G117" s="374"/>
      <c r="H117" s="374"/>
      <c r="I117" s="374"/>
      <c r="J117" s="374"/>
      <c r="K117" s="374"/>
      <c r="L117" s="374"/>
      <c r="M117" s="374"/>
      <c r="N117" s="374"/>
      <c r="O117" s="374"/>
      <c r="P117" s="374"/>
      <c r="Q117" s="374"/>
      <c r="R117" s="374"/>
      <c r="S117" s="374"/>
      <c r="T117" s="374"/>
      <c r="U117" s="374"/>
      <c r="V117" s="374"/>
      <c r="W117" s="374"/>
      <c r="X117" s="374"/>
    </row>
    <row r="118" spans="1:24" ht="25.5" customHeight="1">
      <c r="A118" s="374"/>
      <c r="B118" s="374"/>
      <c r="C118" s="438"/>
      <c r="D118" s="439"/>
      <c r="E118" s="374"/>
      <c r="F118" s="439"/>
      <c r="G118" s="374"/>
      <c r="H118" s="374"/>
      <c r="I118" s="374"/>
      <c r="J118" s="374"/>
      <c r="K118" s="374"/>
      <c r="L118" s="374"/>
      <c r="M118" s="374"/>
      <c r="N118" s="374"/>
      <c r="O118" s="374"/>
      <c r="P118" s="374"/>
      <c r="Q118" s="374"/>
      <c r="R118" s="374"/>
      <c r="S118" s="374"/>
      <c r="T118" s="374"/>
      <c r="U118" s="374"/>
      <c r="V118" s="374"/>
      <c r="W118" s="374"/>
      <c r="X118" s="374"/>
    </row>
    <row r="119" spans="1:24" ht="25.5" customHeight="1">
      <c r="A119" s="374"/>
      <c r="B119" s="374"/>
      <c r="C119" s="438"/>
      <c r="D119" s="439"/>
      <c r="E119" s="374"/>
      <c r="F119" s="439"/>
      <c r="G119" s="374"/>
      <c r="H119" s="374"/>
      <c r="I119" s="374"/>
      <c r="J119" s="374"/>
      <c r="K119" s="374"/>
      <c r="L119" s="374"/>
      <c r="M119" s="374"/>
      <c r="N119" s="374"/>
      <c r="O119" s="374"/>
      <c r="P119" s="374"/>
      <c r="Q119" s="374"/>
      <c r="R119" s="374"/>
      <c r="S119" s="374"/>
      <c r="T119" s="374"/>
      <c r="U119" s="374"/>
      <c r="V119" s="374"/>
      <c r="W119" s="374"/>
      <c r="X119" s="374"/>
    </row>
    <row r="120" spans="1:24" ht="25.5" customHeight="1">
      <c r="A120" s="374"/>
      <c r="B120" s="374"/>
      <c r="C120" s="438"/>
      <c r="D120" s="439"/>
      <c r="E120" s="374"/>
      <c r="F120" s="439"/>
      <c r="G120" s="374"/>
      <c r="H120" s="374"/>
      <c r="I120" s="374"/>
      <c r="J120" s="374"/>
      <c r="K120" s="374"/>
      <c r="L120" s="374"/>
      <c r="M120" s="374"/>
      <c r="N120" s="374"/>
      <c r="O120" s="374"/>
      <c r="P120" s="374"/>
      <c r="Q120" s="374"/>
      <c r="R120" s="374"/>
      <c r="S120" s="374"/>
      <c r="T120" s="374"/>
      <c r="U120" s="374"/>
      <c r="V120" s="374"/>
      <c r="W120" s="374"/>
      <c r="X120" s="374"/>
    </row>
    <row r="121" spans="1:24" ht="25.5" customHeight="1">
      <c r="A121" s="374"/>
      <c r="B121" s="374"/>
      <c r="C121" s="438"/>
      <c r="D121" s="439"/>
      <c r="E121" s="374"/>
      <c r="F121" s="439"/>
      <c r="G121" s="374"/>
      <c r="H121" s="374"/>
      <c r="I121" s="374"/>
      <c r="J121" s="374"/>
      <c r="K121" s="374"/>
      <c r="L121" s="374"/>
      <c r="M121" s="374"/>
      <c r="N121" s="374"/>
      <c r="O121" s="374"/>
      <c r="P121" s="374"/>
      <c r="Q121" s="374"/>
      <c r="R121" s="374"/>
      <c r="S121" s="374"/>
      <c r="T121" s="374"/>
      <c r="U121" s="374"/>
      <c r="V121" s="374"/>
      <c r="W121" s="374"/>
      <c r="X121" s="374"/>
    </row>
    <row r="122" spans="1:24" ht="25.5" customHeight="1">
      <c r="A122" s="374"/>
      <c r="B122" s="374"/>
      <c r="C122" s="438"/>
      <c r="D122" s="439"/>
      <c r="E122" s="374"/>
      <c r="F122" s="439"/>
      <c r="G122" s="374"/>
      <c r="H122" s="374"/>
      <c r="I122" s="374"/>
      <c r="J122" s="374"/>
      <c r="K122" s="374"/>
      <c r="L122" s="374"/>
      <c r="M122" s="374"/>
      <c r="N122" s="374"/>
      <c r="O122" s="374"/>
      <c r="P122" s="374"/>
      <c r="Q122" s="374"/>
      <c r="R122" s="374"/>
      <c r="S122" s="374"/>
      <c r="T122" s="374"/>
      <c r="U122" s="374"/>
      <c r="V122" s="374"/>
      <c r="W122" s="374"/>
      <c r="X122" s="374"/>
    </row>
    <row r="123" spans="1:24" ht="25.5" customHeight="1">
      <c r="A123" s="374"/>
      <c r="B123" s="374"/>
      <c r="C123" s="438"/>
      <c r="D123" s="439"/>
      <c r="E123" s="374"/>
      <c r="F123" s="439"/>
      <c r="G123" s="374"/>
      <c r="H123" s="374"/>
      <c r="I123" s="374"/>
      <c r="J123" s="374"/>
      <c r="K123" s="374"/>
      <c r="L123" s="374"/>
      <c r="M123" s="374"/>
      <c r="N123" s="374"/>
      <c r="O123" s="374"/>
      <c r="P123" s="374"/>
      <c r="Q123" s="374"/>
      <c r="R123" s="374"/>
      <c r="S123" s="374"/>
      <c r="T123" s="374"/>
      <c r="U123" s="374"/>
      <c r="V123" s="374"/>
      <c r="W123" s="374"/>
      <c r="X123" s="374"/>
    </row>
    <row r="124" spans="1:24" ht="25.5" customHeight="1">
      <c r="A124" s="374"/>
      <c r="B124" s="374"/>
      <c r="C124" s="438"/>
      <c r="D124" s="439"/>
      <c r="E124" s="374"/>
      <c r="F124" s="439"/>
      <c r="G124" s="374"/>
      <c r="H124" s="374"/>
      <c r="I124" s="374"/>
      <c r="J124" s="374"/>
      <c r="K124" s="374"/>
      <c r="L124" s="374"/>
      <c r="M124" s="374"/>
      <c r="N124" s="374"/>
      <c r="O124" s="374"/>
      <c r="P124" s="374"/>
      <c r="Q124" s="374"/>
      <c r="R124" s="374"/>
      <c r="S124" s="374"/>
      <c r="T124" s="374"/>
      <c r="U124" s="374"/>
      <c r="V124" s="374"/>
      <c r="W124" s="374"/>
      <c r="X124" s="374"/>
    </row>
    <row r="125" spans="1:24" ht="25.5" customHeight="1">
      <c r="A125" s="374"/>
      <c r="B125" s="374"/>
      <c r="C125" s="438"/>
      <c r="D125" s="439"/>
      <c r="E125" s="374"/>
      <c r="F125" s="439"/>
      <c r="G125" s="374"/>
      <c r="H125" s="374"/>
      <c r="I125" s="374"/>
      <c r="J125" s="374"/>
      <c r="K125" s="374"/>
      <c r="L125" s="374"/>
      <c r="M125" s="374"/>
      <c r="N125" s="374"/>
      <c r="O125" s="374"/>
      <c r="P125" s="374"/>
      <c r="Q125" s="374"/>
      <c r="R125" s="374"/>
      <c r="S125" s="374"/>
      <c r="T125" s="374"/>
      <c r="U125" s="374"/>
      <c r="V125" s="374"/>
      <c r="W125" s="374"/>
      <c r="X125" s="374"/>
    </row>
    <row r="126" spans="1:24" ht="25.5" customHeight="1">
      <c r="A126" s="374"/>
      <c r="B126" s="374"/>
      <c r="C126" s="438"/>
      <c r="D126" s="439"/>
      <c r="E126" s="374"/>
      <c r="F126" s="439"/>
      <c r="G126" s="374"/>
      <c r="H126" s="374"/>
      <c r="I126" s="374"/>
      <c r="J126" s="374"/>
      <c r="K126" s="374"/>
      <c r="L126" s="374"/>
      <c r="M126" s="374"/>
      <c r="N126" s="374"/>
      <c r="O126" s="374"/>
      <c r="P126" s="374"/>
      <c r="Q126" s="374"/>
      <c r="R126" s="374"/>
      <c r="S126" s="374"/>
      <c r="T126" s="374"/>
      <c r="U126" s="374"/>
      <c r="V126" s="374"/>
      <c r="W126" s="374"/>
      <c r="X126" s="374"/>
    </row>
    <row r="127" spans="1:24" ht="25.5" customHeight="1">
      <c r="A127" s="374"/>
      <c r="B127" s="374"/>
      <c r="C127" s="438"/>
      <c r="D127" s="439"/>
      <c r="E127" s="374"/>
      <c r="F127" s="439"/>
      <c r="G127" s="374"/>
      <c r="H127" s="374"/>
      <c r="I127" s="374"/>
      <c r="J127" s="374"/>
      <c r="K127" s="374"/>
      <c r="L127" s="374"/>
      <c r="M127" s="374"/>
      <c r="N127" s="374"/>
      <c r="O127" s="374"/>
      <c r="P127" s="374"/>
      <c r="Q127" s="374"/>
      <c r="R127" s="374"/>
      <c r="S127" s="374"/>
      <c r="T127" s="374"/>
      <c r="U127" s="374"/>
      <c r="V127" s="374"/>
      <c r="W127" s="374"/>
      <c r="X127" s="374"/>
    </row>
  </sheetData>
  <mergeCells count="33">
    <mergeCell ref="B104:E104"/>
    <mergeCell ref="A105:A107"/>
    <mergeCell ref="B23:C23"/>
    <mergeCell ref="A24:A42"/>
    <mergeCell ref="B24:B28"/>
    <mergeCell ref="B30:B33"/>
    <mergeCell ref="B35:B37"/>
    <mergeCell ref="B44:C44"/>
    <mergeCell ref="B67:C67"/>
    <mergeCell ref="A68:A86"/>
    <mergeCell ref="A89:A101"/>
    <mergeCell ref="B89:B91"/>
    <mergeCell ref="B93:B94"/>
    <mergeCell ref="B96:B97"/>
    <mergeCell ref="A45:A65"/>
    <mergeCell ref="B45:B50"/>
    <mergeCell ref="B1:C1"/>
    <mergeCell ref="A2:A21"/>
    <mergeCell ref="B2:B8"/>
    <mergeCell ref="B10:B11"/>
    <mergeCell ref="B13:B16"/>
    <mergeCell ref="A102:F103"/>
    <mergeCell ref="B52:B57"/>
    <mergeCell ref="B59:B60"/>
    <mergeCell ref="B83:D83"/>
    <mergeCell ref="B84:E84"/>
    <mergeCell ref="B68:B71"/>
    <mergeCell ref="B73:B76"/>
    <mergeCell ref="B78:B81"/>
    <mergeCell ref="A87:F87"/>
    <mergeCell ref="B88:C88"/>
    <mergeCell ref="B85:E85"/>
    <mergeCell ref="B86:E8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08"/>
  <sheetViews>
    <sheetView topLeftCell="A67" workbookViewId="0">
      <selection activeCell="D87" sqref="D87"/>
    </sheetView>
  </sheetViews>
  <sheetFormatPr defaultRowHeight="12.5"/>
  <cols>
    <col min="1" max="1" width="15.54296875" style="2" customWidth="1"/>
    <col min="2" max="2" width="19.81640625" style="2" customWidth="1"/>
    <col min="3" max="3" width="49.54296875" style="1" customWidth="1"/>
    <col min="4" max="4" width="17.26953125" style="1" customWidth="1"/>
    <col min="5" max="5" width="31.1796875" style="2" customWidth="1"/>
    <col min="6" max="6" width="18.26953125" style="489" customWidth="1"/>
    <col min="7" max="7" width="16.26953125" style="490" customWidth="1"/>
    <col min="8" max="8" width="23.6328125" style="491" customWidth="1"/>
    <col min="9" max="9" width="18.7265625" style="1" customWidth="1"/>
    <col min="10" max="22" width="19.54296875" customWidth="1"/>
    <col min="23" max="1002" width="19.54296875" style="1" customWidth="1"/>
    <col min="1003" max="1025" width="9.1796875" style="1" customWidth="1"/>
  </cols>
  <sheetData>
    <row r="1" spans="1:18" ht="30" customHeight="1">
      <c r="A1" s="405" t="s">
        <v>202</v>
      </c>
      <c r="B1" s="452" t="s">
        <v>205</v>
      </c>
      <c r="C1" s="453"/>
      <c r="D1" s="405" t="s">
        <v>303</v>
      </c>
      <c r="E1" s="454" t="s">
        <v>359</v>
      </c>
      <c r="F1" s="455" t="s">
        <v>360</v>
      </c>
      <c r="G1" s="456" t="s">
        <v>361</v>
      </c>
      <c r="H1" s="455" t="s">
        <v>343</v>
      </c>
      <c r="I1" s="457"/>
      <c r="J1" s="374"/>
      <c r="K1" s="374"/>
      <c r="L1" s="374"/>
      <c r="M1" s="374"/>
      <c r="N1" s="374"/>
      <c r="O1" s="374"/>
      <c r="P1" s="374"/>
      <c r="Q1" s="374"/>
      <c r="R1" s="374"/>
    </row>
    <row r="2" spans="1:18" ht="20.5" customHeight="1">
      <c r="A2" s="1040" t="s">
        <v>274</v>
      </c>
      <c r="B2" s="1035" t="s">
        <v>34</v>
      </c>
      <c r="C2" s="408" t="str">
        <f>'Áreas, Produt. e Postos'!A4</f>
        <v>Piso frio</v>
      </c>
      <c r="D2" s="410">
        <f>'Áreas, Produt. e Postos'!Q4</f>
        <v>421</v>
      </c>
      <c r="E2" s="1048" t="s">
        <v>369</v>
      </c>
      <c r="F2" s="1049">
        <f>'Servente 20h'!G126</f>
        <v>2920.6043563649346</v>
      </c>
      <c r="G2" s="1050">
        <f>'Áreas, Produt. e Postos'!BB36</f>
        <v>1</v>
      </c>
      <c r="H2" s="1046">
        <f>ROUND(F2*G2,2)</f>
        <v>2920.6</v>
      </c>
      <c r="I2" s="374"/>
      <c r="J2" s="374"/>
      <c r="K2" s="374"/>
      <c r="L2" s="374"/>
      <c r="M2" s="374"/>
      <c r="N2" s="374"/>
      <c r="O2" s="374"/>
      <c r="P2" s="374"/>
      <c r="Q2" s="374"/>
      <c r="R2" s="374"/>
    </row>
    <row r="3" spans="1:18" ht="20.5" customHeight="1">
      <c r="A3" s="1040"/>
      <c r="B3" s="1035"/>
      <c r="C3" s="408" t="str">
        <f>'Áreas, Produt. e Postos'!A6</f>
        <v>Almoxarifados/galpões</v>
      </c>
      <c r="D3" s="410">
        <f>'Áreas, Produt. e Postos'!Q6</f>
        <v>112</v>
      </c>
      <c r="E3" s="1048"/>
      <c r="F3" s="1049"/>
      <c r="G3" s="1050"/>
      <c r="H3" s="1046"/>
      <c r="I3" s="457"/>
      <c r="J3" s="374"/>
      <c r="K3" s="374"/>
      <c r="L3" s="374"/>
      <c r="M3" s="374"/>
      <c r="N3" s="374"/>
      <c r="O3" s="374"/>
      <c r="P3" s="374"/>
      <c r="Q3" s="374"/>
      <c r="R3" s="374"/>
    </row>
    <row r="4" spans="1:18" ht="20.5" customHeight="1">
      <c r="A4" s="1040"/>
      <c r="B4" s="1035"/>
      <c r="C4" s="408" t="str">
        <f>'Áreas, Produt. e Postos'!A7</f>
        <v>Oficinas</v>
      </c>
      <c r="D4" s="410">
        <f>'Áreas, Produt. e Postos'!Q7</f>
        <v>30</v>
      </c>
      <c r="E4" s="1048"/>
      <c r="F4" s="1049"/>
      <c r="G4" s="1050"/>
      <c r="H4" s="1046"/>
      <c r="I4" s="457"/>
      <c r="J4" s="374"/>
      <c r="K4" s="374"/>
      <c r="L4" s="374"/>
      <c r="M4" s="374"/>
      <c r="N4" s="374"/>
      <c r="O4" s="374"/>
      <c r="P4" s="374"/>
      <c r="Q4" s="374"/>
      <c r="R4" s="374"/>
    </row>
    <row r="5" spans="1:18" ht="20.5" customHeight="1">
      <c r="A5" s="1040"/>
      <c r="B5" s="1035"/>
      <c r="C5" s="408" t="str">
        <f>'Áreas, Produt. e Postos'!A9</f>
        <v>Banheiros SEM adicional de insalubridade</v>
      </c>
      <c r="D5" s="410">
        <f>'Áreas, Produt. e Postos'!Q9</f>
        <v>37</v>
      </c>
      <c r="E5" s="1048"/>
      <c r="F5" s="1049"/>
      <c r="G5" s="1050"/>
      <c r="H5" s="1046"/>
      <c r="I5" s="457"/>
      <c r="J5" s="374"/>
      <c r="K5" s="374"/>
      <c r="L5" s="374"/>
      <c r="M5" s="374"/>
      <c r="N5" s="374"/>
      <c r="O5" s="374"/>
      <c r="P5" s="374"/>
      <c r="Q5" s="374"/>
      <c r="R5" s="374"/>
    </row>
    <row r="6" spans="1:18" ht="3" customHeight="1">
      <c r="A6" s="1040"/>
      <c r="B6" s="447"/>
      <c r="C6" s="408"/>
      <c r="D6" s="410"/>
      <c r="E6" s="1048"/>
      <c r="F6" s="1049"/>
      <c r="G6" s="1050"/>
      <c r="H6" s="1046"/>
      <c r="I6" s="457"/>
      <c r="J6" s="374"/>
      <c r="K6" s="374"/>
      <c r="L6" s="374"/>
      <c r="M6" s="374"/>
      <c r="N6" s="374"/>
      <c r="O6" s="374"/>
      <c r="P6" s="374"/>
      <c r="Q6" s="374"/>
      <c r="R6" s="374"/>
    </row>
    <row r="7" spans="1:18" ht="20.5" customHeight="1">
      <c r="A7" s="1040"/>
      <c r="B7" s="1026" t="s">
        <v>35</v>
      </c>
      <c r="C7" s="408" t="str">
        <f>'Áreas, Produt. e Postos'!A14</f>
        <v>Pisos pavimentados adjacentes/contíguos às edificações</v>
      </c>
      <c r="D7" s="410">
        <f>'Áreas, Produt. e Postos'!Q14</f>
        <v>401</v>
      </c>
      <c r="E7" s="1048"/>
      <c r="F7" s="1049"/>
      <c r="G7" s="1050"/>
      <c r="H7" s="1046"/>
      <c r="I7" s="457"/>
      <c r="J7" s="374"/>
      <c r="K7" s="374"/>
      <c r="L7" s="374"/>
      <c r="M7" s="374"/>
      <c r="N7" s="374"/>
      <c r="O7" s="374"/>
      <c r="P7" s="374"/>
      <c r="Q7" s="374"/>
      <c r="R7" s="374"/>
    </row>
    <row r="8" spans="1:18" ht="20.5" customHeight="1">
      <c r="A8" s="1040"/>
      <c r="B8" s="1026"/>
      <c r="C8" s="415" t="str">
        <f>'Áreas, Produt. e Postos'!A15</f>
        <v>Varrição de passeios e arruamentos</v>
      </c>
      <c r="D8" s="410">
        <f>'Áreas, Produt. e Postos'!Q15</f>
        <v>280</v>
      </c>
      <c r="E8" s="1048"/>
      <c r="F8" s="1049"/>
      <c r="G8" s="1050"/>
      <c r="H8" s="1046"/>
      <c r="I8" s="457"/>
      <c r="J8" s="374"/>
      <c r="K8" s="374"/>
      <c r="L8" s="374"/>
      <c r="M8" s="374"/>
      <c r="N8" s="374"/>
      <c r="O8" s="374"/>
      <c r="P8" s="374"/>
      <c r="Q8" s="374"/>
      <c r="R8" s="374"/>
    </row>
    <row r="9" spans="1:18" ht="20.5" customHeight="1">
      <c r="A9" s="1040"/>
      <c r="B9" s="1026"/>
      <c r="C9" s="408" t="str">
        <f>'Áreas, Produt. e Postos'!A16</f>
        <v>Pátios e áreas verdes com ALTA frequência</v>
      </c>
      <c r="D9" s="410">
        <f>'Áreas, Produt. e Postos'!Q16</f>
        <v>27</v>
      </c>
      <c r="E9" s="1048"/>
      <c r="F9" s="1049"/>
      <c r="G9" s="1050"/>
      <c r="H9" s="1046"/>
      <c r="I9" s="457"/>
      <c r="J9" s="374"/>
      <c r="K9" s="374"/>
      <c r="L9" s="374"/>
      <c r="M9" s="374"/>
      <c r="N9" s="374"/>
      <c r="O9" s="374"/>
      <c r="P9" s="374"/>
      <c r="Q9" s="374"/>
      <c r="R9" s="374"/>
    </row>
    <row r="10" spans="1:18" ht="3.5" customHeight="1">
      <c r="A10" s="1040"/>
      <c r="B10" s="462"/>
      <c r="C10" s="412"/>
      <c r="D10" s="458" t="str">
        <f>IF($A2=0,0,"pula")</f>
        <v>pula</v>
      </c>
      <c r="E10" s="427"/>
      <c r="F10" s="459"/>
      <c r="G10" s="460"/>
      <c r="H10" s="463" t="str">
        <f>IF($A2=0,0,"pula")</f>
        <v>pula</v>
      </c>
      <c r="I10" s="457"/>
      <c r="J10" s="374"/>
      <c r="K10" s="374"/>
      <c r="L10" s="374"/>
      <c r="M10" s="374"/>
      <c r="N10" s="374"/>
      <c r="O10" s="374"/>
      <c r="P10" s="374"/>
      <c r="Q10" s="374"/>
      <c r="R10" s="374"/>
    </row>
    <row r="11" spans="1:18" ht="20.5" customHeight="1">
      <c r="A11" s="1040"/>
      <c r="B11" s="1035" t="s">
        <v>344</v>
      </c>
      <c r="C11" s="446" t="str">
        <f>'Áreas, Produt. e Postos'!A23</f>
        <v>Face externa SEM exposição a risco (MENSAL)</v>
      </c>
      <c r="D11" s="410">
        <f>'Áreas, Produt. e Postos'!Q23</f>
        <v>157</v>
      </c>
      <c r="E11" s="1048" t="s">
        <v>362</v>
      </c>
      <c r="F11" s="1049">
        <f>'Limp Vidros'!K125</f>
        <v>5140.0044875246813</v>
      </c>
      <c r="G11" s="1050">
        <f>'Áreas, Produt. e Postos'!BB31</f>
        <v>7.0041601142079621E-2</v>
      </c>
      <c r="H11" s="1046">
        <f>ROUND(F11*G11,2)</f>
        <v>360.01</v>
      </c>
      <c r="I11" s="457"/>
      <c r="J11" s="374"/>
      <c r="K11" s="374"/>
      <c r="L11" s="374"/>
      <c r="M11" s="374"/>
      <c r="N11" s="374"/>
      <c r="O11" s="374"/>
      <c r="P11" s="374"/>
      <c r="Q11" s="374"/>
      <c r="R11" s="374"/>
    </row>
    <row r="12" spans="1:18" ht="20.5" customHeight="1">
      <c r="A12" s="1040"/>
      <c r="B12" s="1035"/>
      <c r="C12" s="446" t="str">
        <f>'Áreas, Produt. e Postos'!A24</f>
        <v>Face interna (MENSAL)</v>
      </c>
      <c r="D12" s="410">
        <f>'Áreas, Produt. e Postos'!Q24</f>
        <v>157</v>
      </c>
      <c r="E12" s="1048"/>
      <c r="F12" s="1049"/>
      <c r="G12" s="1050"/>
      <c r="H12" s="1046"/>
      <c r="I12" s="457"/>
      <c r="J12" s="374"/>
      <c r="K12" s="374"/>
      <c r="L12" s="374"/>
      <c r="M12" s="374"/>
      <c r="N12" s="374"/>
      <c r="O12" s="374"/>
      <c r="P12" s="374"/>
      <c r="Q12" s="374"/>
      <c r="R12" s="374"/>
    </row>
    <row r="13" spans="1:18" ht="20.5" customHeight="1">
      <c r="A13" s="1040"/>
      <c r="B13" s="464" t="s">
        <v>345</v>
      </c>
      <c r="C13" s="417"/>
      <c r="D13" s="465">
        <f>SUM(D2:D12)</f>
        <v>1622</v>
      </c>
      <c r="E13" s="448"/>
      <c r="F13" s="466"/>
      <c r="G13" s="467">
        <f>G2+G11</f>
        <v>1.0700416011420797</v>
      </c>
      <c r="H13" s="468">
        <f>H2+H11</f>
        <v>3280.6099999999997</v>
      </c>
      <c r="I13" s="457"/>
      <c r="J13" s="374"/>
      <c r="K13" s="374"/>
      <c r="L13" s="374"/>
      <c r="M13" s="374"/>
      <c r="N13" s="374"/>
      <c r="O13" s="374"/>
      <c r="P13" s="374"/>
      <c r="Q13" s="374"/>
      <c r="R13" s="374"/>
    </row>
    <row r="14" spans="1:18" ht="20.5" customHeight="1">
      <c r="A14" s="1040"/>
      <c r="B14" s="1032" t="s">
        <v>358</v>
      </c>
      <c r="C14" s="1033"/>
      <c r="D14" s="1033"/>
      <c r="E14" s="1033"/>
      <c r="F14" s="1033"/>
      <c r="G14" s="1034"/>
      <c r="H14" s="468">
        <f>'Materiais de Higiene '!O19</f>
        <v>512.09087662917329</v>
      </c>
      <c r="I14" s="457"/>
      <c r="J14" s="374"/>
      <c r="K14" s="374"/>
      <c r="L14" s="374"/>
      <c r="M14" s="374"/>
      <c r="N14" s="374"/>
      <c r="O14" s="374"/>
      <c r="P14" s="374"/>
      <c r="Q14" s="374"/>
      <c r="R14" s="374"/>
    </row>
    <row r="15" spans="1:18" ht="25" customHeight="1">
      <c r="A15" s="1040"/>
      <c r="B15" s="1043" t="s">
        <v>363</v>
      </c>
      <c r="C15" s="1044"/>
      <c r="D15" s="1044"/>
      <c r="E15" s="1044"/>
      <c r="F15" s="1045"/>
      <c r="G15" s="469">
        <f>G13</f>
        <v>1.0700416011420797</v>
      </c>
      <c r="H15" s="500">
        <f>H13+H14</f>
        <v>3792.7008766291729</v>
      </c>
      <c r="I15" s="457"/>
      <c r="J15" s="374"/>
      <c r="K15" s="374"/>
      <c r="L15" s="374"/>
      <c r="M15" s="374"/>
      <c r="N15" s="374"/>
      <c r="O15" s="374"/>
      <c r="P15" s="374"/>
      <c r="Q15" s="374"/>
      <c r="R15" s="374"/>
    </row>
    <row r="16" spans="1:18" ht="16" customHeight="1">
      <c r="A16" s="1036"/>
      <c r="B16" s="1036"/>
      <c r="C16" s="1036"/>
      <c r="D16" s="1036"/>
      <c r="E16" s="1036"/>
      <c r="F16" s="1036"/>
      <c r="G16" s="1036"/>
      <c r="H16" s="1036"/>
      <c r="I16" s="457"/>
      <c r="J16" s="374"/>
      <c r="K16" s="374"/>
      <c r="L16" s="374"/>
      <c r="M16" s="374"/>
      <c r="N16" s="374"/>
      <c r="O16" s="374"/>
      <c r="P16" s="374"/>
      <c r="Q16" s="374"/>
      <c r="R16" s="374"/>
    </row>
    <row r="17" spans="1:18" ht="30.5" customHeight="1">
      <c r="A17" s="405" t="s">
        <v>202</v>
      </c>
      <c r="B17" s="452" t="s">
        <v>205</v>
      </c>
      <c r="C17" s="453"/>
      <c r="D17" s="405" t="s">
        <v>303</v>
      </c>
      <c r="E17" s="454" t="s">
        <v>359</v>
      </c>
      <c r="F17" s="455" t="s">
        <v>360</v>
      </c>
      <c r="G17" s="456" t="s">
        <v>361</v>
      </c>
      <c r="H17" s="455" t="s">
        <v>343</v>
      </c>
      <c r="I17" s="457"/>
      <c r="J17" s="374"/>
      <c r="K17" s="374"/>
      <c r="L17" s="374"/>
      <c r="M17" s="374"/>
      <c r="N17" s="374"/>
      <c r="O17" s="374"/>
      <c r="P17" s="374"/>
      <c r="Q17" s="374"/>
      <c r="R17" s="374"/>
    </row>
    <row r="18" spans="1:18" ht="20.5" customHeight="1">
      <c r="A18" s="1040" t="s">
        <v>292</v>
      </c>
      <c r="B18" s="1035" t="s">
        <v>34</v>
      </c>
      <c r="C18" s="408" t="str">
        <f>'Áreas, Produt. e Postos'!A4</f>
        <v>Piso frio</v>
      </c>
      <c r="D18" s="410">
        <f>'Áreas, Produt. e Postos'!U4</f>
        <v>287</v>
      </c>
      <c r="E18" s="1048" t="str">
        <f>E2</f>
        <v>Servente 20h</v>
      </c>
      <c r="F18" s="1049">
        <f>'Servente 20h'!H126</f>
        <v>2969.6221504218274</v>
      </c>
      <c r="G18" s="1050">
        <f>'Áreas, Produt. e Postos'!BC36</f>
        <v>1</v>
      </c>
      <c r="H18" s="1046">
        <f>ROUND(F18*G18,2)</f>
        <v>2969.62</v>
      </c>
      <c r="I18" s="374"/>
      <c r="J18" s="374"/>
      <c r="K18" s="374"/>
      <c r="L18" s="374"/>
      <c r="M18" s="374"/>
      <c r="N18" s="374"/>
      <c r="O18" s="374"/>
      <c r="P18" s="374"/>
      <c r="Q18" s="374"/>
      <c r="R18" s="374"/>
    </row>
    <row r="19" spans="1:18" ht="20.5" customHeight="1">
      <c r="A19" s="1040"/>
      <c r="B19" s="1035"/>
      <c r="C19" s="408" t="str">
        <f>'Áreas, Produt. e Postos'!A9</f>
        <v>Banheiros SEM adicional de insalubridade</v>
      </c>
      <c r="D19" s="410">
        <f>'Áreas, Produt. e Postos'!U9</f>
        <v>19.16</v>
      </c>
      <c r="E19" s="1048"/>
      <c r="F19" s="1049"/>
      <c r="G19" s="1050"/>
      <c r="H19" s="1046"/>
      <c r="I19" s="374"/>
      <c r="J19" s="374"/>
      <c r="K19" s="374"/>
      <c r="L19" s="374"/>
      <c r="M19" s="374"/>
      <c r="N19" s="374"/>
      <c r="O19" s="374"/>
      <c r="P19" s="374"/>
      <c r="Q19" s="374"/>
      <c r="R19" s="374"/>
    </row>
    <row r="20" spans="1:18" ht="3" customHeight="1">
      <c r="A20" s="1040"/>
      <c r="B20" s="492"/>
      <c r="C20" s="408"/>
      <c r="D20" s="410"/>
      <c r="E20" s="1048"/>
      <c r="F20" s="1049"/>
      <c r="G20" s="1050"/>
      <c r="H20" s="1046"/>
      <c r="I20" s="374"/>
      <c r="J20" s="374"/>
      <c r="K20" s="374"/>
      <c r="L20" s="374"/>
      <c r="M20" s="374"/>
      <c r="N20" s="374"/>
      <c r="O20" s="374"/>
      <c r="P20" s="374"/>
      <c r="Q20" s="374"/>
      <c r="R20" s="374"/>
    </row>
    <row r="21" spans="1:18" ht="20.5" customHeight="1">
      <c r="A21" s="1040"/>
      <c r="B21" s="1027" t="s">
        <v>35</v>
      </c>
      <c r="C21" s="408" t="str">
        <f>'Áreas, Produt. e Postos'!A14</f>
        <v>Pisos pavimentados adjacentes/contíguos às edificações</v>
      </c>
      <c r="D21" s="410">
        <f>'Áreas, Produt. e Postos'!U14</f>
        <v>200</v>
      </c>
      <c r="E21" s="1048"/>
      <c r="F21" s="1049"/>
      <c r="G21" s="1050"/>
      <c r="H21" s="1046"/>
      <c r="I21" s="374"/>
      <c r="J21" s="374"/>
      <c r="K21" s="374"/>
      <c r="L21" s="374"/>
      <c r="M21" s="374"/>
      <c r="N21" s="374"/>
      <c r="O21" s="374"/>
      <c r="P21" s="374"/>
      <c r="Q21" s="374"/>
      <c r="R21" s="374"/>
    </row>
    <row r="22" spans="1:18" ht="20.5" customHeight="1">
      <c r="A22" s="1040"/>
      <c r="B22" s="1047"/>
      <c r="C22" s="408" t="str">
        <f>'Áreas, Produt. e Postos'!A15</f>
        <v>Varrição de passeios e arruamentos</v>
      </c>
      <c r="D22" s="410">
        <f>'Áreas, Produt. e Postos'!U15</f>
        <v>19.97</v>
      </c>
      <c r="E22" s="1048"/>
      <c r="F22" s="1049"/>
      <c r="G22" s="1050"/>
      <c r="H22" s="1046"/>
      <c r="I22" s="374"/>
      <c r="J22" s="374"/>
      <c r="K22" s="374"/>
      <c r="L22" s="374"/>
      <c r="M22" s="374"/>
      <c r="N22" s="374"/>
      <c r="O22" s="374"/>
      <c r="P22" s="374"/>
      <c r="Q22" s="374"/>
      <c r="R22" s="374"/>
    </row>
    <row r="23" spans="1:18" ht="3.5" customHeight="1">
      <c r="A23" s="1040"/>
      <c r="B23" s="411"/>
      <c r="C23" s="412"/>
      <c r="D23" s="458" t="str">
        <f>IF($A18=0,0,"pula")</f>
        <v>pula</v>
      </c>
      <c r="E23" s="427"/>
      <c r="F23" s="459"/>
      <c r="G23" s="460"/>
      <c r="H23" s="461" t="str">
        <f>IF($A18=0,0,"pula")</f>
        <v>pula</v>
      </c>
      <c r="I23" s="374"/>
      <c r="J23" s="374"/>
      <c r="K23" s="374"/>
      <c r="L23" s="374"/>
      <c r="M23" s="374"/>
      <c r="N23" s="374"/>
      <c r="O23" s="374"/>
      <c r="P23" s="374"/>
      <c r="Q23" s="374"/>
      <c r="R23" s="374"/>
    </row>
    <row r="24" spans="1:18" ht="20.5" customHeight="1">
      <c r="A24" s="1040"/>
      <c r="B24" s="1035" t="str">
        <f>B11</f>
        <v>ESQUADRIAS</v>
      </c>
      <c r="C24" s="446" t="str">
        <f>'Áreas, Produt. e Postos'!A23</f>
        <v>Face externa SEM exposição a risco (MENSAL)</v>
      </c>
      <c r="D24" s="410">
        <f>'Áreas, Produt. e Postos'!U23</f>
        <v>8.77</v>
      </c>
      <c r="E24" s="1048" t="str">
        <f>E11</f>
        <v>Limpadores de Vidro sem Risco</v>
      </c>
      <c r="F24" s="1049">
        <f>'Limp Vidros'!K125</f>
        <v>5140.0044875246813</v>
      </c>
      <c r="G24" s="1050">
        <f>'Áreas, Produt. e Postos'!BC31</f>
        <v>3.9125149172996067E-3</v>
      </c>
      <c r="H24" s="1046">
        <f>ROUND(F24*G24,2)</f>
        <v>20.11</v>
      </c>
      <c r="I24" s="374"/>
      <c r="J24" s="374"/>
      <c r="K24" s="374"/>
      <c r="L24" s="374"/>
      <c r="M24" s="374"/>
      <c r="N24" s="374"/>
      <c r="O24" s="374"/>
      <c r="P24" s="374"/>
      <c r="Q24" s="374"/>
      <c r="R24" s="374"/>
    </row>
    <row r="25" spans="1:18" ht="20.5" customHeight="1">
      <c r="A25" s="1040"/>
      <c r="B25" s="1035"/>
      <c r="C25" s="446" t="str">
        <f>'Áreas, Produt. e Postos'!A24</f>
        <v>Face interna (MENSAL)</v>
      </c>
      <c r="D25" s="410">
        <f>'Áreas, Produt. e Postos'!U24</f>
        <v>8.77</v>
      </c>
      <c r="E25" s="1048"/>
      <c r="F25" s="1049"/>
      <c r="G25" s="1050"/>
      <c r="H25" s="1046"/>
      <c r="I25" s="374"/>
      <c r="J25" s="374"/>
      <c r="K25" s="374"/>
      <c r="L25" s="374"/>
      <c r="M25" s="374"/>
      <c r="N25" s="374"/>
      <c r="O25" s="374"/>
      <c r="P25" s="374"/>
      <c r="Q25" s="374"/>
      <c r="R25" s="374"/>
    </row>
    <row r="26" spans="1:18" ht="3" customHeight="1">
      <c r="A26" s="1040"/>
      <c r="B26" s="1026"/>
      <c r="C26" s="1036"/>
      <c r="D26" s="1036"/>
      <c r="E26" s="1036"/>
      <c r="F26" s="1036"/>
      <c r="G26" s="1036"/>
      <c r="H26" s="1040"/>
      <c r="I26" s="374"/>
      <c r="J26" s="374"/>
      <c r="K26" s="374"/>
      <c r="L26" s="374"/>
      <c r="M26" s="374"/>
      <c r="N26" s="374"/>
      <c r="O26" s="374"/>
      <c r="P26" s="374"/>
      <c r="Q26" s="374"/>
      <c r="R26" s="374"/>
    </row>
    <row r="27" spans="1:18" ht="20.5" customHeight="1">
      <c r="A27" s="1040"/>
      <c r="B27" s="464" t="s">
        <v>345</v>
      </c>
      <c r="C27" s="417"/>
      <c r="D27" s="465">
        <f>SUM(D18:D25)</f>
        <v>543.66999999999996</v>
      </c>
      <c r="E27" s="448"/>
      <c r="F27" s="466"/>
      <c r="G27" s="467">
        <f>G18+G24</f>
        <v>1.0039125149172996</v>
      </c>
      <c r="H27" s="468">
        <f>H18+H24</f>
        <v>2989.73</v>
      </c>
      <c r="I27" s="374"/>
      <c r="J27" s="374"/>
      <c r="K27" s="374"/>
      <c r="L27" s="374"/>
      <c r="M27" s="374"/>
      <c r="N27" s="374"/>
      <c r="O27" s="374"/>
      <c r="P27" s="374"/>
      <c r="Q27" s="374"/>
      <c r="R27" s="374"/>
    </row>
    <row r="28" spans="1:18" ht="20.5" customHeight="1">
      <c r="A28" s="1040"/>
      <c r="B28" s="1032" t="s">
        <v>358</v>
      </c>
      <c r="C28" s="1033"/>
      <c r="D28" s="1033"/>
      <c r="E28" s="1033"/>
      <c r="F28" s="1033"/>
      <c r="G28" s="1034"/>
      <c r="H28" s="468">
        <f>'Materiais de Higiene '!Q19</f>
        <v>324.4977562376593</v>
      </c>
      <c r="I28" s="374"/>
      <c r="J28" s="374"/>
      <c r="K28" s="374"/>
      <c r="L28" s="374"/>
      <c r="M28" s="374"/>
      <c r="N28" s="374"/>
      <c r="O28" s="374"/>
      <c r="P28" s="374"/>
      <c r="Q28" s="374"/>
      <c r="R28" s="374"/>
    </row>
    <row r="29" spans="1:18" ht="20.5" customHeight="1">
      <c r="A29" s="1040"/>
      <c r="B29" s="1043" t="s">
        <v>363</v>
      </c>
      <c r="C29" s="1044"/>
      <c r="D29" s="1044"/>
      <c r="E29" s="1044"/>
      <c r="F29" s="1045"/>
      <c r="G29" s="469">
        <f>G27</f>
        <v>1.0039125149172996</v>
      </c>
      <c r="H29" s="470">
        <f>H27+H28</f>
        <v>3314.2277562376594</v>
      </c>
      <c r="I29" s="374"/>
      <c r="J29" s="374"/>
      <c r="K29" s="374"/>
      <c r="L29" s="374"/>
      <c r="M29" s="374"/>
      <c r="N29" s="374"/>
      <c r="O29" s="374"/>
      <c r="P29" s="374"/>
      <c r="Q29" s="374"/>
      <c r="R29" s="374"/>
    </row>
    <row r="30" spans="1:18" ht="14.5" customHeight="1">
      <c r="A30" s="1036"/>
      <c r="B30" s="1036"/>
      <c r="C30" s="1036"/>
      <c r="D30" s="1036"/>
      <c r="E30" s="1036"/>
      <c r="F30" s="1036"/>
      <c r="G30" s="1036"/>
      <c r="H30" s="1036"/>
      <c r="I30" s="374"/>
      <c r="J30" s="374"/>
      <c r="K30" s="374"/>
      <c r="L30" s="374"/>
      <c r="M30" s="374"/>
      <c r="N30" s="374"/>
      <c r="O30" s="374"/>
      <c r="P30" s="374"/>
      <c r="Q30" s="374"/>
      <c r="R30" s="374"/>
    </row>
    <row r="31" spans="1:18" ht="25" customHeight="1">
      <c r="A31" s="405" t="s">
        <v>202</v>
      </c>
      <c r="B31" s="452" t="s">
        <v>205</v>
      </c>
      <c r="C31" s="453"/>
      <c r="D31" s="405" t="s">
        <v>303</v>
      </c>
      <c r="E31" s="454" t="s">
        <v>359</v>
      </c>
      <c r="F31" s="455" t="s">
        <v>360</v>
      </c>
      <c r="G31" s="456" t="s">
        <v>361</v>
      </c>
      <c r="H31" s="455" t="s">
        <v>343</v>
      </c>
      <c r="I31" s="374"/>
      <c r="J31" s="374"/>
      <c r="K31" s="374"/>
      <c r="L31" s="374"/>
      <c r="M31" s="374"/>
      <c r="N31" s="374"/>
      <c r="O31" s="374"/>
      <c r="P31" s="374"/>
      <c r="Q31" s="374"/>
      <c r="R31" s="374"/>
    </row>
    <row r="32" spans="1:18" ht="20.5" customHeight="1">
      <c r="A32" s="1058" t="s">
        <v>275</v>
      </c>
      <c r="B32" s="1027" t="s">
        <v>34</v>
      </c>
      <c r="C32" s="408" t="str">
        <f>'Áreas, Produt. e Postos'!A4</f>
        <v>Piso frio</v>
      </c>
      <c r="D32" s="410">
        <f>'Áreas, Produt. e Postos'!Y4</f>
        <v>350</v>
      </c>
      <c r="E32" s="1054" t="str">
        <f>E18</f>
        <v>Servente 20h</v>
      </c>
      <c r="F32" s="1056">
        <f>'Servente 20h'!I126</f>
        <v>3003.9676953618477</v>
      </c>
      <c r="G32" s="1052">
        <f>'Áreas, Produt. e Postos'!BD36</f>
        <v>1</v>
      </c>
      <c r="H32" s="1069">
        <f>F32</f>
        <v>3003.9676953618477</v>
      </c>
      <c r="I32" s="374"/>
      <c r="J32" s="374"/>
      <c r="K32" s="374"/>
      <c r="L32" s="374"/>
      <c r="M32" s="374"/>
      <c r="N32" s="374"/>
      <c r="O32" s="374"/>
      <c r="P32" s="374"/>
      <c r="Q32" s="374"/>
      <c r="R32" s="374"/>
    </row>
    <row r="33" spans="1:18" ht="20.5" customHeight="1">
      <c r="A33" s="1059"/>
      <c r="B33" s="1047"/>
      <c r="C33" s="408" t="str">
        <f>'Áreas, Produt. e Postos'!A9</f>
        <v>Banheiros SEM adicional de insalubridade</v>
      </c>
      <c r="D33" s="410">
        <f>'Áreas, Produt. e Postos'!Y9</f>
        <v>16.239999999999998</v>
      </c>
      <c r="E33" s="1061"/>
      <c r="F33" s="1062"/>
      <c r="G33" s="1063"/>
      <c r="H33" s="1070"/>
      <c r="I33" s="374"/>
      <c r="J33" s="374"/>
      <c r="K33" s="374"/>
      <c r="L33" s="374"/>
      <c r="M33" s="374"/>
      <c r="N33" s="374"/>
      <c r="O33" s="374"/>
      <c r="P33" s="374"/>
      <c r="Q33" s="374"/>
      <c r="R33" s="374"/>
    </row>
    <row r="34" spans="1:18" ht="2.5" customHeight="1">
      <c r="A34" s="1059"/>
      <c r="B34" s="501"/>
      <c r="C34" s="408"/>
      <c r="D34" s="410"/>
      <c r="E34" s="1061"/>
      <c r="F34" s="1062"/>
      <c r="G34" s="1063"/>
      <c r="H34" s="1070"/>
      <c r="I34" s="374"/>
      <c r="J34" s="374"/>
      <c r="K34" s="374"/>
      <c r="L34" s="374"/>
      <c r="M34" s="374"/>
      <c r="N34" s="374"/>
      <c r="O34" s="374"/>
      <c r="P34" s="374"/>
      <c r="Q34" s="374"/>
      <c r="R34" s="374"/>
    </row>
    <row r="35" spans="1:18" ht="20.5" customHeight="1">
      <c r="A35" s="1059"/>
      <c r="B35" s="447" t="s">
        <v>35</v>
      </c>
      <c r="C35" s="408" t="str">
        <f>'Áreas, Produt. e Postos'!A15</f>
        <v>Varrição de passeios e arruamentos</v>
      </c>
      <c r="D35" s="410">
        <f>'Áreas, Produt. e Postos'!Y15</f>
        <v>86.52</v>
      </c>
      <c r="E35" s="1055"/>
      <c r="F35" s="1057"/>
      <c r="G35" s="1053"/>
      <c r="H35" s="1071"/>
      <c r="I35" s="473"/>
      <c r="J35" s="374"/>
      <c r="K35" s="374"/>
      <c r="L35" s="374"/>
      <c r="M35" s="374"/>
      <c r="N35" s="374"/>
      <c r="O35" s="374"/>
      <c r="P35" s="374"/>
      <c r="Q35" s="374"/>
      <c r="R35" s="374"/>
    </row>
    <row r="36" spans="1:18" ht="3" customHeight="1">
      <c r="A36" s="1059"/>
      <c r="B36" s="411"/>
      <c r="C36" s="412"/>
      <c r="D36" s="458" t="str">
        <f>IF($A32=0,0,"pula")</f>
        <v>pula</v>
      </c>
      <c r="E36" s="427"/>
      <c r="F36" s="459"/>
      <c r="G36" s="460"/>
      <c r="H36" s="461" t="str">
        <f>IF($A32=0,0,"pula")</f>
        <v>pula</v>
      </c>
      <c r="I36" s="374"/>
      <c r="J36" s="374"/>
      <c r="K36" s="374"/>
      <c r="L36" s="374"/>
      <c r="M36" s="374"/>
      <c r="N36" s="374"/>
      <c r="O36" s="374"/>
      <c r="P36" s="374"/>
      <c r="Q36" s="374"/>
      <c r="R36" s="374"/>
    </row>
    <row r="37" spans="1:18" ht="20.5" customHeight="1">
      <c r="A37" s="1059"/>
      <c r="B37" s="1027" t="s">
        <v>344</v>
      </c>
      <c r="C37" s="446" t="str">
        <f>'Áreas, Produt. e Postos'!A23</f>
        <v>Face externa SEM exposição a risco (MENSAL)</v>
      </c>
      <c r="D37" s="410">
        <f>'Áreas, Produt. e Postos'!Y23</f>
        <v>34.700000000000003</v>
      </c>
      <c r="E37" s="1054" t="str">
        <f>E24</f>
        <v>Limpadores de Vidro sem Risco</v>
      </c>
      <c r="F37" s="1056">
        <f>'Limp Vidros'!L125</f>
        <v>5185.2887565421397</v>
      </c>
      <c r="G37" s="1052">
        <f>'Áreas, Produt. e Postos'!BD31</f>
        <v>1.5480532226943712E-2</v>
      </c>
      <c r="H37" s="1069">
        <f>ROUND(F37*G37,2)</f>
        <v>80.27</v>
      </c>
      <c r="I37" s="374"/>
      <c r="J37" s="374"/>
      <c r="K37" s="374"/>
      <c r="L37" s="374"/>
      <c r="M37" s="374"/>
      <c r="N37" s="374"/>
      <c r="O37" s="374"/>
      <c r="P37" s="374"/>
      <c r="Q37" s="374"/>
      <c r="R37" s="374"/>
    </row>
    <row r="38" spans="1:18" ht="20.5" customHeight="1">
      <c r="A38" s="1059"/>
      <c r="B38" s="1047"/>
      <c r="C38" s="446" t="str">
        <f>'Áreas, Produt. e Postos'!A24</f>
        <v>Face interna (MENSAL)</v>
      </c>
      <c r="D38" s="410">
        <f>'Áreas, Produt. e Postos'!Y24</f>
        <v>34.700000000000003</v>
      </c>
      <c r="E38" s="1055"/>
      <c r="F38" s="1057"/>
      <c r="G38" s="1053"/>
      <c r="H38" s="1071"/>
      <c r="I38" s="374"/>
      <c r="J38" s="374"/>
      <c r="K38" s="374"/>
      <c r="L38" s="374"/>
      <c r="M38" s="374"/>
      <c r="N38" s="374"/>
      <c r="O38" s="374"/>
      <c r="P38" s="374"/>
      <c r="Q38" s="374"/>
      <c r="R38" s="374"/>
    </row>
    <row r="39" spans="1:18" ht="2.5" customHeight="1">
      <c r="A39" s="1059"/>
      <c r="B39" s="1026"/>
      <c r="C39" s="1036"/>
      <c r="D39" s="1036"/>
      <c r="E39" s="1036"/>
      <c r="F39" s="1036"/>
      <c r="G39" s="1036"/>
      <c r="H39" s="1040"/>
      <c r="I39" s="374"/>
      <c r="J39" s="374"/>
      <c r="K39" s="374"/>
      <c r="L39" s="374"/>
      <c r="M39" s="374"/>
      <c r="N39" s="374"/>
      <c r="O39" s="374"/>
      <c r="P39" s="374"/>
      <c r="Q39" s="374"/>
      <c r="R39" s="374"/>
    </row>
    <row r="40" spans="1:18" ht="20.5" customHeight="1">
      <c r="A40" s="1059"/>
      <c r="B40" s="464" t="s">
        <v>345</v>
      </c>
      <c r="C40" s="417"/>
      <c r="D40" s="465">
        <f>SUM(D32:D38)</f>
        <v>522.16</v>
      </c>
      <c r="E40" s="448"/>
      <c r="F40" s="466"/>
      <c r="G40" s="467">
        <f>SUM(G32:G38)</f>
        <v>1.0154805322269438</v>
      </c>
      <c r="H40" s="468">
        <f>H32+H37</f>
        <v>3084.2376953618477</v>
      </c>
      <c r="I40" s="374"/>
      <c r="J40" s="374"/>
      <c r="K40" s="374"/>
      <c r="L40" s="374"/>
      <c r="M40" s="374"/>
      <c r="N40" s="374"/>
      <c r="O40" s="374"/>
      <c r="P40" s="374"/>
      <c r="Q40" s="374"/>
      <c r="R40" s="374"/>
    </row>
    <row r="41" spans="1:18" ht="20.5" customHeight="1">
      <c r="A41" s="1059"/>
      <c r="B41" s="1032" t="s">
        <v>358</v>
      </c>
      <c r="C41" s="1033"/>
      <c r="D41" s="1033"/>
      <c r="E41" s="1033"/>
      <c r="F41" s="1033"/>
      <c r="G41" s="1034"/>
      <c r="H41" s="468">
        <f>'Materiais de Higiene '!S19</f>
        <v>571.2622270348312</v>
      </c>
      <c r="I41" s="374"/>
      <c r="J41" s="374"/>
      <c r="K41" s="374"/>
      <c r="L41" s="374"/>
      <c r="M41" s="374"/>
      <c r="N41" s="374"/>
      <c r="O41" s="374"/>
      <c r="P41" s="374"/>
      <c r="Q41" s="374"/>
      <c r="R41" s="374"/>
    </row>
    <row r="42" spans="1:18" ht="20.5" customHeight="1">
      <c r="A42" s="1060"/>
      <c r="B42" s="1043" t="s">
        <v>363</v>
      </c>
      <c r="C42" s="1044"/>
      <c r="D42" s="1044"/>
      <c r="E42" s="1044"/>
      <c r="F42" s="1045"/>
      <c r="G42" s="469">
        <f>G40</f>
        <v>1.0154805322269438</v>
      </c>
      <c r="H42" s="470">
        <f>H40+H41</f>
        <v>3655.4999223966788</v>
      </c>
      <c r="I42" s="374"/>
      <c r="J42" s="374"/>
      <c r="K42" s="374"/>
      <c r="L42" s="374"/>
      <c r="M42" s="374"/>
      <c r="N42" s="374"/>
      <c r="O42" s="374"/>
      <c r="P42" s="374"/>
      <c r="Q42" s="374"/>
      <c r="R42" s="374"/>
    </row>
    <row r="43" spans="1:18" ht="12" customHeight="1">
      <c r="A43" s="430"/>
      <c r="B43" s="430"/>
      <c r="C43" s="430"/>
      <c r="D43" s="471" t="str">
        <f>IF($A32=0,0,"pula")</f>
        <v>pula</v>
      </c>
      <c r="E43" s="430"/>
      <c r="F43" s="430"/>
      <c r="G43" s="472"/>
      <c r="H43" s="471" t="str">
        <f>IF($A32=0,0,"pula")</f>
        <v>pula</v>
      </c>
      <c r="I43" s="374"/>
      <c r="J43" s="374"/>
      <c r="K43" s="374"/>
      <c r="L43" s="374"/>
      <c r="M43" s="374"/>
      <c r="N43" s="374"/>
      <c r="O43" s="374"/>
      <c r="P43" s="374"/>
      <c r="Q43" s="374"/>
      <c r="R43" s="374"/>
    </row>
    <row r="44" spans="1:18" ht="26.5" customHeight="1">
      <c r="A44" s="405" t="s">
        <v>202</v>
      </c>
      <c r="B44" s="452" t="s">
        <v>205</v>
      </c>
      <c r="C44" s="453"/>
      <c r="D44" s="405" t="s">
        <v>303</v>
      </c>
      <c r="E44" s="454" t="s">
        <v>359</v>
      </c>
      <c r="F44" s="455" t="s">
        <v>360</v>
      </c>
      <c r="G44" s="456" t="s">
        <v>361</v>
      </c>
      <c r="H44" s="455" t="s">
        <v>343</v>
      </c>
      <c r="I44" s="374"/>
      <c r="J44" s="374"/>
      <c r="K44" s="374"/>
      <c r="L44" s="374"/>
      <c r="M44" s="374"/>
      <c r="N44" s="374"/>
      <c r="O44" s="374"/>
      <c r="P44" s="374"/>
      <c r="Q44" s="374"/>
      <c r="R44" s="374"/>
    </row>
    <row r="45" spans="1:18" ht="20.5" customHeight="1">
      <c r="A45" s="1058" t="s">
        <v>277</v>
      </c>
      <c r="B45" s="1027" t="s">
        <v>34</v>
      </c>
      <c r="C45" s="408" t="str">
        <f>'Áreas, Produt. e Postos'!A4</f>
        <v>Piso frio</v>
      </c>
      <c r="D45" s="410">
        <f>'Áreas, Produt. e Postos'!AG4</f>
        <v>275</v>
      </c>
      <c r="E45" s="1054" t="str">
        <f>E32</f>
        <v>Servente 20h</v>
      </c>
      <c r="F45" s="1056">
        <f>'Servente 20h'!J126</f>
        <v>2785.4141666666669</v>
      </c>
      <c r="G45" s="1052">
        <f>'Áreas, Produt. e Postos'!BF36</f>
        <v>1</v>
      </c>
      <c r="H45" s="1069">
        <f>F45</f>
        <v>2785.4141666666669</v>
      </c>
      <c r="I45" s="374"/>
      <c r="J45" s="374"/>
      <c r="K45" s="374"/>
      <c r="L45" s="374"/>
      <c r="M45" s="374"/>
      <c r="N45" s="374"/>
      <c r="O45" s="374"/>
      <c r="P45" s="374"/>
      <c r="Q45" s="374"/>
      <c r="R45" s="374"/>
    </row>
    <row r="46" spans="1:18" ht="20.5" customHeight="1">
      <c r="A46" s="1059"/>
      <c r="B46" s="1047"/>
      <c r="C46" s="408" t="str">
        <f>'Áreas, Produt. e Postos'!A9</f>
        <v>Banheiros SEM adicional de insalubridade</v>
      </c>
      <c r="D46" s="410">
        <f>'Áreas, Produt. e Postos'!AG9</f>
        <v>20</v>
      </c>
      <c r="E46" s="1061"/>
      <c r="F46" s="1062"/>
      <c r="G46" s="1063"/>
      <c r="H46" s="1070"/>
      <c r="I46" s="374"/>
      <c r="J46" s="374"/>
      <c r="K46" s="374"/>
      <c r="L46" s="374"/>
      <c r="M46" s="374"/>
      <c r="N46" s="374"/>
      <c r="O46" s="374"/>
      <c r="P46" s="374"/>
      <c r="Q46" s="374"/>
      <c r="R46" s="374"/>
    </row>
    <row r="47" spans="1:18" ht="2.5" customHeight="1">
      <c r="A47" s="1059"/>
      <c r="B47" s="501"/>
      <c r="C47" s="408"/>
      <c r="D47" s="410"/>
      <c r="E47" s="1061"/>
      <c r="F47" s="1062"/>
      <c r="G47" s="1063"/>
      <c r="H47" s="1070"/>
      <c r="I47" s="374"/>
      <c r="J47" s="374"/>
      <c r="K47" s="374"/>
      <c r="L47" s="374"/>
      <c r="M47" s="374"/>
      <c r="N47" s="374"/>
      <c r="O47" s="374"/>
      <c r="P47" s="374"/>
      <c r="Q47" s="374"/>
      <c r="R47" s="374"/>
    </row>
    <row r="48" spans="1:18" ht="20.5" customHeight="1">
      <c r="A48" s="1059"/>
      <c r="B48" s="447" t="s">
        <v>35</v>
      </c>
      <c r="C48" s="408" t="str">
        <f>'Áreas, Produt. e Postos'!A15</f>
        <v>Varrição de passeios e arruamentos</v>
      </c>
      <c r="D48" s="410">
        <f>'Áreas, Produt. e Postos'!AG15</f>
        <v>20</v>
      </c>
      <c r="E48" s="1055"/>
      <c r="F48" s="1057"/>
      <c r="G48" s="1053"/>
      <c r="H48" s="1071"/>
      <c r="I48" s="374"/>
      <c r="J48" s="374"/>
      <c r="K48" s="374"/>
      <c r="L48" s="374"/>
      <c r="M48" s="374"/>
      <c r="N48" s="374"/>
      <c r="O48" s="374"/>
      <c r="P48" s="374"/>
      <c r="Q48" s="374"/>
      <c r="R48" s="374"/>
    </row>
    <row r="49" spans="1:18" ht="2.5" customHeight="1">
      <c r="A49" s="1059"/>
      <c r="B49" s="411"/>
      <c r="C49" s="412"/>
      <c r="D49" s="458" t="str">
        <f>IF($A45=0,0,"pula")</f>
        <v>pula</v>
      </c>
      <c r="E49" s="427"/>
      <c r="F49" s="459"/>
      <c r="G49" s="460"/>
      <c r="H49" s="461" t="str">
        <f>IF($A45=0,0,"pula")</f>
        <v>pula</v>
      </c>
      <c r="I49" s="374"/>
      <c r="J49" s="374"/>
      <c r="K49" s="374"/>
      <c r="L49" s="374"/>
      <c r="M49" s="374"/>
      <c r="N49" s="374"/>
      <c r="O49" s="374"/>
      <c r="P49" s="374"/>
      <c r="Q49" s="374"/>
      <c r="R49" s="374"/>
    </row>
    <row r="50" spans="1:18" ht="20.5" customHeight="1">
      <c r="A50" s="1059"/>
      <c r="B50" s="492" t="s">
        <v>344</v>
      </c>
      <c r="C50" s="446" t="str">
        <f>'Áreas, Produt. e Postos'!A23</f>
        <v>Face externa SEM exposição a risco (MENSAL)</v>
      </c>
      <c r="D50" s="410">
        <f>'Áreas, Produt. e Postos'!AG23</f>
        <v>25</v>
      </c>
      <c r="E50" s="493" t="str">
        <f>E37</f>
        <v>Limpadores de Vidro sem Risco</v>
      </c>
      <c r="F50" s="494">
        <f>'Limp Vidros'!N125</f>
        <v>5253.7976646597344</v>
      </c>
      <c r="G50" s="495">
        <f>'Áreas, Produt. e Postos'!BF31</f>
        <v>5.5765606004840457E-3</v>
      </c>
      <c r="H50" s="496">
        <f>ROUND(F50*G50,2)</f>
        <v>29.3</v>
      </c>
      <c r="I50" s="374"/>
      <c r="J50" s="374"/>
      <c r="K50" s="374"/>
      <c r="L50" s="374"/>
      <c r="M50" s="374"/>
      <c r="N50" s="374"/>
      <c r="O50" s="374"/>
      <c r="P50" s="374"/>
      <c r="Q50" s="374"/>
      <c r="R50" s="374"/>
    </row>
    <row r="51" spans="1:18" ht="2.5" customHeight="1">
      <c r="A51" s="1059"/>
      <c r="B51" s="1026"/>
      <c r="C51" s="1036"/>
      <c r="D51" s="1036"/>
      <c r="E51" s="1036"/>
      <c r="F51" s="1036"/>
      <c r="G51" s="1036"/>
      <c r="H51" s="1040"/>
      <c r="I51" s="374"/>
      <c r="J51" s="374"/>
      <c r="K51" s="374"/>
      <c r="L51" s="374"/>
      <c r="M51" s="374"/>
      <c r="N51" s="374"/>
      <c r="O51" s="374"/>
      <c r="P51" s="374"/>
      <c r="Q51" s="374"/>
      <c r="R51" s="374"/>
    </row>
    <row r="52" spans="1:18" ht="20.5" customHeight="1">
      <c r="A52" s="1059"/>
      <c r="B52" s="464" t="s">
        <v>345</v>
      </c>
      <c r="C52" s="417"/>
      <c r="D52" s="465">
        <f>SUM(D45:D50)</f>
        <v>340</v>
      </c>
      <c r="E52" s="448"/>
      <c r="F52" s="466"/>
      <c r="G52" s="467">
        <f>SUM(G45:G50)</f>
        <v>1.0055765606004841</v>
      </c>
      <c r="H52" s="468">
        <f>H45+H50</f>
        <v>2814.7141666666671</v>
      </c>
      <c r="I52" s="374"/>
      <c r="J52" s="374"/>
      <c r="K52" s="374"/>
      <c r="L52" s="374"/>
      <c r="M52" s="374"/>
      <c r="N52" s="374"/>
      <c r="O52" s="374"/>
      <c r="P52" s="374"/>
      <c r="Q52" s="374"/>
      <c r="R52" s="374"/>
    </row>
    <row r="53" spans="1:18" ht="20.5" customHeight="1">
      <c r="A53" s="1059"/>
      <c r="B53" s="1032" t="s">
        <v>358</v>
      </c>
      <c r="C53" s="1033"/>
      <c r="D53" s="1033"/>
      <c r="E53" s="1033"/>
      <c r="F53" s="1033"/>
      <c r="G53" s="1034"/>
      <c r="H53" s="468">
        <f>'Materiais de Higiene '!W19</f>
        <v>1002.2711184090497</v>
      </c>
      <c r="I53" s="374"/>
      <c r="J53" s="374"/>
      <c r="K53" s="374"/>
      <c r="L53" s="374"/>
      <c r="M53" s="374"/>
      <c r="N53" s="374"/>
      <c r="O53" s="374"/>
      <c r="P53" s="374"/>
      <c r="Q53" s="374"/>
      <c r="R53" s="374"/>
    </row>
    <row r="54" spans="1:18" ht="20.5" customHeight="1">
      <c r="A54" s="1060"/>
      <c r="B54" s="1043" t="s">
        <v>363</v>
      </c>
      <c r="C54" s="1044"/>
      <c r="D54" s="1044"/>
      <c r="E54" s="1044"/>
      <c r="F54" s="1045"/>
      <c r="G54" s="469">
        <f>G52</f>
        <v>1.0055765606004841</v>
      </c>
      <c r="H54" s="470">
        <f>H52+H53</f>
        <v>3816.985285075717</v>
      </c>
      <c r="I54" s="374"/>
      <c r="J54" s="374"/>
      <c r="K54" s="374"/>
      <c r="L54" s="374"/>
      <c r="M54" s="374"/>
      <c r="N54" s="374"/>
      <c r="O54" s="374"/>
      <c r="P54" s="374"/>
      <c r="Q54" s="374"/>
      <c r="R54" s="374"/>
    </row>
    <row r="55" spans="1:18" ht="20.5" customHeight="1">
      <c r="A55" s="430"/>
      <c r="B55" s="430"/>
      <c r="C55" s="430"/>
      <c r="D55" s="471"/>
      <c r="E55" s="430"/>
      <c r="F55" s="430"/>
      <c r="G55" s="472"/>
      <c r="H55" s="471"/>
      <c r="I55" s="374"/>
      <c r="J55" s="374"/>
      <c r="K55" s="374"/>
      <c r="L55" s="374"/>
      <c r="M55" s="374"/>
      <c r="N55" s="374"/>
      <c r="O55" s="374"/>
      <c r="P55" s="374"/>
      <c r="Q55" s="374"/>
      <c r="R55" s="374"/>
    </row>
    <row r="56" spans="1:18" ht="25" customHeight="1">
      <c r="A56" s="405" t="s">
        <v>202</v>
      </c>
      <c r="B56" s="452" t="s">
        <v>205</v>
      </c>
      <c r="C56" s="453"/>
      <c r="D56" s="405" t="s">
        <v>303</v>
      </c>
      <c r="E56" s="454" t="s">
        <v>359</v>
      </c>
      <c r="F56" s="455" t="s">
        <v>360</v>
      </c>
      <c r="G56" s="456" t="s">
        <v>361</v>
      </c>
      <c r="H56" s="455" t="s">
        <v>343</v>
      </c>
      <c r="I56" s="374"/>
      <c r="J56" s="374"/>
      <c r="K56" s="374"/>
      <c r="L56" s="374"/>
      <c r="M56" s="374"/>
      <c r="N56" s="374"/>
      <c r="O56" s="374"/>
      <c r="P56" s="374"/>
      <c r="Q56" s="374"/>
      <c r="R56" s="374"/>
    </row>
    <row r="57" spans="1:18" ht="20.5" customHeight="1">
      <c r="A57" s="1058" t="s">
        <v>278</v>
      </c>
      <c r="B57" s="1027" t="s">
        <v>34</v>
      </c>
      <c r="C57" s="408" t="str">
        <f>'Áreas, Produt. e Postos'!A4</f>
        <v>Piso frio</v>
      </c>
      <c r="D57" s="410">
        <f>'Áreas, Produt. e Postos'!AK4</f>
        <v>550</v>
      </c>
      <c r="E57" s="1054" t="str">
        <f>E45</f>
        <v>Servente 20h</v>
      </c>
      <c r="F57" s="1056">
        <f>'Servente 20h'!K126</f>
        <v>3004.9000178539545</v>
      </c>
      <c r="G57" s="1052">
        <f>'Áreas, Produt. e Postos'!BG36</f>
        <v>1</v>
      </c>
      <c r="H57" s="1069">
        <f>F57</f>
        <v>3004.9000178539545</v>
      </c>
      <c r="I57" s="374"/>
      <c r="J57" s="374"/>
      <c r="K57" s="374"/>
      <c r="L57" s="374"/>
      <c r="M57" s="374"/>
      <c r="N57" s="374"/>
      <c r="O57" s="374"/>
      <c r="P57" s="374"/>
      <c r="Q57" s="374"/>
      <c r="R57" s="374"/>
    </row>
    <row r="58" spans="1:18" ht="20.5" customHeight="1">
      <c r="A58" s="1059"/>
      <c r="B58" s="1047"/>
      <c r="C58" s="497" t="str">
        <f>'Áreas, Produt. e Postos'!A9</f>
        <v>Banheiros SEM adicional de insalubridade</v>
      </c>
      <c r="D58" s="410">
        <f>'Áreas, Produt. e Postos'!AK9</f>
        <v>80</v>
      </c>
      <c r="E58" s="1061"/>
      <c r="F58" s="1062"/>
      <c r="G58" s="1063"/>
      <c r="H58" s="1070"/>
      <c r="I58" s="374"/>
      <c r="J58" s="374"/>
      <c r="K58" s="374"/>
      <c r="L58" s="374"/>
      <c r="M58" s="374"/>
      <c r="N58" s="374"/>
      <c r="O58" s="374"/>
      <c r="P58" s="374"/>
      <c r="Q58" s="374"/>
      <c r="R58" s="374"/>
    </row>
    <row r="59" spans="1:18" ht="2.5" customHeight="1">
      <c r="A59" s="1059"/>
      <c r="B59" s="502"/>
      <c r="C59" s="497"/>
      <c r="D59" s="410"/>
      <c r="E59" s="1061"/>
      <c r="F59" s="1062"/>
      <c r="G59" s="1063"/>
      <c r="H59" s="1070"/>
      <c r="I59" s="374"/>
      <c r="J59" s="374"/>
      <c r="K59" s="374"/>
      <c r="L59" s="374"/>
      <c r="M59" s="374"/>
      <c r="N59" s="374"/>
      <c r="O59" s="374"/>
      <c r="P59" s="374"/>
      <c r="Q59" s="374"/>
      <c r="R59" s="374"/>
    </row>
    <row r="60" spans="1:18" ht="20.5" customHeight="1">
      <c r="A60" s="1059"/>
      <c r="B60" s="1027" t="s">
        <v>35</v>
      </c>
      <c r="C60" s="497" t="str">
        <f>'Áreas, Produt. e Postos'!A14</f>
        <v>Pisos pavimentados adjacentes/contíguos às edificações</v>
      </c>
      <c r="D60" s="410">
        <f>'Áreas, Produt. e Postos'!AK14</f>
        <v>100</v>
      </c>
      <c r="E60" s="1061"/>
      <c r="F60" s="1062"/>
      <c r="G60" s="1063"/>
      <c r="H60" s="1070"/>
      <c r="I60" s="374"/>
      <c r="J60" s="374"/>
      <c r="K60" s="374"/>
      <c r="L60" s="374"/>
      <c r="M60" s="374"/>
      <c r="N60" s="374"/>
      <c r="O60" s="374"/>
      <c r="P60" s="374"/>
      <c r="Q60" s="374"/>
      <c r="R60" s="374"/>
    </row>
    <row r="61" spans="1:18" ht="20.5" customHeight="1">
      <c r="A61" s="1059"/>
      <c r="B61" s="1047"/>
      <c r="C61" s="408" t="str">
        <f>'Áreas, Produt. e Postos'!A15</f>
        <v>Varrição de passeios e arruamentos</v>
      </c>
      <c r="D61" s="410">
        <f>'Áreas, Produt. e Postos'!AK15</f>
        <v>100</v>
      </c>
      <c r="E61" s="1055"/>
      <c r="F61" s="1057"/>
      <c r="G61" s="1053"/>
      <c r="H61" s="1071"/>
      <c r="I61" s="374"/>
      <c r="J61" s="374"/>
      <c r="K61" s="374"/>
      <c r="L61" s="374"/>
      <c r="M61" s="374"/>
      <c r="N61" s="374"/>
      <c r="O61" s="374"/>
      <c r="P61" s="374"/>
      <c r="Q61" s="374"/>
      <c r="R61" s="374"/>
    </row>
    <row r="62" spans="1:18" ht="2.5" customHeight="1">
      <c r="A62" s="1059"/>
      <c r="B62" s="411"/>
      <c r="C62" s="412"/>
      <c r="D62" s="458" t="str">
        <f>IF($A57=0,0,"pula")</f>
        <v>pula</v>
      </c>
      <c r="E62" s="427"/>
      <c r="F62" s="459"/>
      <c r="G62" s="460"/>
      <c r="H62" s="461" t="str">
        <f>IF($A57=0,0,"pula")</f>
        <v>pula</v>
      </c>
      <c r="I62" s="374"/>
      <c r="J62" s="374"/>
      <c r="K62" s="374"/>
      <c r="L62" s="374"/>
      <c r="M62" s="374"/>
      <c r="N62" s="374"/>
      <c r="O62" s="374"/>
      <c r="P62" s="374"/>
      <c r="Q62" s="374"/>
      <c r="R62" s="374"/>
    </row>
    <row r="63" spans="1:18" ht="20.5" customHeight="1">
      <c r="A63" s="1059"/>
      <c r="B63" s="1027" t="s">
        <v>344</v>
      </c>
      <c r="C63" s="446" t="str">
        <f>'Áreas, Produt. e Postos'!A23</f>
        <v>Face externa SEM exposição a risco (MENSAL)</v>
      </c>
      <c r="D63" s="410">
        <f>'Áreas, Produt. e Postos'!AK23</f>
        <v>105</v>
      </c>
      <c r="E63" s="1054" t="str">
        <f>E50</f>
        <v>Limpadores de Vidro sem Risco</v>
      </c>
      <c r="F63" s="1056">
        <f>'Limp Vidros'!O125</f>
        <v>5161.386359578647</v>
      </c>
      <c r="G63" s="1052">
        <f>'Áreas, Produt. e Postos'!BG31</f>
        <v>4.6843109044065988E-2</v>
      </c>
      <c r="H63" s="1069">
        <f>ROUND(F63*G63,2)</f>
        <v>241.78</v>
      </c>
      <c r="I63" s="374"/>
      <c r="J63" s="374"/>
      <c r="K63" s="374"/>
      <c r="L63" s="374"/>
      <c r="M63" s="374"/>
      <c r="N63" s="374"/>
      <c r="O63" s="374"/>
      <c r="P63" s="374"/>
      <c r="Q63" s="374"/>
      <c r="R63" s="374"/>
    </row>
    <row r="64" spans="1:18" ht="20.5" customHeight="1">
      <c r="A64" s="1059"/>
      <c r="B64" s="1047"/>
      <c r="C64" s="446" t="str">
        <f>'Áreas, Produt. e Postos'!A24</f>
        <v>Face interna (MENSAL)</v>
      </c>
      <c r="D64" s="410">
        <f>'Áreas, Produt. e Postos'!AK24</f>
        <v>105</v>
      </c>
      <c r="E64" s="1055"/>
      <c r="F64" s="1057"/>
      <c r="G64" s="1053"/>
      <c r="H64" s="1071"/>
      <c r="I64" s="374"/>
      <c r="J64" s="374"/>
      <c r="K64" s="374"/>
      <c r="L64" s="374"/>
      <c r="M64" s="374"/>
      <c r="N64" s="374"/>
      <c r="O64" s="374"/>
      <c r="P64" s="374"/>
      <c r="Q64" s="374"/>
      <c r="R64" s="374"/>
    </row>
    <row r="65" spans="1:18" ht="2.5" customHeight="1">
      <c r="A65" s="1059"/>
      <c r="B65" s="1026"/>
      <c r="C65" s="1036"/>
      <c r="D65" s="1036"/>
      <c r="E65" s="1036"/>
      <c r="F65" s="1036"/>
      <c r="G65" s="1036"/>
      <c r="H65" s="1040"/>
      <c r="I65" s="374"/>
      <c r="J65" s="374"/>
      <c r="K65" s="374"/>
      <c r="L65" s="374"/>
      <c r="M65" s="374"/>
      <c r="N65" s="374"/>
      <c r="O65" s="374"/>
      <c r="P65" s="374"/>
      <c r="Q65" s="374"/>
      <c r="R65" s="374"/>
    </row>
    <row r="66" spans="1:18" ht="20.5" customHeight="1">
      <c r="A66" s="1059"/>
      <c r="B66" s="464" t="s">
        <v>345</v>
      </c>
      <c r="C66" s="417"/>
      <c r="D66" s="465">
        <f>SUM(D57:D64)</f>
        <v>1040</v>
      </c>
      <c r="E66" s="448"/>
      <c r="F66" s="466"/>
      <c r="G66" s="467">
        <f>SUM(G57:G64)</f>
        <v>1.046843109044066</v>
      </c>
      <c r="H66" s="468">
        <f>H57+H63</f>
        <v>3246.6800178539547</v>
      </c>
      <c r="I66" s="374"/>
      <c r="J66" s="374"/>
      <c r="K66" s="374"/>
      <c r="L66" s="374"/>
      <c r="M66" s="374"/>
      <c r="N66" s="374"/>
      <c r="O66" s="374"/>
      <c r="P66" s="374"/>
      <c r="Q66" s="374"/>
      <c r="R66" s="374"/>
    </row>
    <row r="67" spans="1:18" ht="20.5" customHeight="1">
      <c r="A67" s="1059"/>
      <c r="B67" s="1032" t="s">
        <v>358</v>
      </c>
      <c r="C67" s="1033"/>
      <c r="D67" s="1033"/>
      <c r="E67" s="1033"/>
      <c r="F67" s="1033"/>
      <c r="G67" s="1034"/>
      <c r="H67" s="468">
        <f>'Materiais de Higiene '!Y19</f>
        <v>1001.5461524727729</v>
      </c>
      <c r="I67" s="374"/>
      <c r="J67" s="374"/>
      <c r="K67" s="374"/>
      <c r="L67" s="374"/>
      <c r="M67" s="374"/>
      <c r="N67" s="374"/>
      <c r="O67" s="374"/>
      <c r="P67" s="374"/>
      <c r="Q67" s="374"/>
      <c r="R67" s="374"/>
    </row>
    <row r="68" spans="1:18" ht="20.5" customHeight="1">
      <c r="A68" s="1060"/>
      <c r="B68" s="1043" t="s">
        <v>363</v>
      </c>
      <c r="C68" s="1044"/>
      <c r="D68" s="1044"/>
      <c r="E68" s="1044"/>
      <c r="F68" s="1045"/>
      <c r="G68" s="469">
        <f>G66</f>
        <v>1.046843109044066</v>
      </c>
      <c r="H68" s="470">
        <f>H66+H67</f>
        <v>4248.2261703267277</v>
      </c>
      <c r="I68" s="374"/>
      <c r="J68" s="374"/>
      <c r="K68" s="374"/>
      <c r="L68" s="374"/>
      <c r="M68" s="374"/>
      <c r="N68" s="374"/>
      <c r="O68" s="374"/>
      <c r="P68" s="374"/>
      <c r="Q68" s="374"/>
      <c r="R68" s="374"/>
    </row>
    <row r="69" spans="1:18" ht="20.5" customHeight="1">
      <c r="A69" s="430"/>
      <c r="B69" s="430"/>
      <c r="C69" s="430"/>
      <c r="D69" s="471"/>
      <c r="E69" s="430"/>
      <c r="F69" s="430"/>
      <c r="G69" s="472"/>
      <c r="H69" s="471"/>
      <c r="I69" s="374"/>
      <c r="J69" s="374"/>
      <c r="K69" s="374"/>
      <c r="L69" s="374"/>
      <c r="M69" s="374"/>
      <c r="N69" s="374"/>
      <c r="O69" s="374"/>
      <c r="P69" s="374"/>
      <c r="Q69" s="374"/>
      <c r="R69" s="374"/>
    </row>
    <row r="70" spans="1:18" ht="27.5" customHeight="1">
      <c r="A70" s="405" t="s">
        <v>202</v>
      </c>
      <c r="B70" s="452" t="s">
        <v>205</v>
      </c>
      <c r="C70" s="453"/>
      <c r="D70" s="405" t="s">
        <v>303</v>
      </c>
      <c r="E70" s="454" t="s">
        <v>359</v>
      </c>
      <c r="F70" s="455" t="s">
        <v>360</v>
      </c>
      <c r="G70" s="456" t="s">
        <v>361</v>
      </c>
      <c r="H70" s="455" t="s">
        <v>343</v>
      </c>
      <c r="I70" s="374"/>
      <c r="J70" s="374"/>
      <c r="K70" s="374"/>
      <c r="L70" s="374"/>
      <c r="M70" s="374"/>
      <c r="N70" s="374"/>
      <c r="O70" s="374"/>
      <c r="P70" s="374"/>
      <c r="Q70" s="374"/>
      <c r="R70" s="374"/>
    </row>
    <row r="71" spans="1:18" ht="20.5" customHeight="1">
      <c r="A71" s="1058" t="s">
        <v>279</v>
      </c>
      <c r="B71" s="1027" t="s">
        <v>34</v>
      </c>
      <c r="C71" s="408" t="str">
        <f>'Áreas, Produt. e Postos'!A4</f>
        <v>Piso frio</v>
      </c>
      <c r="D71" s="410">
        <f>'Áreas, Produt. e Postos'!AO4</f>
        <v>123</v>
      </c>
      <c r="E71" s="1054" t="str">
        <f>E57</f>
        <v>Servente 20h</v>
      </c>
      <c r="F71" s="1056">
        <f>'Servente 20h'!L126</f>
        <v>2963.0040138660825</v>
      </c>
      <c r="G71" s="1052">
        <f>'Áreas, Produt. e Postos'!BH36</f>
        <v>1</v>
      </c>
      <c r="H71" s="1069">
        <f>F71</f>
        <v>2963.0040138660825</v>
      </c>
      <c r="I71" s="374"/>
      <c r="J71" s="374"/>
      <c r="K71" s="374"/>
      <c r="L71" s="374"/>
      <c r="M71" s="374"/>
      <c r="N71" s="374"/>
      <c r="O71" s="374"/>
      <c r="P71" s="374"/>
      <c r="Q71" s="374"/>
      <c r="R71" s="374"/>
    </row>
    <row r="72" spans="1:18" ht="20.5" customHeight="1">
      <c r="A72" s="1059"/>
      <c r="B72" s="1047"/>
      <c r="C72" s="497" t="str">
        <f>'Áreas, Produt. e Postos'!A9</f>
        <v>Banheiros SEM adicional de insalubridade</v>
      </c>
      <c r="D72" s="410">
        <f>'Áreas, Produt. e Postos'!AO9</f>
        <v>7.5</v>
      </c>
      <c r="E72" s="1061"/>
      <c r="F72" s="1062"/>
      <c r="G72" s="1063"/>
      <c r="H72" s="1070"/>
      <c r="I72" s="374"/>
      <c r="J72" s="374"/>
      <c r="K72" s="374"/>
      <c r="L72" s="374"/>
      <c r="M72" s="374"/>
      <c r="N72" s="374"/>
      <c r="O72" s="374"/>
      <c r="P72" s="374"/>
      <c r="Q72" s="374"/>
      <c r="R72" s="374"/>
    </row>
    <row r="73" spans="1:18" ht="2.5" customHeight="1">
      <c r="A73" s="1059"/>
      <c r="B73" s="502"/>
      <c r="C73" s="497"/>
      <c r="D73" s="410"/>
      <c r="E73" s="1061"/>
      <c r="F73" s="1062"/>
      <c r="G73" s="1063"/>
      <c r="H73" s="1070"/>
      <c r="I73" s="374"/>
      <c r="J73" s="374"/>
      <c r="K73" s="374"/>
      <c r="L73" s="374"/>
      <c r="M73" s="374"/>
      <c r="N73" s="374"/>
      <c r="O73" s="374"/>
      <c r="P73" s="374"/>
      <c r="Q73" s="374"/>
      <c r="R73" s="374"/>
    </row>
    <row r="74" spans="1:18" ht="20.5" customHeight="1">
      <c r="A74" s="1059"/>
      <c r="B74" s="1027" t="s">
        <v>35</v>
      </c>
      <c r="C74" s="497" t="str">
        <f>'Áreas, Produt. e Postos'!A14</f>
        <v>Pisos pavimentados adjacentes/contíguos às edificações</v>
      </c>
      <c r="D74" s="410">
        <f>'Áreas, Produt. e Postos'!AO14</f>
        <v>101</v>
      </c>
      <c r="E74" s="1061"/>
      <c r="F74" s="1062"/>
      <c r="G74" s="1063"/>
      <c r="H74" s="1070"/>
      <c r="I74" s="374"/>
      <c r="J74" s="374"/>
      <c r="K74" s="374"/>
      <c r="L74" s="374"/>
      <c r="M74" s="374"/>
      <c r="N74" s="374"/>
      <c r="O74" s="374"/>
      <c r="P74" s="374"/>
      <c r="Q74" s="374"/>
      <c r="R74" s="374"/>
    </row>
    <row r="75" spans="1:18" ht="20.5" customHeight="1">
      <c r="A75" s="1059"/>
      <c r="B75" s="1047"/>
      <c r="C75" s="497" t="str">
        <f>'Áreas, Produt. e Postos'!A15</f>
        <v>Varrição de passeios e arruamentos</v>
      </c>
      <c r="D75" s="410">
        <f>'Áreas, Produt. e Postos'!AO15</f>
        <v>33</v>
      </c>
      <c r="E75" s="1055"/>
      <c r="F75" s="1057"/>
      <c r="G75" s="1053"/>
      <c r="H75" s="1071"/>
      <c r="I75" s="374"/>
      <c r="J75" s="374"/>
      <c r="K75" s="374"/>
      <c r="L75" s="374"/>
      <c r="M75" s="374"/>
      <c r="N75" s="374"/>
      <c r="O75" s="374"/>
      <c r="P75" s="374"/>
      <c r="Q75" s="374"/>
      <c r="R75" s="374"/>
    </row>
    <row r="76" spans="1:18" ht="2.5" customHeight="1">
      <c r="A76" s="1059"/>
      <c r="B76" s="411"/>
      <c r="C76" s="412"/>
      <c r="D76" s="458" t="str">
        <f>IF($A71=0,0,"pula")</f>
        <v>pula</v>
      </c>
      <c r="E76" s="427"/>
      <c r="F76" s="459"/>
      <c r="G76" s="460"/>
      <c r="H76" s="461" t="str">
        <f>IF($A71=0,0,"pula")</f>
        <v>pula</v>
      </c>
      <c r="I76" s="374"/>
      <c r="J76" s="374"/>
      <c r="K76" s="374"/>
      <c r="L76" s="374"/>
      <c r="M76" s="374"/>
      <c r="N76" s="374"/>
      <c r="O76" s="374"/>
      <c r="P76" s="374"/>
      <c r="Q76" s="374"/>
      <c r="R76" s="374"/>
    </row>
    <row r="77" spans="1:18" ht="20.5" customHeight="1">
      <c r="A77" s="1059"/>
      <c r="B77" s="1027" t="s">
        <v>344</v>
      </c>
      <c r="C77" s="446" t="str">
        <f>'Áreas, Produt. e Postos'!A23</f>
        <v>Face externa SEM exposição a risco (MENSAL)</v>
      </c>
      <c r="D77" s="410">
        <f>'Áreas, Produt. e Postos'!AO23</f>
        <v>25</v>
      </c>
      <c r="E77" s="1054" t="str">
        <f>E63</f>
        <v>Limpadores de Vidro sem Risco</v>
      </c>
      <c r="F77" s="1056">
        <f>'Limp Vidros'!P125</f>
        <v>5171.5097609925197</v>
      </c>
      <c r="G77" s="1052">
        <f>'Áreas, Produt. e Postos'!BH31</f>
        <v>1.2045370897045538E-2</v>
      </c>
      <c r="H77" s="1069">
        <f>ROUND(F77*G77,2)</f>
        <v>62.29</v>
      </c>
      <c r="I77" s="374"/>
      <c r="J77" s="374"/>
      <c r="K77" s="374"/>
      <c r="L77" s="374"/>
      <c r="M77" s="374"/>
      <c r="N77" s="374"/>
      <c r="O77" s="374"/>
      <c r="P77" s="374"/>
      <c r="Q77" s="374"/>
      <c r="R77" s="374"/>
    </row>
    <row r="78" spans="1:18" ht="20.5" customHeight="1">
      <c r="A78" s="1059"/>
      <c r="B78" s="1047"/>
      <c r="C78" s="499" t="str">
        <f>'Áreas, Produt. e Postos'!A24</f>
        <v>Face interna (MENSAL)</v>
      </c>
      <c r="D78" s="410">
        <f>'Áreas, Produt. e Postos'!AO24</f>
        <v>29</v>
      </c>
      <c r="E78" s="1055"/>
      <c r="F78" s="1057"/>
      <c r="G78" s="1053"/>
      <c r="H78" s="1071"/>
      <c r="I78" s="374"/>
      <c r="J78" s="374"/>
      <c r="K78" s="374"/>
      <c r="L78" s="374"/>
      <c r="M78" s="374"/>
      <c r="N78" s="374"/>
      <c r="O78" s="374"/>
      <c r="P78" s="374"/>
      <c r="Q78" s="374"/>
      <c r="R78" s="374"/>
    </row>
    <row r="79" spans="1:18" ht="3" customHeight="1">
      <c r="A79" s="1059"/>
      <c r="B79" s="1026"/>
      <c r="C79" s="1036"/>
      <c r="D79" s="1036"/>
      <c r="E79" s="1036"/>
      <c r="F79" s="1036"/>
      <c r="G79" s="1036"/>
      <c r="H79" s="1040"/>
      <c r="I79" s="374"/>
      <c r="J79" s="374"/>
      <c r="K79" s="374"/>
      <c r="L79" s="374"/>
      <c r="M79" s="374"/>
      <c r="N79" s="374"/>
      <c r="O79" s="374"/>
      <c r="P79" s="374"/>
      <c r="Q79" s="374"/>
      <c r="R79" s="374"/>
    </row>
    <row r="80" spans="1:18" ht="20.5" customHeight="1">
      <c r="A80" s="1059"/>
      <c r="B80" s="464" t="s">
        <v>345</v>
      </c>
      <c r="C80" s="417"/>
      <c r="D80" s="465">
        <f>SUM(D71:D78)</f>
        <v>318.5</v>
      </c>
      <c r="E80" s="448"/>
      <c r="F80" s="466"/>
      <c r="G80" s="467">
        <f>SUM(G71:G78)</f>
        <v>1.0120453708970456</v>
      </c>
      <c r="H80" s="468">
        <f>H71+H77</f>
        <v>3025.2940138660824</v>
      </c>
      <c r="I80" s="374"/>
      <c r="J80" s="374"/>
      <c r="K80" s="374"/>
      <c r="L80" s="374"/>
      <c r="M80" s="374"/>
      <c r="N80" s="374"/>
      <c r="O80" s="374"/>
      <c r="P80" s="374"/>
      <c r="Q80" s="374"/>
      <c r="R80" s="374"/>
    </row>
    <row r="81" spans="1:18" ht="20" customHeight="1">
      <c r="A81" s="1059"/>
      <c r="B81" s="1032" t="s">
        <v>358</v>
      </c>
      <c r="C81" s="1033"/>
      <c r="D81" s="1033"/>
      <c r="E81" s="1033"/>
      <c r="F81" s="1033"/>
      <c r="G81" s="1034"/>
      <c r="H81" s="468">
        <f>'Materiais de Higiene '!AA19</f>
        <v>885.14176245210717</v>
      </c>
      <c r="I81" s="374"/>
      <c r="J81" s="374"/>
      <c r="K81" s="374"/>
      <c r="L81" s="374"/>
      <c r="M81" s="374"/>
      <c r="N81" s="374"/>
      <c r="O81" s="374"/>
      <c r="P81" s="374"/>
      <c r="Q81" s="374"/>
      <c r="R81" s="374"/>
    </row>
    <row r="82" spans="1:18" ht="20" customHeight="1">
      <c r="A82" s="1072"/>
      <c r="B82" s="1064" t="s">
        <v>363</v>
      </c>
      <c r="C82" s="1065"/>
      <c r="D82" s="1065"/>
      <c r="E82" s="1065"/>
      <c r="F82" s="1066"/>
      <c r="G82" s="507">
        <f>G80</f>
        <v>1.0120453708970456</v>
      </c>
      <c r="H82" s="508">
        <f>H80+H81</f>
        <v>3910.4357763181897</v>
      </c>
      <c r="I82" s="457"/>
      <c r="J82" s="374"/>
      <c r="K82" s="374"/>
      <c r="L82" s="374"/>
      <c r="M82" s="374"/>
      <c r="N82" s="374"/>
      <c r="O82" s="374"/>
      <c r="P82" s="374"/>
      <c r="Q82" s="374"/>
      <c r="R82" s="374"/>
    </row>
    <row r="83" spans="1:18" ht="20" customHeight="1">
      <c r="A83" s="1041"/>
      <c r="B83" s="1041"/>
      <c r="C83" s="1041"/>
      <c r="D83" s="1041"/>
      <c r="E83" s="1041"/>
      <c r="F83" s="1041"/>
      <c r="G83" s="1041"/>
      <c r="H83" s="1041"/>
      <c r="I83" s="457"/>
      <c r="J83" s="374"/>
      <c r="K83" s="374"/>
      <c r="L83" s="374"/>
      <c r="M83" s="374"/>
      <c r="N83" s="374"/>
      <c r="O83" s="374"/>
      <c r="P83" s="374"/>
      <c r="Q83" s="374"/>
      <c r="R83" s="374"/>
    </row>
    <row r="84" spans="1:18" ht="20" customHeight="1">
      <c r="A84" s="1042"/>
      <c r="B84" s="1042"/>
      <c r="C84" s="1042"/>
      <c r="D84" s="1042"/>
      <c r="E84" s="1042"/>
      <c r="F84" s="1042"/>
      <c r="G84" s="1042"/>
      <c r="H84" s="1042"/>
      <c r="I84" s="457"/>
      <c r="J84" s="374"/>
      <c r="K84" s="374"/>
      <c r="L84" s="374"/>
      <c r="M84" s="374"/>
      <c r="N84" s="374"/>
      <c r="O84" s="374"/>
      <c r="P84" s="374"/>
      <c r="Q84" s="374"/>
      <c r="R84" s="374"/>
    </row>
    <row r="85" spans="1:18" ht="20" customHeight="1">
      <c r="A85" s="503"/>
      <c r="B85" s="504"/>
      <c r="C85" s="505"/>
      <c r="D85" s="450" t="s">
        <v>364</v>
      </c>
      <c r="E85" s="504"/>
      <c r="F85" s="506"/>
      <c r="G85" s="1067" t="s">
        <v>365</v>
      </c>
      <c r="H85" s="1067"/>
      <c r="I85" s="457"/>
      <c r="J85" s="374"/>
      <c r="K85" s="374"/>
      <c r="L85" s="374"/>
      <c r="M85" s="374"/>
      <c r="N85" s="374"/>
      <c r="O85" s="374"/>
      <c r="P85" s="374"/>
      <c r="Q85" s="374"/>
      <c r="R85" s="374"/>
    </row>
    <row r="86" spans="1:18" ht="25.5" customHeight="1">
      <c r="A86" s="1036" t="s">
        <v>351</v>
      </c>
      <c r="B86" s="1036"/>
      <c r="C86" s="1036"/>
      <c r="D86" s="474">
        <f>D13+D27+D40+D52+D66+D80</f>
        <v>4386.33</v>
      </c>
      <c r="E86" s="1068" t="s">
        <v>366</v>
      </c>
      <c r="F86" s="1068"/>
      <c r="G86" s="1068"/>
      <c r="H86" s="470">
        <f>H13+H27+H40+H52+H66+H80</f>
        <v>18441.26589374855</v>
      </c>
      <c r="I86" s="457"/>
      <c r="J86" s="374"/>
      <c r="K86" s="374"/>
      <c r="L86" s="374"/>
      <c r="M86" s="374"/>
      <c r="N86" s="374"/>
      <c r="O86" s="374"/>
      <c r="P86" s="374"/>
      <c r="Q86" s="374"/>
      <c r="R86" s="374"/>
    </row>
    <row r="87" spans="1:18" ht="25.5" customHeight="1">
      <c r="A87" s="1036"/>
      <c r="B87" s="1036"/>
      <c r="C87" s="1036"/>
      <c r="D87" s="475" t="str">
        <f>IF(H87=0,0,"pula")</f>
        <v>pula</v>
      </c>
      <c r="E87" s="1068" t="str">
        <f>IF([1]Preparação!$B$34=5,"Valor Mensal do Material Limpeza e do Material de Higiene para Localidades contratadas por Postos: ","Valor Mensal do Material de Higiene para Localidades contratadas por Postos: ")</f>
        <v xml:space="preserve">Valor Mensal do Material de Higiene para Localidades contratadas por Postos: </v>
      </c>
      <c r="F87" s="1068"/>
      <c r="G87" s="1068"/>
      <c r="H87" s="470">
        <f>H14+H28+H41+H53+H67+H81</f>
        <v>4296.8098932355933</v>
      </c>
      <c r="I87" s="476"/>
      <c r="J87" s="374"/>
      <c r="K87" s="374"/>
      <c r="L87" s="374"/>
      <c r="M87" s="374"/>
      <c r="N87" s="374"/>
      <c r="O87" s="374"/>
      <c r="P87" s="374"/>
      <c r="Q87" s="374"/>
      <c r="R87" s="374"/>
    </row>
    <row r="88" spans="1:18" ht="25.5" customHeight="1">
      <c r="A88" s="1036"/>
      <c r="B88" s="1036"/>
      <c r="C88" s="1036"/>
      <c r="D88" s="477" t="s">
        <v>350</v>
      </c>
      <c r="E88" s="1068" t="s">
        <v>367</v>
      </c>
      <c r="F88" s="1068"/>
      <c r="G88" s="1068"/>
      <c r="H88" s="470">
        <f>H86+H87</f>
        <v>22738.075786984144</v>
      </c>
      <c r="I88" s="457"/>
      <c r="J88" s="374"/>
      <c r="K88" s="374"/>
      <c r="L88" s="374"/>
      <c r="M88" s="374"/>
      <c r="N88" s="374"/>
      <c r="O88" s="374"/>
      <c r="P88" s="374"/>
      <c r="Q88" s="374"/>
      <c r="R88" s="374"/>
    </row>
    <row r="89" spans="1:18" ht="38.25" customHeight="1">
      <c r="A89" s="1051" t="s">
        <v>368</v>
      </c>
      <c r="B89" s="1051"/>
      <c r="C89" s="1051"/>
      <c r="D89" s="1051"/>
      <c r="E89" s="1051"/>
      <c r="F89" s="435">
        <v>12</v>
      </c>
      <c r="G89" s="478" t="s">
        <v>355</v>
      </c>
      <c r="H89" s="479">
        <f>H88*F89</f>
        <v>272856.90944380971</v>
      </c>
      <c r="I89" s="457"/>
      <c r="J89" s="374"/>
      <c r="K89" s="374"/>
      <c r="L89" s="374"/>
      <c r="M89" s="374"/>
      <c r="N89" s="374"/>
      <c r="O89" s="374"/>
      <c r="P89" s="374"/>
      <c r="Q89" s="374"/>
      <c r="R89" s="374"/>
    </row>
    <row r="90" spans="1:18" s="484" customFormat="1" ht="25.5" customHeight="1">
      <c r="A90" s="438"/>
      <c r="B90" s="438"/>
      <c r="C90" s="438"/>
      <c r="D90" s="480"/>
      <c r="E90" s="438"/>
      <c r="F90" s="481"/>
      <c r="G90" s="482"/>
      <c r="H90" s="483"/>
      <c r="I90" s="480"/>
      <c r="J90" s="374"/>
      <c r="K90" s="374"/>
      <c r="L90" s="374"/>
      <c r="M90" s="374"/>
      <c r="N90" s="374"/>
      <c r="O90" s="374"/>
      <c r="P90" s="374"/>
      <c r="Q90" s="374"/>
      <c r="R90" s="374"/>
    </row>
    <row r="91" spans="1:18" ht="25.5" customHeight="1">
      <c r="A91" s="485"/>
      <c r="B91" s="485"/>
      <c r="C91" s="441"/>
      <c r="D91" s="486"/>
      <c r="E91" s="441"/>
      <c r="F91" s="487"/>
      <c r="G91" s="488"/>
      <c r="H91" s="483"/>
      <c r="I91" s="457"/>
      <c r="J91" s="374"/>
      <c r="K91" s="374"/>
      <c r="L91" s="374"/>
      <c r="M91" s="374"/>
      <c r="N91" s="374"/>
      <c r="O91" s="374"/>
      <c r="P91" s="374"/>
      <c r="Q91" s="374"/>
      <c r="R91" s="374"/>
    </row>
    <row r="92" spans="1:18" ht="25.5" customHeight="1">
      <c r="A92" s="485"/>
      <c r="B92" s="485"/>
      <c r="C92" s="441"/>
      <c r="D92" s="486"/>
      <c r="E92" s="441"/>
      <c r="F92" s="487"/>
      <c r="G92" s="488"/>
      <c r="H92" s="483"/>
      <c r="I92" s="457"/>
      <c r="J92" s="374"/>
      <c r="K92" s="374"/>
      <c r="L92" s="374"/>
      <c r="M92" s="374"/>
      <c r="N92" s="374"/>
      <c r="O92" s="374"/>
      <c r="P92" s="374"/>
      <c r="Q92" s="374"/>
      <c r="R92" s="374"/>
    </row>
    <row r="93" spans="1:18" ht="25.5" customHeight="1">
      <c r="A93" s="485"/>
      <c r="B93" s="485"/>
      <c r="C93" s="441"/>
      <c r="D93" s="486"/>
      <c r="E93" s="441"/>
      <c r="F93" s="487"/>
      <c r="G93" s="488"/>
      <c r="H93" s="483"/>
      <c r="I93" s="457"/>
      <c r="J93" s="374"/>
      <c r="K93" s="374"/>
      <c r="L93" s="374"/>
      <c r="M93" s="374"/>
      <c r="N93" s="374"/>
      <c r="O93" s="374"/>
      <c r="P93" s="374"/>
      <c r="Q93" s="374"/>
      <c r="R93" s="374"/>
    </row>
    <row r="94" spans="1:18" ht="25.5" customHeight="1">
      <c r="A94" s="485"/>
      <c r="B94" s="485"/>
      <c r="C94" s="441" t="s">
        <v>357</v>
      </c>
      <c r="D94" s="486"/>
      <c r="E94" s="441"/>
      <c r="F94" s="487"/>
      <c r="G94" s="488"/>
      <c r="H94" s="483"/>
      <c r="I94" s="457"/>
      <c r="J94" s="374"/>
      <c r="K94" s="374"/>
      <c r="L94" s="374"/>
      <c r="M94" s="374"/>
      <c r="N94" s="374"/>
      <c r="O94" s="374"/>
      <c r="P94" s="374"/>
      <c r="Q94" s="374"/>
      <c r="R94" s="374"/>
    </row>
    <row r="95" spans="1:18" ht="25.5" customHeight="1">
      <c r="A95" s="407"/>
      <c r="B95" s="407"/>
      <c r="C95" s="438"/>
      <c r="D95" s="457"/>
      <c r="E95" s="438"/>
      <c r="F95" s="481"/>
      <c r="G95" s="482"/>
      <c r="H95" s="483"/>
      <c r="I95" s="457"/>
      <c r="J95" s="374"/>
      <c r="K95" s="374"/>
      <c r="L95" s="374"/>
      <c r="M95" s="374"/>
      <c r="N95" s="374"/>
      <c r="O95" s="374"/>
      <c r="P95" s="374"/>
      <c r="Q95" s="374"/>
      <c r="R95" s="374"/>
    </row>
    <row r="96" spans="1:18" ht="25.5" customHeight="1">
      <c r="A96" s="407"/>
      <c r="B96" s="407"/>
      <c r="C96" s="438"/>
      <c r="D96" s="457"/>
      <c r="E96" s="438"/>
      <c r="F96" s="481"/>
      <c r="G96" s="482"/>
      <c r="H96" s="483"/>
      <c r="I96" s="457"/>
      <c r="J96" s="374"/>
      <c r="K96" s="374"/>
      <c r="L96" s="374"/>
      <c r="M96" s="374"/>
      <c r="N96" s="374"/>
      <c r="O96" s="374"/>
      <c r="P96" s="374"/>
      <c r="Q96" s="374"/>
      <c r="R96" s="374"/>
    </row>
    <row r="97" spans="1:18" ht="25.5" customHeight="1">
      <c r="A97" s="407"/>
      <c r="B97" s="407"/>
      <c r="C97" s="438"/>
      <c r="D97" s="457"/>
      <c r="E97" s="438"/>
      <c r="F97" s="481"/>
      <c r="G97" s="482"/>
      <c r="H97" s="483"/>
      <c r="I97" s="457"/>
      <c r="J97" s="374"/>
      <c r="K97" s="374"/>
      <c r="L97" s="374"/>
      <c r="M97" s="374"/>
      <c r="N97" s="374"/>
      <c r="O97" s="374"/>
      <c r="P97" s="374"/>
      <c r="Q97" s="374"/>
      <c r="R97" s="374"/>
    </row>
    <row r="98" spans="1:18" ht="25.5" customHeight="1">
      <c r="A98" s="407"/>
      <c r="B98" s="407"/>
      <c r="C98" s="438"/>
      <c r="D98" s="457"/>
      <c r="E98" s="438"/>
      <c r="F98" s="481"/>
      <c r="G98" s="482"/>
      <c r="H98" s="483"/>
      <c r="I98" s="457"/>
      <c r="J98" s="374"/>
      <c r="K98" s="374"/>
      <c r="L98" s="374"/>
      <c r="M98" s="374"/>
      <c r="N98" s="374"/>
      <c r="O98" s="374"/>
      <c r="P98" s="374"/>
      <c r="Q98" s="374"/>
      <c r="R98" s="374"/>
    </row>
    <row r="99" spans="1:18" ht="25.5" customHeight="1">
      <c r="A99" s="407"/>
      <c r="B99" s="407"/>
      <c r="C99" s="438"/>
      <c r="D99" s="457"/>
      <c r="E99" s="438"/>
      <c r="F99" s="481"/>
      <c r="G99" s="482"/>
      <c r="H99" s="483"/>
      <c r="I99" s="457"/>
      <c r="J99" s="374"/>
      <c r="K99" s="374"/>
      <c r="L99" s="374"/>
      <c r="M99" s="374"/>
      <c r="N99" s="374"/>
      <c r="O99" s="374"/>
      <c r="P99" s="374"/>
      <c r="Q99" s="374"/>
      <c r="R99" s="374"/>
    </row>
    <row r="100" spans="1:18" ht="25.5" customHeight="1">
      <c r="A100" s="407"/>
      <c r="B100" s="407"/>
      <c r="C100" s="438"/>
      <c r="D100" s="457"/>
      <c r="E100" s="438"/>
      <c r="F100" s="481"/>
      <c r="G100" s="482"/>
      <c r="H100" s="483"/>
      <c r="I100" s="457"/>
      <c r="J100" s="374"/>
      <c r="K100" s="374"/>
      <c r="L100" s="374"/>
      <c r="M100" s="374"/>
      <c r="N100" s="374"/>
      <c r="O100" s="374"/>
      <c r="P100" s="374"/>
      <c r="Q100" s="374"/>
      <c r="R100" s="374"/>
    </row>
    <row r="101" spans="1:18" ht="25.5" customHeight="1">
      <c r="A101" s="407"/>
      <c r="B101" s="407"/>
      <c r="C101" s="438"/>
      <c r="D101" s="457"/>
      <c r="E101" s="438"/>
      <c r="F101" s="481"/>
      <c r="G101" s="482"/>
      <c r="H101" s="483"/>
      <c r="I101" s="457"/>
      <c r="J101" s="374"/>
      <c r="K101" s="374"/>
      <c r="L101" s="374"/>
      <c r="M101" s="374"/>
      <c r="N101" s="374"/>
      <c r="O101" s="374"/>
      <c r="P101" s="374"/>
      <c r="Q101" s="374"/>
      <c r="R101" s="374"/>
    </row>
    <row r="102" spans="1:18" ht="25.5" customHeight="1">
      <c r="A102" s="407"/>
      <c r="B102" s="407"/>
      <c r="C102" s="438"/>
      <c r="D102" s="457"/>
      <c r="E102" s="438"/>
      <c r="F102" s="481"/>
      <c r="G102" s="482"/>
      <c r="H102" s="483"/>
      <c r="I102" s="457"/>
      <c r="J102" s="374"/>
      <c r="K102" s="374"/>
      <c r="L102" s="374"/>
      <c r="M102" s="374"/>
      <c r="N102" s="374"/>
      <c r="O102" s="374"/>
      <c r="P102" s="374"/>
      <c r="Q102" s="374"/>
      <c r="R102" s="374"/>
    </row>
    <row r="103" spans="1:18" ht="25.5" customHeight="1">
      <c r="A103" s="407"/>
      <c r="B103" s="407"/>
      <c r="C103" s="438"/>
      <c r="D103" s="457"/>
      <c r="E103" s="438"/>
      <c r="F103" s="481"/>
      <c r="G103" s="482"/>
      <c r="H103" s="483"/>
      <c r="I103" s="457"/>
      <c r="J103" s="374"/>
      <c r="K103" s="374"/>
      <c r="L103" s="374"/>
      <c r="M103" s="374"/>
      <c r="N103" s="374"/>
      <c r="O103" s="374"/>
      <c r="P103" s="374"/>
      <c r="Q103" s="374"/>
      <c r="R103" s="374"/>
    </row>
    <row r="104" spans="1:18" ht="25.5" customHeight="1">
      <c r="A104" s="407"/>
      <c r="B104" s="407"/>
      <c r="C104" s="438"/>
      <c r="D104" s="457"/>
      <c r="E104" s="438"/>
      <c r="F104" s="481"/>
      <c r="G104" s="482"/>
      <c r="H104" s="483"/>
      <c r="I104" s="457"/>
      <c r="J104" s="374"/>
      <c r="K104" s="374"/>
      <c r="L104" s="374"/>
      <c r="M104" s="374"/>
      <c r="N104" s="374"/>
      <c r="O104" s="374"/>
      <c r="P104" s="374"/>
      <c r="Q104" s="374"/>
      <c r="R104" s="374"/>
    </row>
    <row r="105" spans="1:18" ht="25.5" customHeight="1">
      <c r="A105" s="407"/>
      <c r="B105" s="407"/>
      <c r="C105" s="438"/>
      <c r="D105" s="457"/>
      <c r="E105" s="438"/>
      <c r="F105" s="481"/>
      <c r="G105" s="482"/>
      <c r="H105" s="483"/>
      <c r="I105" s="457"/>
      <c r="J105" s="374"/>
      <c r="K105" s="374"/>
      <c r="L105" s="374"/>
      <c r="M105" s="374"/>
      <c r="N105" s="374"/>
      <c r="O105" s="374"/>
      <c r="P105" s="374"/>
      <c r="Q105" s="374"/>
      <c r="R105" s="374"/>
    </row>
    <row r="106" spans="1:18" ht="25.5" customHeight="1">
      <c r="A106" s="407"/>
      <c r="B106" s="407"/>
      <c r="C106" s="438"/>
      <c r="D106" s="457"/>
      <c r="E106" s="438"/>
      <c r="F106" s="481"/>
      <c r="G106" s="482"/>
      <c r="H106" s="483"/>
      <c r="I106" s="457"/>
      <c r="J106" s="374"/>
      <c r="K106" s="374"/>
      <c r="L106" s="374"/>
      <c r="M106" s="374"/>
      <c r="N106" s="374"/>
      <c r="O106" s="374"/>
      <c r="P106" s="374"/>
      <c r="Q106" s="374"/>
      <c r="R106" s="374"/>
    </row>
    <row r="107" spans="1:18" ht="25.5" customHeight="1">
      <c r="A107" s="407"/>
      <c r="B107" s="407"/>
      <c r="C107" s="438"/>
      <c r="D107" s="457"/>
      <c r="E107" s="438"/>
      <c r="F107" s="481"/>
      <c r="G107" s="482"/>
      <c r="H107" s="483"/>
      <c r="I107" s="457"/>
      <c r="J107" s="374"/>
      <c r="K107" s="374"/>
      <c r="L107" s="374"/>
      <c r="M107" s="374"/>
      <c r="N107" s="374"/>
      <c r="O107" s="374"/>
      <c r="P107" s="374"/>
      <c r="Q107" s="374"/>
      <c r="R107" s="374"/>
    </row>
    <row r="108" spans="1:18" ht="25.5" customHeight="1">
      <c r="A108" s="407"/>
      <c r="B108" s="407"/>
      <c r="C108" s="438"/>
      <c r="D108" s="457"/>
      <c r="E108" s="438"/>
      <c r="F108" s="481"/>
      <c r="G108" s="482"/>
      <c r="H108" s="483"/>
      <c r="I108" s="457"/>
      <c r="J108" s="374"/>
      <c r="K108" s="374"/>
      <c r="L108" s="374"/>
      <c r="M108" s="374"/>
      <c r="N108" s="374"/>
      <c r="O108" s="374"/>
      <c r="P108" s="374"/>
      <c r="Q108" s="374"/>
      <c r="R108" s="374"/>
    </row>
  </sheetData>
  <mergeCells count="92">
    <mergeCell ref="B79:H79"/>
    <mergeCell ref="H63:H64"/>
    <mergeCell ref="B65:H65"/>
    <mergeCell ref="B60:B61"/>
    <mergeCell ref="A71:A82"/>
    <mergeCell ref="B71:B72"/>
    <mergeCell ref="E71:E75"/>
    <mergeCell ref="F71:F75"/>
    <mergeCell ref="G71:G75"/>
    <mergeCell ref="H71:H75"/>
    <mergeCell ref="B74:B75"/>
    <mergeCell ref="B77:B78"/>
    <mergeCell ref="E77:E78"/>
    <mergeCell ref="F77:F78"/>
    <mergeCell ref="G77:G78"/>
    <mergeCell ref="H77:H78"/>
    <mergeCell ref="B51:H51"/>
    <mergeCell ref="A57:A68"/>
    <mergeCell ref="B57:B58"/>
    <mergeCell ref="E57:E61"/>
    <mergeCell ref="F57:F61"/>
    <mergeCell ref="G57:G61"/>
    <mergeCell ref="H57:H61"/>
    <mergeCell ref="B63:B64"/>
    <mergeCell ref="E63:E64"/>
    <mergeCell ref="F63:F64"/>
    <mergeCell ref="B26:H26"/>
    <mergeCell ref="A30:H30"/>
    <mergeCell ref="B39:H39"/>
    <mergeCell ref="A45:A54"/>
    <mergeCell ref="B45:B46"/>
    <mergeCell ref="E45:E48"/>
    <mergeCell ref="F45:F48"/>
    <mergeCell ref="G45:G48"/>
    <mergeCell ref="H45:H48"/>
    <mergeCell ref="H37:H38"/>
    <mergeCell ref="H32:H35"/>
    <mergeCell ref="A18:A29"/>
    <mergeCell ref="B18:B19"/>
    <mergeCell ref="E18:E22"/>
    <mergeCell ref="F18:F22"/>
    <mergeCell ref="G18:G22"/>
    <mergeCell ref="G85:H85"/>
    <mergeCell ref="A86:C88"/>
    <mergeCell ref="E86:G86"/>
    <mergeCell ref="E87:G87"/>
    <mergeCell ref="E88:G88"/>
    <mergeCell ref="A89:E89"/>
    <mergeCell ref="G63:G64"/>
    <mergeCell ref="B37:B38"/>
    <mergeCell ref="E37:E38"/>
    <mergeCell ref="F37:F38"/>
    <mergeCell ref="G37:G38"/>
    <mergeCell ref="A32:A42"/>
    <mergeCell ref="B32:B33"/>
    <mergeCell ref="E32:E35"/>
    <mergeCell ref="F32:F35"/>
    <mergeCell ref="G32:G35"/>
    <mergeCell ref="B41:G41"/>
    <mergeCell ref="B67:G67"/>
    <mergeCell ref="B68:F68"/>
    <mergeCell ref="B81:G81"/>
    <mergeCell ref="B82:F82"/>
    <mergeCell ref="G2:G9"/>
    <mergeCell ref="H2:H9"/>
    <mergeCell ref="B7:B9"/>
    <mergeCell ref="B24:B25"/>
    <mergeCell ref="E24:E25"/>
    <mergeCell ref="F24:F25"/>
    <mergeCell ref="G24:G25"/>
    <mergeCell ref="H24:H25"/>
    <mergeCell ref="B11:B12"/>
    <mergeCell ref="E11:E12"/>
    <mergeCell ref="F11:F12"/>
    <mergeCell ref="G11:G12"/>
    <mergeCell ref="H11:H12"/>
    <mergeCell ref="A83:H83"/>
    <mergeCell ref="A84:H84"/>
    <mergeCell ref="B28:G28"/>
    <mergeCell ref="B14:G14"/>
    <mergeCell ref="B53:G53"/>
    <mergeCell ref="B54:F54"/>
    <mergeCell ref="B15:F15"/>
    <mergeCell ref="B29:F29"/>
    <mergeCell ref="B42:F42"/>
    <mergeCell ref="H18:H22"/>
    <mergeCell ref="A16:H16"/>
    <mergeCell ref="B21:B22"/>
    <mergeCell ref="A2:A15"/>
    <mergeCell ref="B2:B5"/>
    <mergeCell ref="E2:E9"/>
    <mergeCell ref="F2:F9"/>
  </mergeCells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5"/>
  <sheetViews>
    <sheetView showGridLines="0" tabSelected="1" topLeftCell="A14" zoomScaleNormal="100" workbookViewId="0">
      <selection activeCell="C25" sqref="C25:D25"/>
    </sheetView>
  </sheetViews>
  <sheetFormatPr defaultRowHeight="12.5"/>
  <cols>
    <col min="1" max="1" width="27" style="1" customWidth="1"/>
    <col min="2" max="2" width="24.7265625" style="1" customWidth="1"/>
    <col min="3" max="3" width="21.453125" style="1" customWidth="1"/>
    <col min="4" max="4" width="25.453125" style="1" customWidth="1"/>
    <col min="5" max="6" width="9.1796875" style="1" customWidth="1"/>
    <col min="7" max="7" width="13.7265625" style="1" customWidth="1"/>
    <col min="8" max="1025" width="9.1796875" style="1" customWidth="1"/>
  </cols>
  <sheetData>
    <row r="1" spans="1:27" s="2" customFormat="1" ht="84.75" customHeight="1">
      <c r="A1" s="522" t="s">
        <v>370</v>
      </c>
      <c r="B1" s="523" t="s">
        <v>371</v>
      </c>
      <c r="C1" s="523" t="str">
        <f>IF([1]Preparação!$B$34=5,"Valor Mensal do Material Limpeza e do Material de Higiene","Valor Mensal do Material de Higiene")</f>
        <v>Valor Mensal do Material de Higiene</v>
      </c>
      <c r="D1" s="522" t="s">
        <v>372</v>
      </c>
      <c r="E1" s="407"/>
      <c r="F1" s="407"/>
      <c r="G1" s="407"/>
      <c r="H1" s="407"/>
      <c r="I1" s="407"/>
      <c r="J1" s="407"/>
      <c r="K1" s="407"/>
      <c r="L1" s="407"/>
      <c r="M1" s="407"/>
      <c r="N1" s="407"/>
      <c r="O1" s="407"/>
      <c r="P1" s="407"/>
      <c r="Q1" s="407"/>
      <c r="R1" s="407"/>
      <c r="S1" s="407"/>
      <c r="T1" s="407"/>
      <c r="U1" s="407"/>
      <c r="V1" s="407"/>
      <c r="W1" s="407"/>
      <c r="X1" s="407"/>
      <c r="Y1" s="407"/>
      <c r="Z1" s="407"/>
      <c r="AA1" s="407"/>
    </row>
    <row r="2" spans="1:27" ht="25.5" customHeight="1">
      <c r="A2" s="513" t="s">
        <v>271</v>
      </c>
      <c r="B2" s="514">
        <f>'Preço por localidade - m2'!F18+'Preço por localidade - m2'!F19</f>
        <v>13792.384006427425</v>
      </c>
      <c r="C2" s="514">
        <f>'Preço por localidade - m2'!F20</f>
        <v>1841.1762185324051</v>
      </c>
      <c r="D2" s="515">
        <f t="shared" ref="D2:D17" si="0">B2+C2</f>
        <v>15633.560224959831</v>
      </c>
      <c r="E2" s="457"/>
      <c r="F2" s="457"/>
      <c r="G2" s="457"/>
      <c r="H2" s="457"/>
      <c r="I2" s="457"/>
      <c r="J2" s="457"/>
      <c r="K2" s="457"/>
      <c r="L2" s="457"/>
      <c r="M2" s="457"/>
      <c r="N2" s="457"/>
      <c r="O2" s="457"/>
      <c r="P2" s="457"/>
      <c r="Q2" s="457"/>
      <c r="R2" s="457"/>
      <c r="S2" s="457"/>
      <c r="T2" s="457"/>
      <c r="U2" s="457"/>
      <c r="V2" s="457"/>
      <c r="W2" s="457"/>
      <c r="X2" s="457"/>
      <c r="Y2" s="457"/>
      <c r="Z2" s="457"/>
      <c r="AA2" s="457"/>
    </row>
    <row r="3" spans="1:27" ht="25.5" customHeight="1">
      <c r="A3" s="457" t="s">
        <v>272</v>
      </c>
      <c r="B3" s="516">
        <f>'Preço por localidade - m2'!F39+'Preço por localidade - m2'!F40</f>
        <v>20937.524269293921</v>
      </c>
      <c r="C3" s="516">
        <f>'Preço por localidade - m2'!F41</f>
        <v>2177.9284802043421</v>
      </c>
      <c r="D3" s="517">
        <f t="shared" si="0"/>
        <v>23115.452749498261</v>
      </c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457"/>
      <c r="P3" s="457"/>
      <c r="Q3" s="457"/>
      <c r="R3" s="457"/>
      <c r="S3" s="457"/>
      <c r="T3" s="457"/>
      <c r="U3" s="457"/>
      <c r="V3" s="457"/>
      <c r="W3" s="457"/>
      <c r="X3" s="457"/>
      <c r="Y3" s="457"/>
      <c r="Z3" s="457"/>
      <c r="AA3" s="457"/>
    </row>
    <row r="4" spans="1:27" ht="25.5" customHeight="1">
      <c r="A4" s="513" t="s">
        <v>273</v>
      </c>
      <c r="B4" s="514">
        <f>'Preço por localidade - m2'!F62</f>
        <v>7834.4299999999994</v>
      </c>
      <c r="C4" s="514">
        <f>'Preço por localidade - m2'!F64</f>
        <v>449.8668126254334</v>
      </c>
      <c r="D4" s="515">
        <f t="shared" si="0"/>
        <v>8284.2968126254327</v>
      </c>
      <c r="E4" s="457"/>
      <c r="F4" s="457"/>
      <c r="G4" s="457"/>
      <c r="H4" s="457"/>
      <c r="I4" s="457"/>
      <c r="J4" s="457"/>
      <c r="K4" s="457"/>
      <c r="L4" s="457"/>
      <c r="M4" s="457"/>
      <c r="N4" s="457"/>
      <c r="O4" s="457"/>
      <c r="P4" s="457"/>
      <c r="Q4" s="457"/>
      <c r="R4" s="457"/>
      <c r="S4" s="457"/>
      <c r="T4" s="457"/>
      <c r="U4" s="457"/>
      <c r="V4" s="457"/>
      <c r="W4" s="457"/>
      <c r="X4" s="457"/>
      <c r="Y4" s="457"/>
      <c r="Z4" s="457"/>
      <c r="AA4" s="457"/>
    </row>
    <row r="5" spans="1:27" ht="23.25" customHeight="1">
      <c r="A5" s="457" t="s">
        <v>274</v>
      </c>
      <c r="B5" s="516">
        <f>'Preço por localidade - posto'!H13</f>
        <v>3280.6099999999997</v>
      </c>
      <c r="C5" s="516">
        <f>'Preço por localidade - posto'!H14</f>
        <v>512.09087662917329</v>
      </c>
      <c r="D5" s="517">
        <f t="shared" si="0"/>
        <v>3792.7008766291729</v>
      </c>
      <c r="E5" s="457"/>
      <c r="F5" s="457"/>
      <c r="G5" s="457"/>
      <c r="H5" s="457"/>
      <c r="I5" s="457"/>
      <c r="J5" s="457"/>
      <c r="K5" s="457"/>
      <c r="L5" s="457"/>
      <c r="M5" s="457"/>
      <c r="N5" s="457"/>
      <c r="O5" s="457"/>
      <c r="P5" s="457"/>
      <c r="Q5" s="457"/>
      <c r="R5" s="457"/>
      <c r="S5" s="457"/>
      <c r="T5" s="457"/>
      <c r="U5" s="457"/>
      <c r="V5" s="457"/>
      <c r="W5" s="457"/>
      <c r="X5" s="457"/>
      <c r="Y5" s="457"/>
      <c r="Z5" s="457"/>
      <c r="AA5" s="457"/>
    </row>
    <row r="6" spans="1:27" ht="25.5" hidden="1" customHeight="1">
      <c r="A6" s="513">
        <f>'[1]Dados do Licitante'!A10:E10</f>
        <v>0</v>
      </c>
      <c r="B6" s="514">
        <f>'[1]Preço por localidade - m²'!F175+'[1]Preço por localidade - Postos'!H255-C6</f>
        <v>0</v>
      </c>
      <c r="C6" s="514">
        <f>'[1]Preço por localidade - m²'!F174+'[1]Preço por localidade - Postos'!H254</f>
        <v>0</v>
      </c>
      <c r="D6" s="517">
        <f t="shared" si="0"/>
        <v>0</v>
      </c>
      <c r="E6" s="457"/>
      <c r="F6" s="457"/>
      <c r="G6" s="457"/>
      <c r="H6" s="457"/>
      <c r="I6" s="457"/>
      <c r="J6" s="457"/>
      <c r="K6" s="457"/>
      <c r="L6" s="457"/>
      <c r="M6" s="457"/>
      <c r="N6" s="457"/>
      <c r="O6" s="457"/>
      <c r="P6" s="457"/>
      <c r="Q6" s="457"/>
      <c r="R6" s="457"/>
      <c r="S6" s="457"/>
      <c r="T6" s="457"/>
      <c r="U6" s="457"/>
      <c r="V6" s="457"/>
      <c r="W6" s="457"/>
      <c r="X6" s="457"/>
      <c r="Y6" s="457"/>
      <c r="Z6" s="457"/>
      <c r="AA6" s="457"/>
    </row>
    <row r="7" spans="1:27" ht="25.5" hidden="1" customHeight="1">
      <c r="A7" s="457">
        <f>'[1]Dados do Licitante'!A11:E11</f>
        <v>0</v>
      </c>
      <c r="B7" s="516">
        <f>'[1]Preço por localidade - m²'!F210+'[1]Preço por localidade - Postos'!H306-C7</f>
        <v>0</v>
      </c>
      <c r="C7" s="516">
        <f>'[1]Preço por localidade - m²'!F209+'[1]Preço por localidade - Postos'!H305</f>
        <v>0</v>
      </c>
      <c r="D7" s="517">
        <f t="shared" si="0"/>
        <v>0</v>
      </c>
      <c r="E7" s="457"/>
      <c r="F7" s="457"/>
      <c r="G7" s="457"/>
      <c r="H7" s="457"/>
      <c r="I7" s="457"/>
      <c r="J7" s="457"/>
      <c r="K7" s="457"/>
      <c r="L7" s="457"/>
      <c r="M7" s="457"/>
      <c r="N7" s="457"/>
      <c r="O7" s="457"/>
      <c r="P7" s="457"/>
      <c r="Q7" s="457"/>
      <c r="R7" s="457"/>
      <c r="S7" s="457"/>
      <c r="T7" s="457"/>
      <c r="U7" s="457"/>
      <c r="V7" s="457"/>
      <c r="W7" s="457"/>
      <c r="X7" s="457"/>
      <c r="Y7" s="457"/>
      <c r="Z7" s="457"/>
      <c r="AA7" s="457"/>
    </row>
    <row r="8" spans="1:27" ht="25.5" hidden="1" customHeight="1">
      <c r="A8" s="513">
        <f>'[1]Dados do Licitante'!A12:E12</f>
        <v>0</v>
      </c>
      <c r="B8" s="514">
        <f>'[1]Preço por localidade - m²'!F245+'[1]Preço por localidade - Postos'!H357-C8</f>
        <v>0</v>
      </c>
      <c r="C8" s="514">
        <f>'[1]Preço por localidade - m²'!F244+'[1]Preço por localidade - Postos'!H356</f>
        <v>0</v>
      </c>
      <c r="D8" s="517">
        <f t="shared" si="0"/>
        <v>0</v>
      </c>
      <c r="E8" s="457"/>
      <c r="F8" s="457"/>
      <c r="G8" s="457"/>
      <c r="H8" s="457"/>
      <c r="I8" s="457"/>
      <c r="J8" s="457"/>
      <c r="K8" s="457"/>
      <c r="L8" s="457"/>
      <c r="M8" s="457"/>
      <c r="N8" s="457"/>
      <c r="O8" s="457"/>
      <c r="P8" s="457"/>
      <c r="Q8" s="457"/>
      <c r="R8" s="457"/>
      <c r="S8" s="457"/>
      <c r="T8" s="457"/>
      <c r="U8" s="457"/>
      <c r="V8" s="457"/>
      <c r="W8" s="457"/>
      <c r="X8" s="457"/>
      <c r="Y8" s="457"/>
      <c r="Z8" s="457"/>
      <c r="AA8" s="457"/>
    </row>
    <row r="9" spans="1:27" ht="25.5" hidden="1" customHeight="1">
      <c r="A9" s="457">
        <f>'[1]Dados do Licitante'!A13:E13</f>
        <v>0</v>
      </c>
      <c r="B9" s="516">
        <f>'[1]Preço por localidade - m²'!F280+'[1]Preço por localidade - Postos'!H408-C9</f>
        <v>0</v>
      </c>
      <c r="C9" s="516">
        <f>'[1]Preço por localidade - m²'!F279+'[1]Preço por localidade - Postos'!H407</f>
        <v>0</v>
      </c>
      <c r="D9" s="517">
        <f t="shared" si="0"/>
        <v>0</v>
      </c>
      <c r="E9" s="457"/>
      <c r="F9" s="457"/>
      <c r="G9" s="457"/>
      <c r="H9" s="457"/>
      <c r="I9" s="457"/>
      <c r="J9" s="457"/>
      <c r="K9" s="457"/>
      <c r="L9" s="457"/>
      <c r="M9" s="457"/>
      <c r="N9" s="457"/>
      <c r="O9" s="457"/>
      <c r="P9" s="457"/>
      <c r="Q9" s="457"/>
      <c r="R9" s="457"/>
      <c r="S9" s="457"/>
      <c r="T9" s="457"/>
      <c r="U9" s="457"/>
      <c r="V9" s="457"/>
      <c r="W9" s="457"/>
      <c r="X9" s="457"/>
      <c r="Y9" s="457"/>
      <c r="Z9" s="457"/>
      <c r="AA9" s="457"/>
    </row>
    <row r="10" spans="1:27" ht="25.5" hidden="1" customHeight="1">
      <c r="A10" s="513">
        <f>'[1]Dados do Licitante'!A14:E14</f>
        <v>0</v>
      </c>
      <c r="B10" s="514">
        <f>'[1]Preço por localidade - m²'!F315+'[1]Preço por localidade - Postos'!H459-C10</f>
        <v>0</v>
      </c>
      <c r="C10" s="514">
        <f>'[1]Preço por localidade - m²'!F314+'[1]Preço por localidade - Postos'!H458</f>
        <v>0</v>
      </c>
      <c r="D10" s="517">
        <f t="shared" si="0"/>
        <v>0</v>
      </c>
      <c r="E10" s="457"/>
      <c r="F10" s="457"/>
      <c r="G10" s="457"/>
      <c r="H10" s="457"/>
      <c r="I10" s="457"/>
      <c r="J10" s="457"/>
      <c r="K10" s="457"/>
      <c r="L10" s="457"/>
      <c r="M10" s="457"/>
      <c r="N10" s="457"/>
      <c r="O10" s="457"/>
      <c r="P10" s="457"/>
      <c r="Q10" s="457"/>
      <c r="R10" s="457"/>
      <c r="S10" s="457"/>
      <c r="T10" s="457"/>
      <c r="U10" s="457"/>
      <c r="V10" s="457"/>
      <c r="W10" s="457"/>
      <c r="X10" s="457"/>
      <c r="Y10" s="457"/>
      <c r="Z10" s="457"/>
      <c r="AA10" s="457"/>
    </row>
    <row r="11" spans="1:27" ht="25.5" customHeight="1">
      <c r="A11" s="513" t="s">
        <v>292</v>
      </c>
      <c r="B11" s="514">
        <f>'Preço por localidade - posto'!H27</f>
        <v>2989.73</v>
      </c>
      <c r="C11" s="514">
        <f>'Preço por localidade - posto'!H28</f>
        <v>324.4977562376593</v>
      </c>
      <c r="D11" s="515">
        <f t="shared" si="0"/>
        <v>3314.2277562376594</v>
      </c>
      <c r="E11" s="457"/>
      <c r="F11" s="457"/>
      <c r="G11" s="457"/>
      <c r="H11" s="457"/>
      <c r="I11" s="457"/>
      <c r="J11" s="457"/>
      <c r="K11" s="457"/>
      <c r="L11" s="457"/>
      <c r="M11" s="457"/>
      <c r="N11" s="457"/>
      <c r="O11" s="457"/>
      <c r="P11" s="457"/>
      <c r="Q11" s="457"/>
      <c r="R11" s="457"/>
      <c r="S11" s="457"/>
      <c r="T11" s="457"/>
      <c r="U11" s="457"/>
      <c r="V11" s="457"/>
      <c r="W11" s="457"/>
      <c r="X11" s="457"/>
      <c r="Y11" s="457"/>
      <c r="Z11" s="457"/>
      <c r="AA11" s="457"/>
    </row>
    <row r="12" spans="1:27" ht="25.5" customHeight="1">
      <c r="A12" s="563" t="s">
        <v>275</v>
      </c>
      <c r="B12" s="564">
        <f>'Preço por localidade - posto'!H40</f>
        <v>3084.2376953618477</v>
      </c>
      <c r="C12" s="564">
        <f>'Preço por localidade - posto'!H41</f>
        <v>571.2622270348312</v>
      </c>
      <c r="D12" s="565">
        <f t="shared" si="0"/>
        <v>3655.4999223966788</v>
      </c>
      <c r="E12" s="457"/>
      <c r="F12" s="457"/>
      <c r="G12" s="457"/>
      <c r="H12" s="457"/>
      <c r="I12" s="457"/>
      <c r="J12" s="457"/>
      <c r="K12" s="457"/>
      <c r="L12" s="457"/>
      <c r="M12" s="457"/>
      <c r="N12" s="457"/>
      <c r="O12" s="457"/>
      <c r="P12" s="457"/>
      <c r="Q12" s="457"/>
      <c r="R12" s="457"/>
      <c r="S12" s="457"/>
      <c r="T12" s="457"/>
      <c r="U12" s="457"/>
      <c r="V12" s="457"/>
      <c r="W12" s="457"/>
      <c r="X12" s="457"/>
      <c r="Y12" s="457"/>
      <c r="Z12" s="457"/>
      <c r="AA12" s="457"/>
    </row>
    <row r="13" spans="1:27" ht="25.5" customHeight="1">
      <c r="A13" s="513" t="s">
        <v>276</v>
      </c>
      <c r="B13" s="514">
        <f>'Preço por localidade - m2'!F83+'Preço por localidade - m2'!F84</f>
        <v>48492.800552818822</v>
      </c>
      <c r="C13" s="514">
        <f>'Preço por localidade - m2'!F85</f>
        <v>6123.1030833789455</v>
      </c>
      <c r="D13" s="515">
        <f t="shared" si="0"/>
        <v>54615.903636197771</v>
      </c>
      <c r="E13" s="457"/>
      <c r="F13" s="457"/>
      <c r="G13" s="457"/>
      <c r="H13" s="457"/>
      <c r="I13" s="457"/>
      <c r="J13" s="457"/>
      <c r="K13" s="457"/>
      <c r="L13" s="457"/>
      <c r="M13" s="457"/>
      <c r="N13" s="457"/>
      <c r="O13" s="457"/>
      <c r="P13" s="457"/>
      <c r="Q13" s="457"/>
      <c r="R13" s="457"/>
      <c r="S13" s="457"/>
      <c r="T13" s="457"/>
      <c r="U13" s="457"/>
      <c r="V13" s="457"/>
      <c r="W13" s="457"/>
      <c r="X13" s="457"/>
      <c r="Y13" s="457"/>
      <c r="Z13" s="457"/>
      <c r="AA13" s="457"/>
    </row>
    <row r="14" spans="1:27" ht="25.5" customHeight="1">
      <c r="A14" s="563" t="s">
        <v>277</v>
      </c>
      <c r="B14" s="564">
        <f>'Preço por localidade - posto'!H52</f>
        <v>2814.7141666666671</v>
      </c>
      <c r="C14" s="564">
        <f>'Preço por localidade - posto'!H53</f>
        <v>1002.2711184090497</v>
      </c>
      <c r="D14" s="565">
        <f t="shared" si="0"/>
        <v>3816.985285075717</v>
      </c>
      <c r="E14" s="457"/>
      <c r="F14" s="457"/>
      <c r="G14" s="457"/>
      <c r="H14" s="457"/>
      <c r="I14" s="457"/>
      <c r="J14" s="457"/>
      <c r="K14" s="457"/>
      <c r="L14" s="457"/>
      <c r="M14" s="457"/>
      <c r="N14" s="457"/>
      <c r="O14" s="457"/>
      <c r="P14" s="457"/>
      <c r="Q14" s="457"/>
      <c r="R14" s="457"/>
      <c r="S14" s="457"/>
      <c r="T14" s="457"/>
      <c r="U14" s="457"/>
      <c r="V14" s="457"/>
      <c r="W14" s="457"/>
      <c r="X14" s="457"/>
      <c r="Y14" s="457"/>
      <c r="Z14" s="457"/>
      <c r="AA14" s="457"/>
    </row>
    <row r="15" spans="1:27" ht="25.5" customHeight="1">
      <c r="A15" s="513" t="s">
        <v>278</v>
      </c>
      <c r="B15" s="514">
        <f>'Preço por localidade - posto'!H66</f>
        <v>3246.6800178539547</v>
      </c>
      <c r="C15" s="514">
        <f>'Preço por localidade - posto'!H67</f>
        <v>1001.5461524727729</v>
      </c>
      <c r="D15" s="515">
        <f t="shared" si="0"/>
        <v>4248.2261703267277</v>
      </c>
      <c r="E15" s="457"/>
      <c r="F15" s="457"/>
      <c r="G15" s="457"/>
      <c r="H15" s="457"/>
      <c r="I15" s="457"/>
      <c r="J15" s="457"/>
      <c r="K15" s="457"/>
      <c r="L15" s="457"/>
      <c r="M15" s="457"/>
      <c r="N15" s="457"/>
      <c r="O15" s="457"/>
      <c r="P15" s="457"/>
      <c r="Q15" s="457"/>
      <c r="R15" s="457"/>
      <c r="S15" s="457"/>
      <c r="T15" s="457"/>
      <c r="U15" s="457"/>
      <c r="V15" s="457"/>
      <c r="W15" s="457"/>
      <c r="X15" s="457"/>
      <c r="Y15" s="457"/>
      <c r="Z15" s="457"/>
      <c r="AA15" s="457"/>
    </row>
    <row r="16" spans="1:27" ht="25.5" customHeight="1">
      <c r="A16" s="563" t="s">
        <v>279</v>
      </c>
      <c r="B16" s="564">
        <f>'Preço por localidade - posto'!H80</f>
        <v>3025.2940138660824</v>
      </c>
      <c r="C16" s="564">
        <f>'Preço por localidade - posto'!H81</f>
        <v>885.14176245210717</v>
      </c>
      <c r="D16" s="565">
        <f t="shared" si="0"/>
        <v>3910.4357763181897</v>
      </c>
      <c r="E16" s="457"/>
      <c r="F16" s="457"/>
      <c r="G16" s="457"/>
      <c r="H16" s="457"/>
      <c r="I16" s="457"/>
      <c r="J16" s="457"/>
      <c r="K16" s="457"/>
      <c r="L16" s="457"/>
      <c r="M16" s="457"/>
      <c r="N16" s="457"/>
      <c r="O16" s="457"/>
      <c r="P16" s="457"/>
      <c r="Q16" s="457"/>
      <c r="R16" s="457"/>
      <c r="S16" s="457"/>
      <c r="T16" s="457"/>
      <c r="U16" s="457"/>
      <c r="V16" s="457"/>
      <c r="W16" s="457"/>
      <c r="X16" s="457"/>
      <c r="Y16" s="457"/>
      <c r="Z16" s="457"/>
      <c r="AA16" s="457"/>
    </row>
    <row r="17" spans="1:27" ht="25.5" customHeight="1">
      <c r="A17" s="513" t="s">
        <v>280</v>
      </c>
      <c r="B17" s="514">
        <f>'Preço por localidade - m2'!F99</f>
        <v>15255.430000000002</v>
      </c>
      <c r="C17" s="514">
        <f>'Preço por localidade - m2'!F100</f>
        <v>1016.4320379492796</v>
      </c>
      <c r="D17" s="515">
        <f t="shared" si="0"/>
        <v>16271.862037949282</v>
      </c>
      <c r="E17" s="457"/>
      <c r="F17" s="457"/>
      <c r="G17" s="457"/>
      <c r="H17" s="457"/>
      <c r="I17" s="457"/>
      <c r="J17" s="457"/>
      <c r="K17" s="457"/>
      <c r="L17" s="457"/>
      <c r="M17" s="457"/>
      <c r="N17" s="457"/>
      <c r="O17" s="457"/>
      <c r="P17" s="457"/>
      <c r="Q17" s="457"/>
      <c r="R17" s="457"/>
      <c r="S17" s="457"/>
      <c r="T17" s="457"/>
      <c r="U17" s="457"/>
      <c r="V17" s="457"/>
      <c r="W17" s="457"/>
      <c r="X17" s="457"/>
      <c r="Y17" s="457"/>
      <c r="Z17" s="457"/>
      <c r="AA17" s="457"/>
    </row>
    <row r="18" spans="1:27" ht="10" customHeight="1">
      <c r="A18" s="563"/>
      <c r="B18" s="564"/>
      <c r="C18" s="564"/>
      <c r="D18" s="566"/>
      <c r="E18" s="457"/>
      <c r="F18" s="457"/>
      <c r="G18" s="457"/>
      <c r="H18" s="457"/>
      <c r="I18" s="457"/>
      <c r="J18" s="457"/>
      <c r="K18" s="457"/>
      <c r="L18" s="457"/>
      <c r="M18" s="457"/>
      <c r="N18" s="457"/>
      <c r="O18" s="457"/>
      <c r="P18" s="457"/>
      <c r="Q18" s="457"/>
      <c r="R18" s="457"/>
      <c r="S18" s="457"/>
      <c r="T18" s="457"/>
      <c r="U18" s="457"/>
      <c r="V18" s="457"/>
      <c r="W18" s="457"/>
      <c r="X18" s="457"/>
      <c r="Y18" s="457"/>
      <c r="Z18" s="457"/>
      <c r="AA18" s="457"/>
    </row>
    <row r="19" spans="1:27" ht="25.5" customHeight="1">
      <c r="A19" s="569" t="str">
        <f>'Outros Serviços '!D13</f>
        <v>Valor Total da Dedetização</v>
      </c>
      <c r="B19" s="514">
        <f>'Outros Serviços '!H13/12</f>
        <v>1385.0745833333333</v>
      </c>
      <c r="C19" s="570" t="s">
        <v>23</v>
      </c>
      <c r="D19" s="515">
        <f>B19</f>
        <v>1385.0745833333333</v>
      </c>
      <c r="E19" s="457"/>
      <c r="F19" s="457"/>
      <c r="G19" s="457"/>
      <c r="H19" s="457"/>
      <c r="I19" s="457"/>
      <c r="J19" s="457"/>
      <c r="K19" s="457"/>
      <c r="L19" s="457"/>
      <c r="M19" s="457"/>
      <c r="N19" s="457"/>
      <c r="O19" s="457"/>
      <c r="P19" s="457"/>
      <c r="Q19" s="457"/>
      <c r="R19" s="457"/>
      <c r="S19" s="457"/>
      <c r="T19" s="457"/>
      <c r="U19" s="457"/>
      <c r="V19" s="457"/>
      <c r="W19" s="457"/>
      <c r="X19" s="457"/>
      <c r="Y19" s="457"/>
      <c r="Z19" s="457"/>
      <c r="AA19" s="457"/>
    </row>
    <row r="20" spans="1:27" ht="24" customHeight="1">
      <c r="A20" s="457" t="str">
        <f>'Outros Serviços '!D18</f>
        <v>Valor Total da Capina e Roçada</v>
      </c>
      <c r="B20" s="516">
        <f>'Outros Serviços '!H18/12</f>
        <v>1600.2433333333331</v>
      </c>
      <c r="C20" s="571" t="s">
        <v>23</v>
      </c>
      <c r="D20" s="517">
        <f>B20</f>
        <v>1600.2433333333331</v>
      </c>
      <c r="E20" s="457"/>
      <c r="F20" s="457"/>
      <c r="G20" s="457"/>
      <c r="H20" s="457"/>
      <c r="I20" s="457"/>
      <c r="J20" s="457"/>
      <c r="K20" s="457"/>
      <c r="L20" s="457"/>
      <c r="M20" s="457"/>
      <c r="N20" s="457"/>
      <c r="O20" s="457"/>
      <c r="P20" s="457"/>
      <c r="Q20" s="457"/>
      <c r="R20" s="457"/>
      <c r="S20" s="457"/>
      <c r="T20" s="457"/>
      <c r="U20" s="457"/>
      <c r="V20" s="457"/>
      <c r="W20" s="457"/>
      <c r="X20" s="457"/>
      <c r="Y20" s="457"/>
      <c r="Z20" s="457"/>
      <c r="AA20" s="457"/>
    </row>
    <row r="21" spans="1:27" ht="25.5" customHeight="1">
      <c r="A21" s="518" t="s">
        <v>9</v>
      </c>
      <c r="B21" s="519">
        <f>SUM(B2:B20)</f>
        <v>127739.15263895541</v>
      </c>
      <c r="C21" s="519">
        <f>SUM(C2:C17)</f>
        <v>15905.316525925999</v>
      </c>
      <c r="D21" s="520">
        <f>TRUNC(SUM(D2:D20),2)</f>
        <v>143644.46</v>
      </c>
      <c r="E21" s="457"/>
      <c r="F21" s="457"/>
      <c r="G21" s="457"/>
      <c r="H21" s="457"/>
      <c r="I21" s="457"/>
      <c r="J21" s="457"/>
      <c r="K21" s="457"/>
      <c r="L21" s="457"/>
      <c r="M21" s="457"/>
      <c r="N21" s="457"/>
      <c r="O21" s="457"/>
      <c r="P21" s="457"/>
      <c r="Q21" s="457"/>
      <c r="R21" s="457"/>
      <c r="S21" s="457"/>
      <c r="T21" s="457"/>
      <c r="U21" s="457"/>
      <c r="V21" s="457"/>
      <c r="W21" s="457"/>
      <c r="X21" s="457"/>
      <c r="Y21" s="457"/>
      <c r="Z21" s="457"/>
      <c r="AA21" s="457"/>
    </row>
    <row r="22" spans="1:27">
      <c r="A22" s="457"/>
      <c r="B22" s="457"/>
      <c r="C22" s="457"/>
      <c r="D22" s="457"/>
      <c r="E22" s="457"/>
      <c r="F22" s="457"/>
      <c r="G22" s="457"/>
      <c r="H22" s="457"/>
      <c r="I22" s="457"/>
      <c r="J22" s="457"/>
      <c r="K22" s="457"/>
      <c r="L22" s="457"/>
      <c r="M22" s="457"/>
      <c r="N22" s="457"/>
      <c r="O22" s="457"/>
      <c r="P22" s="457"/>
      <c r="Q22" s="457"/>
      <c r="R22" s="457"/>
      <c r="S22" s="457"/>
      <c r="T22" s="457"/>
      <c r="U22" s="457"/>
      <c r="V22" s="457"/>
      <c r="W22" s="457"/>
      <c r="X22" s="457"/>
      <c r="Y22" s="457"/>
      <c r="Z22" s="457"/>
      <c r="AA22" s="457"/>
    </row>
    <row r="23" spans="1:27" ht="25.5" customHeight="1">
      <c r="A23" s="521" t="s">
        <v>373</v>
      </c>
      <c r="B23" s="521">
        <v>12</v>
      </c>
      <c r="C23" s="1075" t="s">
        <v>355</v>
      </c>
      <c r="D23" s="1075"/>
      <c r="E23" s="457"/>
      <c r="F23" s="457"/>
      <c r="G23" s="457"/>
      <c r="H23" s="457"/>
      <c r="I23" s="457"/>
      <c r="J23" s="457"/>
      <c r="K23" s="457"/>
      <c r="L23" s="457"/>
      <c r="M23" s="457"/>
      <c r="N23" s="457"/>
      <c r="O23" s="457"/>
      <c r="P23" s="457"/>
      <c r="Q23" s="457"/>
      <c r="R23" s="457"/>
      <c r="S23" s="457"/>
      <c r="T23" s="457"/>
      <c r="U23" s="457"/>
      <c r="V23" s="457"/>
      <c r="W23" s="457"/>
      <c r="X23" s="457"/>
      <c r="Y23" s="457"/>
      <c r="Z23" s="457"/>
      <c r="AA23" s="457"/>
    </row>
    <row r="24" spans="1:27">
      <c r="A24" s="457"/>
      <c r="B24" s="457"/>
      <c r="C24" s="457"/>
      <c r="D24" s="457"/>
      <c r="E24" s="457"/>
      <c r="F24" s="457"/>
      <c r="G24" s="457"/>
      <c r="H24" s="457"/>
      <c r="I24" s="457"/>
      <c r="J24" s="457"/>
      <c r="K24" s="457"/>
      <c r="L24" s="457"/>
      <c r="M24" s="457"/>
      <c r="N24" s="457"/>
      <c r="O24" s="457"/>
      <c r="P24" s="457"/>
      <c r="Q24" s="457"/>
      <c r="R24" s="457"/>
      <c r="S24" s="457"/>
      <c r="T24" s="457"/>
      <c r="U24" s="457"/>
      <c r="V24" s="457"/>
      <c r="W24" s="457"/>
      <c r="X24" s="457"/>
      <c r="Y24" s="457"/>
      <c r="Z24" s="457"/>
      <c r="AA24" s="457"/>
    </row>
    <row r="25" spans="1:27" ht="51" customHeight="1">
      <c r="A25" s="1073" t="s">
        <v>374</v>
      </c>
      <c r="B25" s="1073"/>
      <c r="C25" s="1074">
        <f>D21*B23</f>
        <v>1723733.52</v>
      </c>
      <c r="D25" s="1074"/>
      <c r="E25" s="457"/>
      <c r="F25" s="457"/>
      <c r="G25" s="517"/>
      <c r="H25" s="457"/>
      <c r="I25" s="457"/>
      <c r="J25" s="457"/>
      <c r="K25" s="457"/>
      <c r="L25" s="457"/>
      <c r="M25" s="457"/>
      <c r="N25" s="457"/>
      <c r="O25" s="457"/>
      <c r="P25" s="457"/>
      <c r="Q25" s="457"/>
      <c r="R25" s="457"/>
      <c r="S25" s="457"/>
      <c r="T25" s="457"/>
      <c r="U25" s="457"/>
      <c r="V25" s="457"/>
      <c r="W25" s="457"/>
      <c r="X25" s="457"/>
      <c r="Y25" s="457"/>
      <c r="Z25" s="457"/>
      <c r="AA25" s="457"/>
    </row>
    <row r="26" spans="1:27">
      <c r="A26" s="457"/>
      <c r="B26" s="457"/>
      <c r="C26" s="457"/>
      <c r="D26" s="457"/>
      <c r="E26" s="457"/>
      <c r="F26" s="457"/>
      <c r="G26" s="457"/>
      <c r="H26" s="457"/>
      <c r="I26" s="457"/>
      <c r="J26" s="457"/>
      <c r="K26" s="457"/>
      <c r="L26" s="457"/>
      <c r="M26" s="457"/>
      <c r="N26" s="457"/>
      <c r="O26" s="457"/>
      <c r="P26" s="457"/>
      <c r="Q26" s="457"/>
      <c r="R26" s="457"/>
      <c r="S26" s="457"/>
      <c r="T26" s="457"/>
      <c r="U26" s="457"/>
      <c r="V26" s="457"/>
      <c r="W26" s="457"/>
      <c r="X26" s="457"/>
      <c r="Y26" s="457"/>
      <c r="Z26" s="457"/>
      <c r="AA26" s="457"/>
    </row>
    <row r="27" spans="1:27">
      <c r="A27" s="457"/>
      <c r="B27" s="457"/>
      <c r="C27" s="457"/>
      <c r="D27" s="457"/>
      <c r="E27" s="457"/>
      <c r="F27" s="457"/>
      <c r="G27" s="457"/>
      <c r="H27" s="457"/>
      <c r="I27" s="457"/>
      <c r="J27" s="457"/>
      <c r="K27" s="457"/>
      <c r="L27" s="457"/>
      <c r="M27" s="457"/>
      <c r="N27" s="457"/>
      <c r="O27" s="457"/>
      <c r="P27" s="457"/>
      <c r="Q27" s="457"/>
      <c r="R27" s="457"/>
      <c r="S27" s="457"/>
      <c r="T27" s="457"/>
      <c r="U27" s="457"/>
      <c r="V27" s="457"/>
      <c r="W27" s="457"/>
      <c r="X27" s="457"/>
      <c r="Y27" s="457"/>
      <c r="Z27" s="457"/>
      <c r="AA27" s="457"/>
    </row>
    <row r="28" spans="1:27">
      <c r="A28" s="457"/>
      <c r="B28" s="457"/>
      <c r="C28" s="457"/>
      <c r="D28" s="457"/>
      <c r="E28" s="457"/>
      <c r="F28" s="457"/>
      <c r="G28" s="457"/>
      <c r="H28" s="457"/>
      <c r="I28" s="457"/>
      <c r="J28" s="457"/>
      <c r="K28" s="457"/>
      <c r="L28" s="457"/>
      <c r="M28" s="457"/>
      <c r="N28" s="457"/>
      <c r="O28" s="457"/>
      <c r="P28" s="457"/>
      <c r="Q28" s="457"/>
      <c r="R28" s="457"/>
      <c r="S28" s="457"/>
      <c r="T28" s="457"/>
      <c r="U28" s="457"/>
      <c r="V28" s="457"/>
      <c r="W28" s="457"/>
      <c r="X28" s="457"/>
      <c r="Y28" s="457"/>
      <c r="Z28" s="457"/>
      <c r="AA28" s="457"/>
    </row>
    <row r="29" spans="1:27">
      <c r="A29" s="457"/>
      <c r="B29" s="457"/>
      <c r="C29" s="457"/>
      <c r="D29" s="457"/>
      <c r="E29" s="457"/>
      <c r="F29" s="457"/>
      <c r="G29" s="457"/>
      <c r="H29" s="457"/>
      <c r="I29" s="457"/>
      <c r="J29" s="457"/>
      <c r="K29" s="457"/>
      <c r="L29" s="457"/>
      <c r="M29" s="457"/>
      <c r="N29" s="457"/>
      <c r="O29" s="457"/>
      <c r="P29" s="457"/>
      <c r="Q29" s="457"/>
      <c r="R29" s="457"/>
      <c r="S29" s="457"/>
      <c r="T29" s="457"/>
      <c r="U29" s="457"/>
      <c r="V29" s="457"/>
      <c r="W29" s="457"/>
      <c r="X29" s="457"/>
      <c r="Y29" s="457"/>
      <c r="Z29" s="457"/>
      <c r="AA29" s="457"/>
    </row>
    <row r="30" spans="1:27">
      <c r="A30" s="457"/>
      <c r="B30" s="457"/>
      <c r="C30" s="457"/>
      <c r="D30" s="457"/>
      <c r="E30" s="457"/>
      <c r="F30" s="457"/>
      <c r="G30" s="457"/>
      <c r="H30" s="457"/>
      <c r="I30" s="457"/>
      <c r="J30" s="457"/>
      <c r="K30" s="457"/>
      <c r="L30" s="457"/>
      <c r="M30" s="457"/>
      <c r="N30" s="457"/>
      <c r="O30" s="457"/>
      <c r="P30" s="457"/>
      <c r="Q30" s="457"/>
      <c r="R30" s="457"/>
      <c r="S30" s="457"/>
      <c r="T30" s="457"/>
      <c r="U30" s="457"/>
      <c r="V30" s="457"/>
      <c r="W30" s="457"/>
      <c r="X30" s="457"/>
      <c r="Y30" s="457"/>
      <c r="Z30" s="457"/>
      <c r="AA30" s="457"/>
    </row>
    <row r="31" spans="1:27">
      <c r="A31" s="457"/>
      <c r="B31" s="457"/>
      <c r="C31" s="457"/>
      <c r="D31" s="457"/>
      <c r="E31" s="457"/>
      <c r="F31" s="457"/>
      <c r="G31" s="457"/>
      <c r="H31" s="457"/>
      <c r="I31" s="457"/>
      <c r="J31" s="457"/>
      <c r="K31" s="457"/>
      <c r="L31" s="457"/>
      <c r="M31" s="457"/>
      <c r="N31" s="457"/>
      <c r="O31" s="457"/>
      <c r="P31" s="457"/>
      <c r="Q31" s="457"/>
      <c r="R31" s="457"/>
      <c r="S31" s="457"/>
      <c r="T31" s="457"/>
      <c r="U31" s="457"/>
      <c r="V31" s="457"/>
      <c r="W31" s="457"/>
      <c r="X31" s="457"/>
      <c r="Y31" s="457"/>
      <c r="Z31" s="457"/>
      <c r="AA31" s="457"/>
    </row>
    <row r="32" spans="1:27">
      <c r="A32" s="457"/>
      <c r="B32" s="457"/>
      <c r="C32" s="457"/>
      <c r="D32" s="457"/>
      <c r="E32" s="457"/>
      <c r="F32" s="457"/>
      <c r="G32" s="457"/>
      <c r="H32" s="457"/>
      <c r="I32" s="457"/>
      <c r="J32" s="457"/>
      <c r="K32" s="457"/>
      <c r="L32" s="457"/>
      <c r="M32" s="457"/>
      <c r="N32" s="457"/>
      <c r="O32" s="457"/>
      <c r="P32" s="457"/>
      <c r="Q32" s="457"/>
      <c r="R32" s="457"/>
      <c r="S32" s="457"/>
      <c r="T32" s="457"/>
      <c r="U32" s="457"/>
      <c r="V32" s="457"/>
      <c r="W32" s="457"/>
      <c r="X32" s="457"/>
      <c r="Y32" s="457"/>
      <c r="Z32" s="457"/>
      <c r="AA32" s="457"/>
    </row>
    <row r="33" spans="1:27">
      <c r="A33" s="457"/>
      <c r="B33" s="457"/>
      <c r="C33" s="457"/>
      <c r="D33" s="457"/>
      <c r="E33" s="457"/>
      <c r="F33" s="457"/>
      <c r="G33" s="457"/>
      <c r="H33" s="457"/>
      <c r="I33" s="457"/>
      <c r="J33" s="457"/>
      <c r="K33" s="457"/>
      <c r="L33" s="457"/>
      <c r="M33" s="457"/>
      <c r="N33" s="457"/>
      <c r="O33" s="457"/>
      <c r="P33" s="457"/>
      <c r="Q33" s="457"/>
      <c r="R33" s="457"/>
      <c r="S33" s="457"/>
      <c r="T33" s="457"/>
      <c r="U33" s="457"/>
      <c r="V33" s="457"/>
      <c r="W33" s="457"/>
      <c r="X33" s="457"/>
      <c r="Y33" s="457"/>
      <c r="Z33" s="457"/>
      <c r="AA33" s="457"/>
    </row>
    <row r="34" spans="1:27">
      <c r="A34" s="457"/>
      <c r="B34" s="457"/>
      <c r="C34" s="457"/>
      <c r="D34" s="457"/>
      <c r="E34" s="457"/>
      <c r="F34" s="457"/>
      <c r="G34" s="457"/>
      <c r="H34" s="457"/>
      <c r="I34" s="457"/>
      <c r="J34" s="457"/>
      <c r="K34" s="457"/>
      <c r="L34" s="457"/>
      <c r="M34" s="457"/>
      <c r="N34" s="457"/>
      <c r="O34" s="457"/>
      <c r="P34" s="457"/>
      <c r="Q34" s="457"/>
      <c r="R34" s="457"/>
      <c r="S34" s="457"/>
      <c r="T34" s="457"/>
      <c r="U34" s="457"/>
      <c r="V34" s="457"/>
      <c r="W34" s="457"/>
      <c r="X34" s="457"/>
      <c r="Y34" s="457"/>
      <c r="Z34" s="457"/>
      <c r="AA34" s="457"/>
    </row>
    <row r="35" spans="1:27">
      <c r="A35" s="457"/>
      <c r="B35" s="457"/>
      <c r="C35" s="457"/>
      <c r="D35" s="457"/>
      <c r="E35" s="457"/>
      <c r="F35" s="457"/>
      <c r="G35" s="457"/>
      <c r="H35" s="457"/>
      <c r="I35" s="457"/>
      <c r="J35" s="457"/>
      <c r="K35" s="457"/>
      <c r="L35" s="457"/>
      <c r="M35" s="457"/>
      <c r="N35" s="457"/>
      <c r="O35" s="457"/>
      <c r="P35" s="457"/>
      <c r="Q35" s="457"/>
      <c r="R35" s="457"/>
      <c r="S35" s="457"/>
      <c r="T35" s="457"/>
      <c r="U35" s="457"/>
      <c r="V35" s="457"/>
      <c r="W35" s="457"/>
      <c r="X35" s="457"/>
      <c r="Y35" s="457"/>
      <c r="Z35" s="457"/>
      <c r="AA35" s="457"/>
    </row>
    <row r="36" spans="1:27">
      <c r="A36" s="457"/>
      <c r="B36" s="457"/>
      <c r="C36" s="457"/>
      <c r="D36" s="457"/>
      <c r="E36" s="457"/>
      <c r="F36" s="457"/>
      <c r="G36" s="457"/>
      <c r="H36" s="457"/>
      <c r="I36" s="457"/>
      <c r="J36" s="457"/>
      <c r="K36" s="457"/>
      <c r="L36" s="457"/>
      <c r="M36" s="457"/>
      <c r="N36" s="457"/>
      <c r="O36" s="457"/>
      <c r="P36" s="457"/>
      <c r="Q36" s="457"/>
      <c r="R36" s="457"/>
      <c r="S36" s="457"/>
      <c r="T36" s="457"/>
      <c r="U36" s="457"/>
      <c r="V36" s="457"/>
      <c r="W36" s="457"/>
      <c r="X36" s="457"/>
      <c r="Y36" s="457"/>
      <c r="Z36" s="457"/>
      <c r="AA36" s="457"/>
    </row>
    <row r="37" spans="1:27">
      <c r="A37" s="457"/>
      <c r="B37" s="457"/>
      <c r="C37" s="457"/>
      <c r="D37" s="457"/>
      <c r="E37" s="457"/>
      <c r="F37" s="457"/>
      <c r="G37" s="457"/>
      <c r="H37" s="457"/>
      <c r="I37" s="457"/>
      <c r="J37" s="457"/>
      <c r="K37" s="457"/>
      <c r="L37" s="457"/>
      <c r="M37" s="457"/>
      <c r="N37" s="457"/>
      <c r="O37" s="457"/>
      <c r="P37" s="457"/>
      <c r="Q37" s="457"/>
      <c r="R37" s="457"/>
      <c r="S37" s="457"/>
      <c r="T37" s="457"/>
      <c r="U37" s="457"/>
      <c r="V37" s="457"/>
      <c r="W37" s="457"/>
      <c r="X37" s="457"/>
      <c r="Y37" s="457"/>
      <c r="Z37" s="457"/>
      <c r="AA37" s="457"/>
    </row>
    <row r="38" spans="1:27">
      <c r="A38" s="457"/>
      <c r="B38" s="457"/>
      <c r="C38" s="457"/>
      <c r="D38" s="457"/>
      <c r="E38" s="457"/>
      <c r="F38" s="457"/>
      <c r="G38" s="457"/>
      <c r="H38" s="457"/>
      <c r="I38" s="457"/>
      <c r="J38" s="457"/>
      <c r="K38" s="457"/>
      <c r="L38" s="457"/>
      <c r="M38" s="457"/>
      <c r="N38" s="457"/>
      <c r="O38" s="457"/>
      <c r="P38" s="457"/>
      <c r="Q38" s="457"/>
      <c r="R38" s="457"/>
      <c r="S38" s="457"/>
      <c r="T38" s="457"/>
      <c r="U38" s="457"/>
      <c r="V38" s="457"/>
      <c r="W38" s="457"/>
      <c r="X38" s="457"/>
      <c r="Y38" s="457"/>
      <c r="Z38" s="457"/>
      <c r="AA38" s="457"/>
    </row>
    <row r="39" spans="1:27">
      <c r="A39" s="457"/>
      <c r="B39" s="457"/>
      <c r="C39" s="457"/>
      <c r="D39" s="457"/>
      <c r="E39" s="457"/>
      <c r="F39" s="457"/>
      <c r="G39" s="457"/>
      <c r="H39" s="457"/>
      <c r="I39" s="457"/>
      <c r="J39" s="457"/>
      <c r="K39" s="457"/>
      <c r="L39" s="457"/>
      <c r="M39" s="457"/>
      <c r="N39" s="457"/>
      <c r="O39" s="457"/>
      <c r="P39" s="457"/>
      <c r="Q39" s="457"/>
      <c r="R39" s="457"/>
      <c r="S39" s="457"/>
      <c r="T39" s="457"/>
      <c r="U39" s="457"/>
      <c r="V39" s="457"/>
      <c r="W39" s="457"/>
      <c r="X39" s="457"/>
      <c r="Y39" s="457"/>
      <c r="Z39" s="457"/>
      <c r="AA39" s="457"/>
    </row>
    <row r="40" spans="1:27">
      <c r="A40" s="457"/>
      <c r="B40" s="457"/>
      <c r="C40" s="457"/>
      <c r="D40" s="457"/>
      <c r="E40" s="457"/>
      <c r="F40" s="457"/>
      <c r="G40" s="457"/>
      <c r="H40" s="457"/>
      <c r="I40" s="457"/>
      <c r="J40" s="457"/>
      <c r="K40" s="457"/>
      <c r="L40" s="457"/>
      <c r="M40" s="457"/>
      <c r="N40" s="457"/>
      <c r="O40" s="457"/>
      <c r="P40" s="457"/>
      <c r="Q40" s="457"/>
      <c r="R40" s="457"/>
      <c r="S40" s="457"/>
      <c r="T40" s="457"/>
      <c r="U40" s="457"/>
      <c r="V40" s="457"/>
      <c r="W40" s="457"/>
      <c r="X40" s="457"/>
      <c r="Y40" s="457"/>
      <c r="Z40" s="457"/>
      <c r="AA40" s="457"/>
    </row>
    <row r="41" spans="1:27">
      <c r="A41" s="457"/>
      <c r="B41" s="457"/>
      <c r="C41" s="457"/>
      <c r="D41" s="457"/>
      <c r="E41" s="457"/>
      <c r="F41" s="457"/>
      <c r="G41" s="457"/>
      <c r="H41" s="457"/>
      <c r="I41" s="457"/>
      <c r="J41" s="457"/>
      <c r="K41" s="457"/>
      <c r="L41" s="457"/>
      <c r="M41" s="457"/>
      <c r="N41" s="457"/>
      <c r="O41" s="457"/>
      <c r="P41" s="457"/>
      <c r="Q41" s="457"/>
      <c r="R41" s="457"/>
      <c r="S41" s="457"/>
      <c r="T41" s="457"/>
      <c r="U41" s="457"/>
      <c r="V41" s="457"/>
      <c r="W41" s="457"/>
      <c r="X41" s="457"/>
      <c r="Y41" s="457"/>
      <c r="Z41" s="457"/>
      <c r="AA41" s="457"/>
    </row>
    <row r="42" spans="1:27">
      <c r="A42" s="457"/>
      <c r="B42" s="457"/>
      <c r="C42" s="457"/>
      <c r="D42" s="457"/>
      <c r="E42" s="457"/>
      <c r="F42" s="457"/>
      <c r="G42" s="457"/>
      <c r="H42" s="457"/>
      <c r="I42" s="457"/>
      <c r="J42" s="457"/>
      <c r="K42" s="457"/>
      <c r="L42" s="457"/>
      <c r="M42" s="457"/>
      <c r="N42" s="457"/>
      <c r="O42" s="457"/>
      <c r="P42" s="457"/>
      <c r="Q42" s="457"/>
      <c r="R42" s="457"/>
      <c r="S42" s="457"/>
      <c r="T42" s="457"/>
      <c r="U42" s="457"/>
      <c r="V42" s="457"/>
      <c r="W42" s="457"/>
      <c r="X42" s="457"/>
      <c r="Y42" s="457"/>
      <c r="Z42" s="457"/>
      <c r="AA42" s="457"/>
    </row>
    <row r="43" spans="1:27">
      <c r="A43" s="457"/>
      <c r="B43" s="457"/>
      <c r="C43" s="457"/>
      <c r="D43" s="457"/>
      <c r="E43" s="457"/>
      <c r="F43" s="457"/>
      <c r="G43" s="457"/>
      <c r="H43" s="457"/>
      <c r="I43" s="457"/>
      <c r="J43" s="457"/>
      <c r="K43" s="457"/>
      <c r="L43" s="457"/>
      <c r="M43" s="457"/>
      <c r="N43" s="457"/>
      <c r="O43" s="457"/>
      <c r="P43" s="457"/>
      <c r="Q43" s="457"/>
      <c r="R43" s="457"/>
      <c r="S43" s="457"/>
      <c r="T43" s="457"/>
      <c r="U43" s="457"/>
      <c r="V43" s="457"/>
      <c r="W43" s="457"/>
      <c r="X43" s="457"/>
      <c r="Y43" s="457"/>
      <c r="Z43" s="457"/>
      <c r="AA43" s="457"/>
    </row>
    <row r="44" spans="1:27">
      <c r="A44" s="457"/>
      <c r="B44" s="457"/>
      <c r="C44" s="457"/>
      <c r="D44" s="457"/>
      <c r="E44" s="457"/>
      <c r="F44" s="457"/>
      <c r="G44" s="457"/>
      <c r="H44" s="457"/>
      <c r="I44" s="457"/>
      <c r="J44" s="457"/>
      <c r="K44" s="457"/>
      <c r="L44" s="457"/>
      <c r="M44" s="457"/>
      <c r="N44" s="457"/>
      <c r="O44" s="457"/>
      <c r="P44" s="457"/>
      <c r="Q44" s="457"/>
      <c r="R44" s="457"/>
      <c r="S44" s="457"/>
      <c r="T44" s="457"/>
      <c r="U44" s="457"/>
      <c r="V44" s="457"/>
      <c r="W44" s="457"/>
      <c r="X44" s="457"/>
      <c r="Y44" s="457"/>
      <c r="Z44" s="457"/>
      <c r="AA44" s="457"/>
    </row>
    <row r="45" spans="1:27">
      <c r="A45" s="457"/>
      <c r="B45" s="457"/>
      <c r="C45" s="457"/>
      <c r="D45" s="457"/>
      <c r="E45" s="457"/>
      <c r="F45" s="457"/>
      <c r="G45" s="457"/>
      <c r="H45" s="457"/>
      <c r="I45" s="457"/>
      <c r="J45" s="457"/>
      <c r="K45" s="457"/>
      <c r="L45" s="457"/>
      <c r="M45" s="457"/>
      <c r="N45" s="457"/>
      <c r="O45" s="457"/>
      <c r="P45" s="457"/>
      <c r="Q45" s="457"/>
      <c r="R45" s="457"/>
      <c r="S45" s="457"/>
      <c r="T45" s="457"/>
      <c r="U45" s="457"/>
      <c r="V45" s="457"/>
      <c r="W45" s="457"/>
      <c r="X45" s="457"/>
      <c r="Y45" s="457"/>
      <c r="Z45" s="457"/>
      <c r="AA45" s="457"/>
    </row>
    <row r="46" spans="1:27">
      <c r="A46" s="457"/>
      <c r="B46" s="457"/>
      <c r="C46" s="457"/>
      <c r="D46" s="457"/>
      <c r="E46" s="457"/>
      <c r="F46" s="457"/>
      <c r="G46" s="457"/>
      <c r="H46" s="457"/>
      <c r="I46" s="457"/>
      <c r="J46" s="457"/>
      <c r="K46" s="457"/>
      <c r="L46" s="457"/>
      <c r="M46" s="457"/>
      <c r="N46" s="457"/>
      <c r="O46" s="457"/>
      <c r="P46" s="457"/>
      <c r="Q46" s="457"/>
      <c r="R46" s="457"/>
      <c r="S46" s="457"/>
      <c r="T46" s="457"/>
      <c r="U46" s="457"/>
      <c r="V46" s="457"/>
      <c r="W46" s="457"/>
      <c r="X46" s="457"/>
      <c r="Y46" s="457"/>
      <c r="Z46" s="457"/>
      <c r="AA46" s="457"/>
    </row>
    <row r="47" spans="1:27">
      <c r="A47" s="457"/>
      <c r="B47" s="457"/>
      <c r="C47" s="457"/>
      <c r="D47" s="457"/>
      <c r="E47" s="457"/>
      <c r="F47" s="457"/>
      <c r="G47" s="457"/>
      <c r="H47" s="457"/>
      <c r="I47" s="457"/>
      <c r="J47" s="457"/>
      <c r="K47" s="457"/>
      <c r="L47" s="457"/>
      <c r="M47" s="457"/>
      <c r="N47" s="457"/>
      <c r="O47" s="457"/>
      <c r="P47" s="457"/>
      <c r="Q47" s="457"/>
      <c r="R47" s="457"/>
      <c r="S47" s="457"/>
      <c r="T47" s="457"/>
      <c r="U47" s="457"/>
      <c r="V47" s="457"/>
      <c r="W47" s="457"/>
      <c r="X47" s="457"/>
      <c r="Y47" s="457"/>
      <c r="Z47" s="457"/>
      <c r="AA47" s="457"/>
    </row>
    <row r="48" spans="1:27">
      <c r="A48" s="457"/>
      <c r="B48" s="457"/>
      <c r="C48" s="457"/>
      <c r="D48" s="457"/>
      <c r="E48" s="457"/>
      <c r="F48" s="457"/>
      <c r="G48" s="457"/>
      <c r="H48" s="457"/>
      <c r="I48" s="457"/>
      <c r="J48" s="457"/>
      <c r="K48" s="457"/>
      <c r="L48" s="457"/>
      <c r="M48" s="457"/>
      <c r="N48" s="457"/>
      <c r="O48" s="457"/>
      <c r="P48" s="457"/>
      <c r="Q48" s="457"/>
      <c r="R48" s="457"/>
      <c r="S48" s="457"/>
      <c r="T48" s="457"/>
      <c r="U48" s="457"/>
      <c r="V48" s="457"/>
      <c r="W48" s="457"/>
      <c r="X48" s="457"/>
      <c r="Y48" s="457"/>
      <c r="Z48" s="457"/>
      <c r="AA48" s="457"/>
    </row>
    <row r="49" spans="1:27">
      <c r="A49" s="457"/>
      <c r="B49" s="457"/>
      <c r="C49" s="457"/>
      <c r="D49" s="457"/>
      <c r="E49" s="457"/>
      <c r="F49" s="457"/>
      <c r="G49" s="457"/>
      <c r="H49" s="457"/>
      <c r="I49" s="457"/>
      <c r="J49" s="457"/>
      <c r="K49" s="457"/>
      <c r="L49" s="457"/>
      <c r="M49" s="457"/>
      <c r="N49" s="457"/>
      <c r="O49" s="457"/>
      <c r="P49" s="457"/>
      <c r="Q49" s="457"/>
      <c r="R49" s="457"/>
      <c r="S49" s="457"/>
      <c r="T49" s="457"/>
      <c r="U49" s="457"/>
      <c r="V49" s="457"/>
      <c r="W49" s="457"/>
      <c r="X49" s="457"/>
      <c r="Y49" s="457"/>
      <c r="Z49" s="457"/>
      <c r="AA49" s="457"/>
    </row>
    <row r="50" spans="1:27">
      <c r="A50" s="457"/>
      <c r="B50" s="457"/>
      <c r="C50" s="457"/>
      <c r="D50" s="457"/>
      <c r="E50" s="457"/>
      <c r="F50" s="457"/>
      <c r="G50" s="457"/>
      <c r="H50" s="457"/>
      <c r="I50" s="457"/>
      <c r="J50" s="457"/>
      <c r="K50" s="457"/>
      <c r="L50" s="457"/>
      <c r="M50" s="457"/>
      <c r="N50" s="457"/>
      <c r="O50" s="457"/>
      <c r="P50" s="457"/>
      <c r="Q50" s="457"/>
      <c r="R50" s="457"/>
      <c r="S50" s="457"/>
      <c r="T50" s="457"/>
      <c r="U50" s="457"/>
      <c r="V50" s="457"/>
      <c r="W50" s="457"/>
      <c r="X50" s="457"/>
      <c r="Y50" s="457"/>
      <c r="Z50" s="457"/>
      <c r="AA50" s="457"/>
    </row>
    <row r="51" spans="1:27">
      <c r="A51" s="457"/>
      <c r="B51" s="457"/>
      <c r="C51" s="457"/>
      <c r="D51" s="457"/>
      <c r="E51" s="457"/>
      <c r="F51" s="457"/>
      <c r="G51" s="457"/>
      <c r="H51" s="457"/>
      <c r="I51" s="457"/>
      <c r="J51" s="457"/>
      <c r="K51" s="457"/>
      <c r="L51" s="457"/>
      <c r="M51" s="457"/>
      <c r="N51" s="457"/>
      <c r="O51" s="457"/>
      <c r="P51" s="457"/>
      <c r="Q51" s="457"/>
      <c r="R51" s="457"/>
      <c r="S51" s="457"/>
      <c r="T51" s="457"/>
      <c r="U51" s="457"/>
      <c r="V51" s="457"/>
      <c r="W51" s="457"/>
      <c r="X51" s="457"/>
      <c r="Y51" s="457"/>
      <c r="Z51" s="457"/>
      <c r="AA51" s="457"/>
    </row>
    <row r="52" spans="1:27">
      <c r="A52" s="457"/>
      <c r="B52" s="457"/>
      <c r="C52" s="457"/>
      <c r="D52" s="457"/>
      <c r="E52" s="457"/>
      <c r="F52" s="457"/>
      <c r="G52" s="457"/>
      <c r="H52" s="457"/>
      <c r="I52" s="457"/>
      <c r="J52" s="457"/>
      <c r="K52" s="457"/>
      <c r="L52" s="457"/>
      <c r="M52" s="457"/>
      <c r="N52" s="457"/>
      <c r="O52" s="457"/>
      <c r="P52" s="457"/>
      <c r="Q52" s="457"/>
      <c r="R52" s="457"/>
      <c r="S52" s="457"/>
      <c r="T52" s="457"/>
      <c r="U52" s="457"/>
      <c r="V52" s="457"/>
      <c r="W52" s="457"/>
      <c r="X52" s="457"/>
      <c r="Y52" s="457"/>
      <c r="Z52" s="457"/>
      <c r="AA52" s="457"/>
    </row>
    <row r="53" spans="1:27">
      <c r="A53" s="457"/>
      <c r="B53" s="457"/>
      <c r="C53" s="457"/>
      <c r="D53" s="457"/>
      <c r="E53" s="457"/>
      <c r="F53" s="457"/>
      <c r="G53" s="457"/>
      <c r="H53" s="457"/>
      <c r="I53" s="457"/>
      <c r="J53" s="457"/>
      <c r="K53" s="457"/>
      <c r="L53" s="457"/>
      <c r="M53" s="457"/>
      <c r="N53" s="457"/>
      <c r="O53" s="457"/>
      <c r="P53" s="457"/>
      <c r="Q53" s="457"/>
      <c r="R53" s="457"/>
      <c r="S53" s="457"/>
      <c r="T53" s="457"/>
      <c r="U53" s="457"/>
      <c r="V53" s="457"/>
      <c r="W53" s="457"/>
      <c r="X53" s="457"/>
      <c r="Y53" s="457"/>
      <c r="Z53" s="457"/>
      <c r="AA53" s="457"/>
    </row>
    <row r="54" spans="1:27">
      <c r="A54" s="457"/>
      <c r="B54" s="457"/>
      <c r="C54" s="457"/>
      <c r="D54" s="457"/>
      <c r="E54" s="457"/>
      <c r="F54" s="457"/>
      <c r="G54" s="457"/>
      <c r="H54" s="457"/>
      <c r="I54" s="457"/>
      <c r="J54" s="457"/>
      <c r="K54" s="457"/>
      <c r="L54" s="457"/>
      <c r="M54" s="457"/>
      <c r="N54" s="457"/>
      <c r="O54" s="457"/>
      <c r="P54" s="457"/>
      <c r="Q54" s="457"/>
      <c r="R54" s="457"/>
      <c r="S54" s="457"/>
      <c r="T54" s="457"/>
      <c r="U54" s="457"/>
      <c r="V54" s="457"/>
      <c r="W54" s="457"/>
      <c r="X54" s="457"/>
      <c r="Y54" s="457"/>
      <c r="Z54" s="457"/>
      <c r="AA54" s="457"/>
    </row>
    <row r="55" spans="1:27">
      <c r="A55" s="457"/>
      <c r="B55" s="457"/>
      <c r="C55" s="457"/>
      <c r="D55" s="457"/>
      <c r="E55" s="457"/>
      <c r="F55" s="457"/>
      <c r="G55" s="457"/>
      <c r="H55" s="457"/>
      <c r="I55" s="457"/>
      <c r="J55" s="457"/>
      <c r="K55" s="457"/>
      <c r="L55" s="457"/>
      <c r="M55" s="457"/>
      <c r="N55" s="457"/>
      <c r="O55" s="457"/>
      <c r="P55" s="457"/>
      <c r="Q55" s="457"/>
      <c r="R55" s="457"/>
      <c r="S55" s="457"/>
      <c r="T55" s="457"/>
      <c r="U55" s="457"/>
      <c r="V55" s="457"/>
      <c r="W55" s="457"/>
      <c r="X55" s="457"/>
      <c r="Y55" s="457"/>
      <c r="Z55" s="457"/>
      <c r="AA55" s="457"/>
    </row>
    <row r="56" spans="1:27">
      <c r="A56" s="457"/>
      <c r="B56" s="457"/>
      <c r="C56" s="457"/>
      <c r="D56" s="457"/>
      <c r="E56" s="457"/>
      <c r="F56" s="457"/>
      <c r="G56" s="457"/>
      <c r="H56" s="457"/>
      <c r="I56" s="457"/>
      <c r="J56" s="457"/>
      <c r="K56" s="457"/>
      <c r="L56" s="457"/>
      <c r="M56" s="457"/>
      <c r="N56" s="457"/>
      <c r="O56" s="457"/>
      <c r="P56" s="457"/>
      <c r="Q56" s="457"/>
      <c r="R56" s="457"/>
      <c r="S56" s="457"/>
      <c r="T56" s="457"/>
      <c r="U56" s="457"/>
      <c r="V56" s="457"/>
      <c r="W56" s="457"/>
      <c r="X56" s="457"/>
      <c r="Y56" s="457"/>
      <c r="Z56" s="457"/>
      <c r="AA56" s="457"/>
    </row>
    <row r="57" spans="1:27">
      <c r="A57" s="457"/>
      <c r="B57" s="457"/>
      <c r="C57" s="457"/>
      <c r="D57" s="457"/>
      <c r="E57" s="457"/>
      <c r="F57" s="457"/>
      <c r="G57" s="457"/>
      <c r="H57" s="457"/>
      <c r="I57" s="457"/>
      <c r="J57" s="457"/>
      <c r="K57" s="457"/>
      <c r="L57" s="457"/>
      <c r="M57" s="457"/>
      <c r="N57" s="457"/>
      <c r="O57" s="457"/>
      <c r="P57" s="457"/>
      <c r="Q57" s="457"/>
      <c r="R57" s="457"/>
      <c r="S57" s="457"/>
      <c r="T57" s="457"/>
      <c r="U57" s="457"/>
      <c r="V57" s="457"/>
      <c r="W57" s="457"/>
      <c r="X57" s="457"/>
      <c r="Y57" s="457"/>
      <c r="Z57" s="457"/>
      <c r="AA57" s="457"/>
    </row>
    <row r="58" spans="1:27">
      <c r="A58" s="457"/>
      <c r="B58" s="457"/>
      <c r="C58" s="457"/>
      <c r="D58" s="457"/>
      <c r="E58" s="457"/>
      <c r="F58" s="457"/>
      <c r="G58" s="457"/>
      <c r="H58" s="457"/>
      <c r="I58" s="457"/>
      <c r="J58" s="457"/>
      <c r="K58" s="457"/>
      <c r="L58" s="457"/>
      <c r="M58" s="457"/>
      <c r="N58" s="457"/>
      <c r="O58" s="457"/>
      <c r="P58" s="457"/>
      <c r="Q58" s="457"/>
      <c r="R58" s="457"/>
      <c r="S58" s="457"/>
      <c r="T58" s="457"/>
      <c r="U58" s="457"/>
      <c r="V58" s="457"/>
      <c r="W58" s="457"/>
      <c r="X58" s="457"/>
      <c r="Y58" s="457"/>
      <c r="Z58" s="457"/>
      <c r="AA58" s="457"/>
    </row>
    <row r="59" spans="1:27">
      <c r="A59" s="457"/>
      <c r="B59" s="457"/>
      <c r="C59" s="457"/>
      <c r="D59" s="457"/>
      <c r="E59" s="457"/>
      <c r="F59" s="457"/>
      <c r="G59" s="457"/>
      <c r="H59" s="457"/>
      <c r="I59" s="457"/>
      <c r="J59" s="457"/>
      <c r="K59" s="457"/>
      <c r="L59" s="457"/>
      <c r="M59" s="457"/>
      <c r="N59" s="457"/>
      <c r="O59" s="457"/>
      <c r="P59" s="457"/>
      <c r="Q59" s="457"/>
      <c r="R59" s="457"/>
      <c r="S59" s="457"/>
      <c r="T59" s="457"/>
      <c r="U59" s="457"/>
      <c r="V59" s="457"/>
      <c r="W59" s="457"/>
      <c r="X59" s="457"/>
      <c r="Y59" s="457"/>
      <c r="Z59" s="457"/>
      <c r="AA59" s="457"/>
    </row>
    <row r="60" spans="1:27">
      <c r="A60" s="457"/>
      <c r="B60" s="457"/>
      <c r="C60" s="457"/>
      <c r="D60" s="457"/>
      <c r="E60" s="457"/>
      <c r="F60" s="457"/>
      <c r="G60" s="457"/>
      <c r="H60" s="457"/>
      <c r="I60" s="457"/>
      <c r="J60" s="457"/>
      <c r="K60" s="457"/>
      <c r="L60" s="457"/>
      <c r="M60" s="457"/>
      <c r="N60" s="457"/>
      <c r="O60" s="457"/>
      <c r="P60" s="457"/>
      <c r="Q60" s="457"/>
      <c r="R60" s="457"/>
      <c r="S60" s="457"/>
      <c r="T60" s="457"/>
      <c r="U60" s="457"/>
      <c r="V60" s="457"/>
      <c r="W60" s="457"/>
      <c r="X60" s="457"/>
      <c r="Y60" s="457"/>
      <c r="Z60" s="457"/>
      <c r="AA60" s="457"/>
    </row>
    <row r="61" spans="1:27">
      <c r="A61" s="457"/>
      <c r="B61" s="457"/>
      <c r="C61" s="457"/>
      <c r="D61" s="457"/>
      <c r="E61" s="457"/>
      <c r="F61" s="457"/>
      <c r="G61" s="457"/>
      <c r="H61" s="457"/>
      <c r="I61" s="457"/>
      <c r="J61" s="457"/>
      <c r="K61" s="457"/>
      <c r="L61" s="457"/>
      <c r="M61" s="457"/>
      <c r="N61" s="457"/>
      <c r="O61" s="457"/>
      <c r="P61" s="457"/>
      <c r="Q61" s="457"/>
      <c r="R61" s="457"/>
      <c r="S61" s="457"/>
      <c r="T61" s="457"/>
      <c r="U61" s="457"/>
      <c r="V61" s="457"/>
      <c r="W61" s="457"/>
      <c r="X61" s="457"/>
      <c r="Y61" s="457"/>
      <c r="Z61" s="457"/>
      <c r="AA61" s="457"/>
    </row>
    <row r="62" spans="1:27">
      <c r="A62" s="457"/>
      <c r="B62" s="457"/>
      <c r="C62" s="457"/>
      <c r="D62" s="457"/>
      <c r="E62" s="457"/>
      <c r="F62" s="457"/>
      <c r="G62" s="457"/>
      <c r="H62" s="457"/>
      <c r="I62" s="457"/>
      <c r="J62" s="457"/>
      <c r="K62" s="457"/>
      <c r="L62" s="457"/>
      <c r="M62" s="457"/>
      <c r="N62" s="457"/>
      <c r="O62" s="457"/>
      <c r="P62" s="457"/>
      <c r="Q62" s="457"/>
      <c r="R62" s="457"/>
      <c r="S62" s="457"/>
      <c r="T62" s="457"/>
      <c r="U62" s="457"/>
      <c r="V62" s="457"/>
      <c r="W62" s="457"/>
      <c r="X62" s="457"/>
      <c r="Y62" s="457"/>
      <c r="Z62" s="457"/>
      <c r="AA62" s="457"/>
    </row>
    <row r="63" spans="1:27">
      <c r="A63" s="457"/>
      <c r="B63" s="457"/>
      <c r="C63" s="457"/>
      <c r="D63" s="457"/>
      <c r="E63" s="457"/>
      <c r="F63" s="457"/>
      <c r="G63" s="457"/>
      <c r="H63" s="457"/>
      <c r="I63" s="457"/>
      <c r="J63" s="457"/>
      <c r="K63" s="457"/>
      <c r="L63" s="457"/>
      <c r="M63" s="457"/>
      <c r="N63" s="457"/>
      <c r="O63" s="457"/>
      <c r="P63" s="457"/>
      <c r="Q63" s="457"/>
      <c r="R63" s="457"/>
      <c r="S63" s="457"/>
      <c r="T63" s="457"/>
      <c r="U63" s="457"/>
      <c r="V63" s="457"/>
      <c r="W63" s="457"/>
      <c r="X63" s="457"/>
      <c r="Y63" s="457"/>
      <c r="Z63" s="457"/>
      <c r="AA63" s="457"/>
    </row>
    <row r="64" spans="1:27">
      <c r="A64" s="457"/>
      <c r="B64" s="457"/>
      <c r="C64" s="457"/>
      <c r="D64" s="457"/>
      <c r="E64" s="457"/>
      <c r="F64" s="457"/>
      <c r="G64" s="457"/>
      <c r="H64" s="457"/>
      <c r="I64" s="457"/>
      <c r="J64" s="457"/>
      <c r="K64" s="457"/>
      <c r="L64" s="457"/>
      <c r="M64" s="457"/>
      <c r="N64" s="457"/>
      <c r="O64" s="457"/>
      <c r="P64" s="457"/>
      <c r="Q64" s="457"/>
      <c r="R64" s="457"/>
      <c r="S64" s="457"/>
      <c r="T64" s="457"/>
      <c r="U64" s="457"/>
      <c r="V64" s="457"/>
      <c r="W64" s="457"/>
      <c r="X64" s="457"/>
      <c r="Y64" s="457"/>
      <c r="Z64" s="457"/>
      <c r="AA64" s="457"/>
    </row>
    <row r="65" spans="1:27">
      <c r="A65" s="457"/>
      <c r="B65" s="457"/>
      <c r="C65" s="457"/>
      <c r="D65" s="457"/>
      <c r="E65" s="457"/>
      <c r="F65" s="457"/>
      <c r="G65" s="457"/>
      <c r="H65" s="457"/>
      <c r="I65" s="457"/>
      <c r="J65" s="457"/>
      <c r="K65" s="457"/>
      <c r="L65" s="457"/>
      <c r="M65" s="457"/>
      <c r="N65" s="457"/>
      <c r="O65" s="457"/>
      <c r="P65" s="457"/>
      <c r="Q65" s="457"/>
      <c r="R65" s="457"/>
      <c r="S65" s="457"/>
      <c r="T65" s="457"/>
      <c r="U65" s="457"/>
      <c r="V65" s="457"/>
      <c r="W65" s="457"/>
      <c r="X65" s="457"/>
      <c r="Y65" s="457"/>
      <c r="Z65" s="457"/>
      <c r="AA65" s="457"/>
    </row>
  </sheetData>
  <mergeCells count="3">
    <mergeCell ref="A25:B25"/>
    <mergeCell ref="C25:D25"/>
    <mergeCell ref="C23:D2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1">
    <tabColor rgb="FFFFFF00"/>
  </sheetPr>
  <dimension ref="A1:O231"/>
  <sheetViews>
    <sheetView showGridLines="0" topLeftCell="A49" workbookViewId="0">
      <selection activeCell="K22" sqref="K22"/>
    </sheetView>
  </sheetViews>
  <sheetFormatPr defaultRowHeight="12.5"/>
  <cols>
    <col min="1" max="1" width="17.453125" customWidth="1"/>
    <col min="2" max="2" width="13.1796875" customWidth="1"/>
    <col min="3" max="3" width="14.54296875" customWidth="1"/>
    <col min="4" max="4" width="13" customWidth="1"/>
    <col min="5" max="5" width="18.1796875" customWidth="1"/>
    <col min="6" max="6" width="14.1796875" customWidth="1"/>
    <col min="7" max="7" width="15.1796875" customWidth="1"/>
    <col min="8" max="8" width="16.453125" customWidth="1"/>
    <col min="9" max="9" width="19.54296875" customWidth="1"/>
    <col min="10" max="10" width="14.54296875" customWidth="1"/>
    <col min="11" max="11" width="15.54296875" customWidth="1"/>
    <col min="12" max="12" width="10.54296875" bestFit="1" customWidth="1"/>
    <col min="13" max="13" width="9.81640625" bestFit="1" customWidth="1"/>
  </cols>
  <sheetData>
    <row r="1" spans="1:11">
      <c r="A1" s="668" t="s">
        <v>434</v>
      </c>
      <c r="B1" s="668"/>
      <c r="C1" s="668"/>
      <c r="D1" s="668"/>
      <c r="E1" s="668"/>
      <c r="F1" s="668"/>
      <c r="G1" s="668"/>
      <c r="H1" s="668"/>
      <c r="I1" s="668"/>
    </row>
    <row r="2" spans="1:11">
      <c r="A2" s="669"/>
      <c r="B2" s="669"/>
      <c r="C2" s="669"/>
      <c r="D2" s="669"/>
      <c r="E2" s="669"/>
      <c r="F2" s="669"/>
      <c r="G2" s="669"/>
      <c r="H2" s="669"/>
      <c r="I2" s="669"/>
    </row>
    <row r="3" spans="1:11" ht="13">
      <c r="A3" s="732" t="s">
        <v>225</v>
      </c>
      <c r="B3" s="733"/>
      <c r="C3" s="733"/>
      <c r="D3" s="157">
        <v>45428</v>
      </c>
      <c r="E3" s="158" t="s">
        <v>226</v>
      </c>
      <c r="F3" s="159" t="s">
        <v>435</v>
      </c>
      <c r="G3" s="158" t="s">
        <v>227</v>
      </c>
      <c r="H3" s="734" t="s">
        <v>244</v>
      </c>
      <c r="I3" s="735"/>
    </row>
    <row r="4" spans="1:11" ht="20.5" customHeight="1">
      <c r="A4" s="674" t="s">
        <v>217</v>
      </c>
      <c r="B4" s="675"/>
      <c r="C4" s="670"/>
      <c r="D4" s="670"/>
      <c r="E4" s="670"/>
      <c r="F4" s="670"/>
      <c r="G4" s="670"/>
      <c r="H4" s="670"/>
      <c r="I4" s="670"/>
    </row>
    <row r="5" spans="1:11" ht="24.5" customHeight="1">
      <c r="A5" s="72" t="s">
        <v>218</v>
      </c>
      <c r="B5" s="672"/>
      <c r="C5" s="673"/>
      <c r="D5" s="673"/>
      <c r="E5" s="76"/>
      <c r="F5" s="76"/>
      <c r="G5" s="76"/>
      <c r="H5" s="76"/>
      <c r="I5" s="76"/>
    </row>
    <row r="6" spans="1:11" ht="22.5" customHeight="1">
      <c r="A6" s="72" t="s">
        <v>219</v>
      </c>
      <c r="B6" s="671"/>
      <c r="C6" s="671"/>
      <c r="D6" s="671"/>
      <c r="E6" s="671"/>
      <c r="F6" s="671"/>
      <c r="G6" s="671"/>
      <c r="H6" s="671"/>
      <c r="I6" s="671"/>
    </row>
    <row r="7" spans="1:11" ht="19.5" customHeight="1">
      <c r="A7" s="72" t="s">
        <v>220</v>
      </c>
      <c r="B7" s="671"/>
      <c r="C7" s="671"/>
      <c r="D7" s="671"/>
      <c r="E7" s="671"/>
      <c r="F7" s="671"/>
      <c r="G7" s="671"/>
      <c r="H7" s="671"/>
      <c r="I7" s="671"/>
    </row>
    <row r="8" spans="1:11">
      <c r="A8" s="76"/>
      <c r="B8" s="76"/>
      <c r="C8" s="76"/>
      <c r="D8" s="76"/>
      <c r="E8" s="76"/>
      <c r="F8" s="76"/>
      <c r="G8" s="76"/>
      <c r="H8" s="76"/>
      <c r="I8" s="76"/>
    </row>
    <row r="9" spans="1:11">
      <c r="A9" s="729" t="s">
        <v>36</v>
      </c>
      <c r="B9" s="729"/>
      <c r="C9" s="729"/>
      <c r="D9" s="729"/>
      <c r="E9" s="729"/>
      <c r="F9" s="729"/>
      <c r="G9" s="729"/>
      <c r="H9" s="729"/>
      <c r="I9" s="729"/>
      <c r="J9" s="155"/>
      <c r="K9" s="155"/>
    </row>
    <row r="10" spans="1:11">
      <c r="A10" s="730"/>
      <c r="B10" s="730"/>
      <c r="C10" s="730"/>
      <c r="D10" s="730"/>
      <c r="E10" s="730"/>
      <c r="F10" s="730"/>
      <c r="G10" s="730"/>
      <c r="H10" s="730"/>
      <c r="I10" s="730"/>
      <c r="J10" s="155"/>
      <c r="K10" s="155"/>
    </row>
    <row r="11" spans="1:11" ht="21" customHeight="1">
      <c r="A11" s="736" t="s">
        <v>122</v>
      </c>
      <c r="B11" s="736"/>
      <c r="C11" s="736"/>
      <c r="D11" s="736"/>
      <c r="E11" s="143">
        <v>45292</v>
      </c>
      <c r="F11" s="160"/>
      <c r="G11" s="160"/>
      <c r="H11" s="160"/>
      <c r="I11" s="161"/>
      <c r="J11" s="155"/>
      <c r="K11" s="155"/>
    </row>
    <row r="12" spans="1:11" ht="13.5" customHeight="1">
      <c r="A12" s="737"/>
      <c r="B12" s="737"/>
      <c r="C12" s="737"/>
      <c r="D12" s="737"/>
      <c r="E12" s="737"/>
      <c r="F12" s="737"/>
      <c r="G12" s="737"/>
      <c r="H12" s="737"/>
      <c r="I12" s="737"/>
      <c r="J12" s="155"/>
      <c r="K12" s="155"/>
    </row>
    <row r="13" spans="1:11" ht="18.5" customHeight="1">
      <c r="A13" s="723" t="s">
        <v>37</v>
      </c>
      <c r="B13" s="722" t="s">
        <v>190</v>
      </c>
      <c r="C13" s="723"/>
      <c r="D13" s="731">
        <v>1734.08</v>
      </c>
      <c r="E13" s="731"/>
      <c r="F13" s="731"/>
      <c r="G13" s="720" t="s">
        <v>282</v>
      </c>
      <c r="H13" s="1076" t="s">
        <v>283</v>
      </c>
      <c r="I13" s="1077"/>
      <c r="J13" s="155"/>
      <c r="K13" s="155"/>
    </row>
    <row r="14" spans="1:11" ht="19" customHeight="1">
      <c r="A14" s="663"/>
      <c r="B14" s="724" t="s">
        <v>375</v>
      </c>
      <c r="C14" s="663"/>
      <c r="D14" s="717">
        <v>1590</v>
      </c>
      <c r="E14" s="718"/>
      <c r="F14" s="719"/>
      <c r="G14" s="721"/>
      <c r="H14" s="1078"/>
      <c r="I14" s="1078"/>
      <c r="J14" s="155"/>
      <c r="K14" s="155"/>
    </row>
    <row r="15" spans="1:11" ht="17.5" customHeight="1">
      <c r="A15" s="663"/>
      <c r="B15" s="724" t="s">
        <v>376</v>
      </c>
      <c r="C15" s="663"/>
      <c r="D15" s="717">
        <f>(D14*0.6)</f>
        <v>954</v>
      </c>
      <c r="E15" s="718"/>
      <c r="F15" s="719"/>
      <c r="G15" s="721"/>
      <c r="H15" s="1078"/>
      <c r="I15" s="1078"/>
      <c r="J15" s="155"/>
      <c r="K15" s="155"/>
    </row>
    <row r="16" spans="1:11" ht="17.5" customHeight="1">
      <c r="A16" s="663"/>
      <c r="B16" s="724" t="s">
        <v>194</v>
      </c>
      <c r="C16" s="663"/>
      <c r="D16" s="717">
        <v>1742.91</v>
      </c>
      <c r="E16" s="718"/>
      <c r="F16" s="719"/>
      <c r="G16" s="721"/>
      <c r="H16" s="1078"/>
      <c r="I16" s="1078"/>
      <c r="J16" s="155"/>
      <c r="K16" s="155"/>
    </row>
    <row r="17" spans="1:11" ht="17.5" customHeight="1">
      <c r="A17" s="663"/>
      <c r="B17" s="725" t="s">
        <v>224</v>
      </c>
      <c r="C17" s="724"/>
      <c r="D17" s="726">
        <v>1590</v>
      </c>
      <c r="E17" s="727"/>
      <c r="F17" s="728"/>
      <c r="G17" s="721"/>
      <c r="H17" s="1078"/>
      <c r="I17" s="1078"/>
      <c r="J17" s="155"/>
      <c r="K17" s="155"/>
    </row>
    <row r="18" spans="1:11" ht="17" customHeight="1">
      <c r="A18" s="663"/>
      <c r="B18" s="663" t="s">
        <v>221</v>
      </c>
      <c r="C18" s="663"/>
      <c r="D18" s="717">
        <v>1412</v>
      </c>
      <c r="E18" s="718"/>
      <c r="F18" s="719"/>
      <c r="G18" s="721"/>
      <c r="H18" s="1078"/>
      <c r="I18" s="1078"/>
      <c r="J18" s="155"/>
      <c r="K18" s="155"/>
    </row>
    <row r="19" spans="1:11">
      <c r="A19" s="680"/>
      <c r="B19" s="680"/>
      <c r="C19" s="680"/>
      <c r="D19" s="680"/>
      <c r="E19" s="680"/>
      <c r="F19" s="680"/>
      <c r="G19" s="680"/>
      <c r="H19" s="680"/>
      <c r="I19" s="680"/>
      <c r="J19" s="155"/>
      <c r="K19" s="155"/>
    </row>
    <row r="20" spans="1:11" ht="13">
      <c r="A20" s="664" t="s">
        <v>38</v>
      </c>
      <c r="B20" s="664"/>
      <c r="C20" s="664"/>
      <c r="D20" s="664"/>
      <c r="E20" s="664"/>
      <c r="F20" s="664"/>
      <c r="G20" s="664"/>
      <c r="H20" s="664"/>
      <c r="I20" s="664"/>
      <c r="J20" s="155"/>
      <c r="K20" s="155"/>
    </row>
    <row r="21" spans="1:11" ht="13">
      <c r="A21" s="664" t="s">
        <v>39</v>
      </c>
      <c r="B21" s="664"/>
      <c r="C21" s="664"/>
      <c r="D21" s="664"/>
      <c r="E21" s="664"/>
      <c r="F21" s="664"/>
      <c r="G21" s="664"/>
      <c r="H21" s="664"/>
      <c r="I21" s="664"/>
      <c r="J21" s="155"/>
      <c r="K21" s="155"/>
    </row>
    <row r="22" spans="1:11" ht="20.5" customHeight="1">
      <c r="A22" s="162" t="s">
        <v>40</v>
      </c>
      <c r="B22" s="77">
        <v>0.03</v>
      </c>
      <c r="C22" s="163"/>
      <c r="D22" s="713" t="s">
        <v>41</v>
      </c>
      <c r="E22" s="713" t="s">
        <v>41</v>
      </c>
      <c r="F22" s="78">
        <v>1</v>
      </c>
      <c r="G22" s="714"/>
      <c r="H22" s="714"/>
      <c r="I22" s="714"/>
      <c r="J22" s="155"/>
      <c r="K22" s="155"/>
    </row>
    <row r="23" spans="1:11">
      <c r="A23" s="715"/>
      <c r="B23" s="715"/>
      <c r="C23" s="715"/>
      <c r="D23" s="715"/>
      <c r="E23" s="715"/>
      <c r="F23" s="715"/>
      <c r="G23" s="715"/>
      <c r="H23" s="715"/>
      <c r="I23" s="715"/>
      <c r="J23" s="155"/>
      <c r="K23" s="155"/>
    </row>
    <row r="24" spans="1:11" ht="13">
      <c r="A24" s="716" t="s">
        <v>42</v>
      </c>
      <c r="B24" s="716"/>
      <c r="C24" s="716"/>
      <c r="D24" s="716"/>
      <c r="E24" s="716"/>
      <c r="F24" s="716"/>
      <c r="G24" s="716"/>
      <c r="H24" s="716"/>
      <c r="I24" s="716"/>
      <c r="J24" s="155"/>
      <c r="K24" s="155"/>
    </row>
    <row r="25" spans="1:11" ht="13">
      <c r="A25" s="708" t="s">
        <v>43</v>
      </c>
      <c r="B25" s="708"/>
      <c r="C25" s="708"/>
      <c r="D25" s="164" t="s">
        <v>44</v>
      </c>
      <c r="E25" s="709" t="s">
        <v>45</v>
      </c>
      <c r="F25" s="709"/>
      <c r="G25" s="710" t="s">
        <v>46</v>
      </c>
      <c r="H25" s="711"/>
      <c r="I25" s="165" t="s">
        <v>47</v>
      </c>
      <c r="J25" s="155"/>
      <c r="K25" s="155"/>
    </row>
    <row r="26" spans="1:11" ht="21" customHeight="1">
      <c r="A26" s="708"/>
      <c r="B26" s="708"/>
      <c r="C26" s="708"/>
      <c r="D26" s="166">
        <v>21.725999999999999</v>
      </c>
      <c r="E26" s="712">
        <v>19.77</v>
      </c>
      <c r="F26" s="712"/>
      <c r="G26" s="28">
        <f>H26/E26</f>
        <v>6.676783004552353E-2</v>
      </c>
      <c r="H26" s="296">
        <v>1.32</v>
      </c>
      <c r="I26" s="167">
        <f>ROUND((E26-H26)*D26,2)</f>
        <v>400.84</v>
      </c>
      <c r="J26" s="155"/>
      <c r="K26" s="155"/>
    </row>
    <row r="27" spans="1:11" ht="13">
      <c r="A27" s="708" t="s">
        <v>48</v>
      </c>
      <c r="B27" s="708"/>
      <c r="C27" s="708"/>
      <c r="D27" s="747" t="s">
        <v>49</v>
      </c>
      <c r="E27" s="747"/>
      <c r="F27" s="748" t="s">
        <v>239</v>
      </c>
      <c r="G27" s="748"/>
      <c r="H27" s="748"/>
      <c r="I27" s="168" t="s">
        <v>47</v>
      </c>
      <c r="J27" s="155"/>
      <c r="K27" s="155"/>
    </row>
    <row r="28" spans="1:11" ht="19" customHeight="1">
      <c r="A28" s="708"/>
      <c r="B28" s="708"/>
      <c r="C28" s="708"/>
      <c r="D28" s="738">
        <v>0</v>
      </c>
      <c r="E28" s="738"/>
      <c r="F28" s="738">
        <f>D28*0.8</f>
        <v>0</v>
      </c>
      <c r="G28" s="738"/>
      <c r="H28" s="738"/>
      <c r="I28" s="169">
        <f>D28-F28</f>
        <v>0</v>
      </c>
      <c r="J28" s="155"/>
      <c r="K28" s="155"/>
    </row>
    <row r="29" spans="1:11" ht="39">
      <c r="A29" s="708" t="s">
        <v>50</v>
      </c>
      <c r="B29" s="708"/>
      <c r="C29" s="708"/>
      <c r="D29" s="168" t="s">
        <v>222</v>
      </c>
      <c r="E29" s="742" t="s">
        <v>51</v>
      </c>
      <c r="F29" s="742"/>
      <c r="G29" s="742"/>
      <c r="H29" s="742"/>
      <c r="I29" s="4" t="s">
        <v>47</v>
      </c>
      <c r="J29" s="155"/>
      <c r="K29" s="155"/>
    </row>
    <row r="30" spans="1:11" ht="22.5" customHeight="1">
      <c r="A30" s="708"/>
      <c r="B30" s="708"/>
      <c r="C30" s="708"/>
      <c r="D30" s="170">
        <f>D18*0.3</f>
        <v>423.59999999999997</v>
      </c>
      <c r="E30" s="743">
        <v>1.4000000000000002E-3</v>
      </c>
      <c r="F30" s="743"/>
      <c r="G30" s="743"/>
      <c r="H30" s="743"/>
      <c r="I30" s="5">
        <f>D30*E30/12</f>
        <v>4.9419999999999999E-2</v>
      </c>
      <c r="J30" s="155"/>
      <c r="K30" s="155"/>
    </row>
    <row r="31" spans="1:11" ht="26.25" customHeight="1">
      <c r="A31" s="708" t="s">
        <v>191</v>
      </c>
      <c r="B31" s="708"/>
      <c r="C31" s="708"/>
      <c r="D31" s="168" t="s">
        <v>52</v>
      </c>
      <c r="E31" s="742" t="s">
        <v>45</v>
      </c>
      <c r="F31" s="742"/>
      <c r="G31" s="744" t="s">
        <v>237</v>
      </c>
      <c r="H31" s="745"/>
      <c r="I31" s="4" t="s">
        <v>47</v>
      </c>
      <c r="J31" s="155"/>
      <c r="K31" s="155"/>
    </row>
    <row r="32" spans="1:11" ht="17.5" customHeight="1">
      <c r="A32" s="708"/>
      <c r="B32" s="708"/>
      <c r="C32" s="708"/>
      <c r="D32" s="171">
        <v>1</v>
      </c>
      <c r="E32" s="746">
        <v>33.65</v>
      </c>
      <c r="F32" s="746"/>
      <c r="G32" s="740">
        <v>0</v>
      </c>
      <c r="H32" s="741"/>
      <c r="I32" s="5">
        <f>E32-G32</f>
        <v>33.65</v>
      </c>
      <c r="J32" s="155"/>
      <c r="K32" s="155"/>
    </row>
    <row r="33" spans="1:13" ht="19" customHeight="1">
      <c r="A33" s="739" t="s">
        <v>53</v>
      </c>
      <c r="B33" s="739"/>
      <c r="C33" s="739"/>
      <c r="D33" s="172">
        <v>1</v>
      </c>
      <c r="E33" s="738">
        <v>137.79</v>
      </c>
      <c r="F33" s="738"/>
      <c r="G33" s="740">
        <v>0</v>
      </c>
      <c r="H33" s="741"/>
      <c r="I33" s="6">
        <f>E33-G33</f>
        <v>137.79</v>
      </c>
      <c r="J33" s="155"/>
      <c r="K33" s="155"/>
    </row>
    <row r="34" spans="1:13" ht="13">
      <c r="A34" s="689" t="s">
        <v>238</v>
      </c>
      <c r="B34" s="690"/>
      <c r="C34" s="691"/>
      <c r="D34" s="168" t="s">
        <v>52</v>
      </c>
      <c r="E34" s="695" t="s">
        <v>45</v>
      </c>
      <c r="F34" s="695"/>
      <c r="G34" s="696" t="s">
        <v>237</v>
      </c>
      <c r="H34" s="697"/>
      <c r="I34" s="4" t="s">
        <v>47</v>
      </c>
      <c r="J34" s="155"/>
      <c r="K34" s="155"/>
    </row>
    <row r="35" spans="1:13" ht="22" customHeight="1">
      <c r="A35" s="692"/>
      <c r="B35" s="693"/>
      <c r="C35" s="694"/>
      <c r="D35" s="253">
        <v>1</v>
      </c>
      <c r="E35" s="698">
        <v>15.2</v>
      </c>
      <c r="F35" s="698"/>
      <c r="G35" s="699">
        <v>0</v>
      </c>
      <c r="H35" s="700"/>
      <c r="I35" s="7">
        <f>E35-G35</f>
        <v>15.2</v>
      </c>
      <c r="J35" s="155"/>
      <c r="K35" s="155"/>
    </row>
    <row r="36" spans="1:13" ht="42" customHeight="1">
      <c r="A36" s="703" t="s">
        <v>192</v>
      </c>
      <c r="B36" s="703"/>
      <c r="C36" s="703"/>
      <c r="D36" s="704" t="s">
        <v>422</v>
      </c>
      <c r="E36" s="704"/>
      <c r="F36" s="704"/>
      <c r="G36" s="704"/>
      <c r="H36" s="704"/>
      <c r="I36" s="704"/>
      <c r="J36" s="155"/>
      <c r="K36" s="155"/>
    </row>
    <row r="37" spans="1:13">
      <c r="A37" s="687"/>
      <c r="B37" s="687"/>
      <c r="C37" s="687"/>
      <c r="D37" s="687"/>
      <c r="E37" s="687"/>
      <c r="F37" s="687"/>
      <c r="G37" s="687"/>
      <c r="H37" s="687"/>
      <c r="I37" s="687"/>
      <c r="J37" s="155"/>
      <c r="K37" s="155"/>
    </row>
    <row r="38" spans="1:13" ht="13">
      <c r="A38" s="705" t="s">
        <v>54</v>
      </c>
      <c r="B38" s="705"/>
      <c r="C38" s="705"/>
      <c r="D38" s="705"/>
      <c r="E38" s="705"/>
      <c r="F38" s="705"/>
      <c r="G38" s="705"/>
      <c r="H38" s="705"/>
      <c r="I38" s="705"/>
      <c r="J38" s="705"/>
      <c r="K38" s="705"/>
      <c r="L38" s="705"/>
      <c r="M38" s="705"/>
    </row>
    <row r="39" spans="1:13" ht="12.75" customHeight="1">
      <c r="A39" s="173" t="s">
        <v>55</v>
      </c>
      <c r="B39" s="174" t="s">
        <v>56</v>
      </c>
      <c r="C39" s="174" t="s">
        <v>57</v>
      </c>
      <c r="D39" s="175" t="s">
        <v>58</v>
      </c>
      <c r="E39" s="174" t="s">
        <v>59</v>
      </c>
      <c r="F39" s="176" t="s">
        <v>377</v>
      </c>
      <c r="G39" s="176" t="s">
        <v>369</v>
      </c>
      <c r="H39" s="173" t="s">
        <v>194</v>
      </c>
      <c r="I39" s="19" t="s">
        <v>190</v>
      </c>
      <c r="J39" s="177" t="s">
        <v>293</v>
      </c>
      <c r="K39" s="177" t="s">
        <v>294</v>
      </c>
      <c r="L39" s="178" t="s">
        <v>196</v>
      </c>
      <c r="M39" s="178" t="s">
        <v>197</v>
      </c>
    </row>
    <row r="40" spans="1:13" ht="17.5" customHeight="1">
      <c r="A40" s="179" t="s">
        <v>245</v>
      </c>
      <c r="B40" s="80">
        <v>2</v>
      </c>
      <c r="C40" s="180">
        <v>21.725999999999999</v>
      </c>
      <c r="D40" s="181">
        <v>5.2</v>
      </c>
      <c r="E40" s="182">
        <f t="shared" ref="E40:E49" si="0">B40*C40*D40</f>
        <v>225.9504</v>
      </c>
      <c r="F40" s="183">
        <f>0.06*$D$14</f>
        <v>95.399999999999991</v>
      </c>
      <c r="G40" s="183">
        <f>0.06*$D$15</f>
        <v>57.239999999999995</v>
      </c>
      <c r="H40" s="183">
        <f>0.06*$D$16</f>
        <v>104.5746</v>
      </c>
      <c r="I40" s="183">
        <f>0.06*$D$13</f>
        <v>104.0448</v>
      </c>
      <c r="J40" s="20">
        <f>E40-F40</f>
        <v>130.55040000000002</v>
      </c>
      <c r="K40" s="20">
        <f>E40-G40</f>
        <v>168.71039999999999</v>
      </c>
      <c r="L40" s="20">
        <f>E40-H40</f>
        <v>121.3758</v>
      </c>
      <c r="M40" s="20">
        <f>E40-I40</f>
        <v>121.90560000000001</v>
      </c>
    </row>
    <row r="41" spans="1:13" ht="17.5" customHeight="1">
      <c r="A41" s="184" t="s">
        <v>246</v>
      </c>
      <c r="B41" s="81">
        <v>2</v>
      </c>
      <c r="C41" s="185">
        <v>21.725999999999999</v>
      </c>
      <c r="D41" s="186">
        <v>6.2</v>
      </c>
      <c r="E41" s="187">
        <f t="shared" si="0"/>
        <v>269.4024</v>
      </c>
      <c r="F41" s="188">
        <f t="shared" ref="F41:F49" si="1">0.06*$D$14</f>
        <v>95.399999999999991</v>
      </c>
      <c r="G41" s="188">
        <f t="shared" ref="G41:G49" si="2">0.06*$D$15</f>
        <v>57.239999999999995</v>
      </c>
      <c r="H41" s="188">
        <f t="shared" ref="H41:H49" si="3">0.06*$D$16</f>
        <v>104.5746</v>
      </c>
      <c r="I41" s="189">
        <f t="shared" ref="I41:I49" si="4">0.06*$D$13</f>
        <v>104.0448</v>
      </c>
      <c r="J41" s="22">
        <f t="shared" ref="J41:J49" si="5">E41-F41</f>
        <v>174.00240000000002</v>
      </c>
      <c r="K41" s="22">
        <f t="shared" ref="K41:K49" si="6">E41-G41</f>
        <v>212.16239999999999</v>
      </c>
      <c r="L41" s="20">
        <f t="shared" ref="L41:L49" si="7">E41-H41</f>
        <v>164.8278</v>
      </c>
      <c r="M41" s="20">
        <f t="shared" ref="M41:M49" si="8">E41-I41</f>
        <v>165.35759999999999</v>
      </c>
    </row>
    <row r="42" spans="1:13" ht="17" customHeight="1">
      <c r="A42" s="190" t="s">
        <v>247</v>
      </c>
      <c r="B42" s="82">
        <v>2</v>
      </c>
      <c r="C42" s="191">
        <v>21.725999999999999</v>
      </c>
      <c r="D42" s="192">
        <v>4.5</v>
      </c>
      <c r="E42" s="193">
        <f t="shared" si="0"/>
        <v>195.53399999999999</v>
      </c>
      <c r="F42" s="194">
        <f t="shared" si="1"/>
        <v>95.399999999999991</v>
      </c>
      <c r="G42" s="194">
        <f t="shared" si="2"/>
        <v>57.239999999999995</v>
      </c>
      <c r="H42" s="194">
        <f t="shared" si="3"/>
        <v>104.5746</v>
      </c>
      <c r="I42" s="194">
        <f t="shared" si="4"/>
        <v>104.0448</v>
      </c>
      <c r="J42" s="24">
        <f t="shared" si="5"/>
        <v>100.134</v>
      </c>
      <c r="K42" s="24">
        <f t="shared" si="6"/>
        <v>138.29399999999998</v>
      </c>
      <c r="L42" s="20">
        <f t="shared" si="7"/>
        <v>90.959399999999988</v>
      </c>
      <c r="M42" s="20">
        <f t="shared" si="8"/>
        <v>91.489199999999997</v>
      </c>
    </row>
    <row r="43" spans="1:13" ht="16.5" customHeight="1">
      <c r="A43" s="190" t="s">
        <v>248</v>
      </c>
      <c r="B43" s="82">
        <v>2</v>
      </c>
      <c r="C43" s="191">
        <v>21.725999999999999</v>
      </c>
      <c r="D43" s="192">
        <v>4.45</v>
      </c>
      <c r="E43" s="193">
        <f>B43*C43*D43</f>
        <v>193.3614</v>
      </c>
      <c r="F43" s="194">
        <f t="shared" si="1"/>
        <v>95.399999999999991</v>
      </c>
      <c r="G43" s="194">
        <f t="shared" si="2"/>
        <v>57.239999999999995</v>
      </c>
      <c r="H43" s="194">
        <f t="shared" si="3"/>
        <v>104.5746</v>
      </c>
      <c r="I43" s="194">
        <f t="shared" si="4"/>
        <v>104.0448</v>
      </c>
      <c r="J43" s="24">
        <f t="shared" si="5"/>
        <v>97.961400000000012</v>
      </c>
      <c r="K43" s="24">
        <f t="shared" si="6"/>
        <v>136.12139999999999</v>
      </c>
      <c r="L43" s="20">
        <f t="shared" si="7"/>
        <v>88.786799999999999</v>
      </c>
      <c r="M43" s="20">
        <f t="shared" si="8"/>
        <v>89.316600000000008</v>
      </c>
    </row>
    <row r="44" spans="1:13" ht="13">
      <c r="A44" s="190" t="s">
        <v>249</v>
      </c>
      <c r="B44" s="82">
        <v>2</v>
      </c>
      <c r="C44" s="191">
        <v>21.725999999999999</v>
      </c>
      <c r="D44" s="192">
        <v>5</v>
      </c>
      <c r="E44" s="193">
        <f t="shared" si="0"/>
        <v>217.26</v>
      </c>
      <c r="F44" s="194">
        <f t="shared" si="1"/>
        <v>95.399999999999991</v>
      </c>
      <c r="G44" s="194">
        <f t="shared" si="2"/>
        <v>57.239999999999995</v>
      </c>
      <c r="H44" s="194">
        <f t="shared" si="3"/>
        <v>104.5746</v>
      </c>
      <c r="I44" s="194">
        <f t="shared" si="4"/>
        <v>104.0448</v>
      </c>
      <c r="J44" s="24">
        <f t="shared" si="5"/>
        <v>121.86</v>
      </c>
      <c r="K44" s="24">
        <f t="shared" si="6"/>
        <v>160.01999999999998</v>
      </c>
      <c r="L44" s="20">
        <f t="shared" si="7"/>
        <v>112.68539999999999</v>
      </c>
      <c r="M44" s="20">
        <f t="shared" si="8"/>
        <v>113.2152</v>
      </c>
    </row>
    <row r="45" spans="1:13" ht="13">
      <c r="A45" s="190" t="s">
        <v>250</v>
      </c>
      <c r="B45" s="82">
        <v>2</v>
      </c>
      <c r="C45" s="191">
        <v>21.725999999999999</v>
      </c>
      <c r="D45" s="192">
        <v>5.3</v>
      </c>
      <c r="E45" s="193">
        <f t="shared" si="0"/>
        <v>230.29559999999998</v>
      </c>
      <c r="F45" s="194">
        <f t="shared" si="1"/>
        <v>95.399999999999991</v>
      </c>
      <c r="G45" s="194">
        <f t="shared" si="2"/>
        <v>57.239999999999995</v>
      </c>
      <c r="H45" s="194">
        <f t="shared" si="3"/>
        <v>104.5746</v>
      </c>
      <c r="I45" s="194">
        <f t="shared" si="4"/>
        <v>104.0448</v>
      </c>
      <c r="J45" s="24">
        <f t="shared" si="5"/>
        <v>134.8956</v>
      </c>
      <c r="K45" s="24">
        <f t="shared" si="6"/>
        <v>173.05559999999997</v>
      </c>
      <c r="L45" s="20">
        <f t="shared" si="7"/>
        <v>125.72099999999998</v>
      </c>
      <c r="M45" s="20">
        <f t="shared" si="8"/>
        <v>126.25079999999998</v>
      </c>
    </row>
    <row r="46" spans="1:13" ht="17" customHeight="1">
      <c r="A46" s="179" t="s">
        <v>251</v>
      </c>
      <c r="B46" s="80">
        <v>2</v>
      </c>
      <c r="C46" s="180">
        <v>21.725999999999999</v>
      </c>
      <c r="D46" s="181">
        <v>4.7</v>
      </c>
      <c r="E46" s="182">
        <f t="shared" si="0"/>
        <v>204.2244</v>
      </c>
      <c r="F46" s="183">
        <f t="shared" si="1"/>
        <v>95.399999999999991</v>
      </c>
      <c r="G46" s="183">
        <f t="shared" si="2"/>
        <v>57.239999999999995</v>
      </c>
      <c r="H46" s="183">
        <f t="shared" si="3"/>
        <v>104.5746</v>
      </c>
      <c r="I46" s="183">
        <f t="shared" si="4"/>
        <v>104.0448</v>
      </c>
      <c r="J46" s="23">
        <f t="shared" si="5"/>
        <v>108.82440000000001</v>
      </c>
      <c r="K46" s="23">
        <f t="shared" si="6"/>
        <v>146.98439999999999</v>
      </c>
      <c r="L46" s="20">
        <f t="shared" si="7"/>
        <v>99.649799999999999</v>
      </c>
      <c r="M46" s="20">
        <f t="shared" si="8"/>
        <v>100.17960000000001</v>
      </c>
    </row>
    <row r="47" spans="1:13" ht="18" customHeight="1">
      <c r="A47" s="195" t="s">
        <v>252</v>
      </c>
      <c r="B47" s="83">
        <v>2</v>
      </c>
      <c r="C47" s="196">
        <v>21.725999999999999</v>
      </c>
      <c r="D47" s="197">
        <v>5.5</v>
      </c>
      <c r="E47" s="198">
        <f t="shared" si="0"/>
        <v>238.98599999999999</v>
      </c>
      <c r="F47" s="194">
        <f t="shared" si="1"/>
        <v>95.399999999999991</v>
      </c>
      <c r="G47" s="194">
        <f t="shared" si="2"/>
        <v>57.239999999999995</v>
      </c>
      <c r="H47" s="194">
        <f t="shared" si="3"/>
        <v>104.5746</v>
      </c>
      <c r="I47" s="183">
        <f t="shared" si="4"/>
        <v>104.0448</v>
      </c>
      <c r="J47" s="23">
        <f t="shared" si="5"/>
        <v>143.58600000000001</v>
      </c>
      <c r="K47" s="23">
        <f t="shared" si="6"/>
        <v>181.74599999999998</v>
      </c>
      <c r="L47" s="20">
        <f t="shared" si="7"/>
        <v>134.41139999999999</v>
      </c>
      <c r="M47" s="20">
        <f t="shared" si="8"/>
        <v>134.94119999999998</v>
      </c>
    </row>
    <row r="48" spans="1:13" ht="18" customHeight="1">
      <c r="A48" s="195" t="s">
        <v>253</v>
      </c>
      <c r="B48" s="83">
        <v>2</v>
      </c>
      <c r="C48" s="196">
        <v>21.725999999999999</v>
      </c>
      <c r="D48" s="197">
        <v>5.85</v>
      </c>
      <c r="E48" s="198">
        <f t="shared" si="0"/>
        <v>254.19419999999997</v>
      </c>
      <c r="F48" s="194">
        <f t="shared" si="1"/>
        <v>95.399999999999991</v>
      </c>
      <c r="G48" s="194">
        <f t="shared" si="2"/>
        <v>57.239999999999995</v>
      </c>
      <c r="H48" s="194">
        <f t="shared" si="3"/>
        <v>104.5746</v>
      </c>
      <c r="I48" s="183">
        <f t="shared" si="4"/>
        <v>104.0448</v>
      </c>
      <c r="J48" s="20">
        <f t="shared" si="5"/>
        <v>158.79419999999999</v>
      </c>
      <c r="K48" s="20">
        <f t="shared" si="6"/>
        <v>196.95419999999996</v>
      </c>
      <c r="L48" s="20">
        <f t="shared" si="7"/>
        <v>149.61959999999996</v>
      </c>
      <c r="M48" s="20">
        <f t="shared" si="8"/>
        <v>150.14939999999996</v>
      </c>
    </row>
    <row r="49" spans="1:13" ht="18" customHeight="1">
      <c r="A49" s="195" t="s">
        <v>254</v>
      </c>
      <c r="B49" s="83">
        <v>2</v>
      </c>
      <c r="C49" s="196">
        <v>21.725999999999999</v>
      </c>
      <c r="D49" s="197">
        <v>4.0999999999999996</v>
      </c>
      <c r="E49" s="198">
        <f t="shared" si="0"/>
        <v>178.15319999999997</v>
      </c>
      <c r="F49" s="194">
        <f t="shared" si="1"/>
        <v>95.399999999999991</v>
      </c>
      <c r="G49" s="194">
        <f t="shared" si="2"/>
        <v>57.239999999999995</v>
      </c>
      <c r="H49" s="194">
        <f t="shared" si="3"/>
        <v>104.5746</v>
      </c>
      <c r="I49" s="183">
        <f t="shared" si="4"/>
        <v>104.0448</v>
      </c>
      <c r="J49" s="20">
        <f t="shared" si="5"/>
        <v>82.753199999999978</v>
      </c>
      <c r="K49" s="20">
        <f t="shared" si="6"/>
        <v>120.91319999999997</v>
      </c>
      <c r="L49" s="20">
        <f t="shared" si="7"/>
        <v>73.578599999999966</v>
      </c>
      <c r="M49" s="20">
        <f t="shared" si="8"/>
        <v>74.108399999999975</v>
      </c>
    </row>
    <row r="50" spans="1:13">
      <c r="A50" s="702"/>
      <c r="B50" s="702"/>
      <c r="C50" s="702"/>
      <c r="D50" s="702"/>
      <c r="E50" s="702"/>
      <c r="F50" s="702"/>
      <c r="G50" s="702"/>
      <c r="H50" s="702"/>
      <c r="I50" s="702"/>
      <c r="J50" s="155"/>
      <c r="K50" s="155"/>
    </row>
    <row r="51" spans="1:13" ht="13">
      <c r="A51" s="664" t="s">
        <v>24</v>
      </c>
      <c r="B51" s="664"/>
      <c r="C51" s="664"/>
      <c r="D51" s="664"/>
      <c r="E51" s="664"/>
      <c r="F51" s="664"/>
      <c r="G51" s="664"/>
      <c r="H51" s="664"/>
      <c r="I51" s="8"/>
      <c r="J51" s="155"/>
      <c r="K51" s="155"/>
    </row>
    <row r="52" spans="1:13" ht="21" customHeight="1">
      <c r="A52" s="706" t="s">
        <v>60</v>
      </c>
      <c r="B52" s="706"/>
      <c r="C52" s="706"/>
      <c r="D52" s="706"/>
      <c r="E52" s="707">
        <v>0.05</v>
      </c>
      <c r="F52" s="707"/>
      <c r="G52" s="707"/>
      <c r="H52" s="707"/>
      <c r="I52" s="8"/>
      <c r="J52" s="155"/>
      <c r="K52" s="155"/>
    </row>
    <row r="53" spans="1:13" ht="19" customHeight="1">
      <c r="A53" s="706" t="s">
        <v>61</v>
      </c>
      <c r="B53" s="706"/>
      <c r="C53" s="706"/>
      <c r="D53" s="706"/>
      <c r="E53" s="707">
        <v>1</v>
      </c>
      <c r="F53" s="707"/>
      <c r="G53" s="707"/>
      <c r="H53" s="707"/>
      <c r="I53" s="8"/>
      <c r="J53" s="155"/>
      <c r="K53" s="155"/>
    </row>
    <row r="54" spans="1:13">
      <c r="A54" s="701"/>
      <c r="B54" s="701"/>
      <c r="C54" s="701"/>
      <c r="D54" s="701"/>
      <c r="E54" s="701"/>
      <c r="F54" s="701"/>
      <c r="G54" s="701"/>
      <c r="H54" s="701"/>
      <c r="I54" s="8"/>
      <c r="J54" s="155"/>
      <c r="K54" s="155"/>
    </row>
    <row r="55" spans="1:13" ht="13">
      <c r="A55" s="664" t="s">
        <v>62</v>
      </c>
      <c r="B55" s="664"/>
      <c r="C55" s="664"/>
      <c r="D55" s="664"/>
      <c r="E55" s="664"/>
      <c r="F55" s="664"/>
      <c r="G55" s="664"/>
      <c r="H55" s="664"/>
      <c r="I55" s="8"/>
      <c r="J55" s="155"/>
      <c r="K55" s="155"/>
    </row>
    <row r="56" spans="1:13">
      <c r="A56" s="687"/>
      <c r="B56" s="687"/>
      <c r="C56" s="687"/>
      <c r="D56" s="687"/>
      <c r="E56" s="687"/>
      <c r="F56" s="687"/>
      <c r="G56" s="687"/>
      <c r="H56" s="687"/>
      <c r="I56" s="8"/>
      <c r="J56" s="155"/>
      <c r="K56" s="155"/>
    </row>
    <row r="57" spans="1:13" ht="26">
      <c r="A57" s="199" t="s">
        <v>63</v>
      </c>
      <c r="B57" s="199" t="s">
        <v>64</v>
      </c>
      <c r="C57" s="688"/>
      <c r="D57" s="688"/>
      <c r="E57" s="199" t="s">
        <v>65</v>
      </c>
      <c r="F57" s="199" t="s">
        <v>66</v>
      </c>
      <c r="G57" s="156" t="s">
        <v>67</v>
      </c>
      <c r="H57" s="155"/>
      <c r="I57" s="8"/>
      <c r="J57" s="155"/>
      <c r="K57" s="155"/>
    </row>
    <row r="58" spans="1:13" ht="25">
      <c r="A58" s="200" t="s">
        <v>0</v>
      </c>
      <c r="B58" s="201" t="s">
        <v>64</v>
      </c>
      <c r="C58" s="684" t="s">
        <v>68</v>
      </c>
      <c r="D58" s="684"/>
      <c r="E58" s="12">
        <v>1</v>
      </c>
      <c r="F58" s="79">
        <v>1</v>
      </c>
      <c r="G58" s="9">
        <f>E58/365.25*F58</f>
        <v>2.7378507871321013E-3</v>
      </c>
      <c r="H58" s="155"/>
      <c r="I58" s="8"/>
      <c r="J58" s="155"/>
      <c r="K58" s="155"/>
    </row>
    <row r="59" spans="1:13" ht="25">
      <c r="A59" s="200" t="s">
        <v>1</v>
      </c>
      <c r="B59" s="201" t="s">
        <v>69</v>
      </c>
      <c r="C59" s="684" t="s">
        <v>68</v>
      </c>
      <c r="D59" s="684"/>
      <c r="E59" s="12">
        <v>5</v>
      </c>
      <c r="F59" s="11">
        <v>1.4999999999999999E-2</v>
      </c>
      <c r="G59" s="9">
        <f t="shared" ref="G59:G63" si="9">E59/365.25*F59</f>
        <v>2.0533880903490757E-4</v>
      </c>
      <c r="H59" s="155"/>
      <c r="I59" s="8"/>
      <c r="J59" s="155"/>
      <c r="K59" s="155"/>
    </row>
    <row r="60" spans="1:13" ht="37.5">
      <c r="A60" s="200" t="s">
        <v>2</v>
      </c>
      <c r="B60" s="201" t="s">
        <v>70</v>
      </c>
      <c r="C60" s="684" t="s">
        <v>68</v>
      </c>
      <c r="D60" s="684"/>
      <c r="E60" s="12">
        <v>0.97</v>
      </c>
      <c r="F60" s="11">
        <v>1</v>
      </c>
      <c r="G60" s="9">
        <f t="shared" si="9"/>
        <v>2.6557152635181382E-3</v>
      </c>
      <c r="H60" s="155"/>
      <c r="I60" s="8"/>
      <c r="J60" s="155"/>
      <c r="K60" s="155"/>
    </row>
    <row r="61" spans="1:13" ht="25">
      <c r="A61" s="202" t="s">
        <v>3</v>
      </c>
      <c r="B61" s="201" t="s">
        <v>71</v>
      </c>
      <c r="C61" s="684" t="s">
        <v>68</v>
      </c>
      <c r="D61" s="684"/>
      <c r="E61" s="12">
        <v>120</v>
      </c>
      <c r="F61" s="11">
        <v>0.02</v>
      </c>
      <c r="G61" s="9">
        <f>E61/365.25*F61</f>
        <v>6.570841889117043E-3</v>
      </c>
      <c r="H61" s="155"/>
      <c r="I61" s="8"/>
      <c r="J61" s="155"/>
      <c r="K61" s="155"/>
    </row>
    <row r="62" spans="1:13" ht="26" customHeight="1">
      <c r="A62" s="203" t="s">
        <v>5</v>
      </c>
      <c r="B62" s="204" t="s">
        <v>236</v>
      </c>
      <c r="C62" s="655" t="s">
        <v>231</v>
      </c>
      <c r="D62" s="656"/>
      <c r="E62" s="94">
        <v>3</v>
      </c>
      <c r="F62" s="95">
        <v>1</v>
      </c>
      <c r="G62" s="146">
        <f t="shared" si="9"/>
        <v>8.2135523613963042E-3</v>
      </c>
      <c r="H62" s="155"/>
      <c r="I62" s="8"/>
      <c r="J62" s="155"/>
      <c r="K62" s="155"/>
    </row>
    <row r="63" spans="1:13" ht="25">
      <c r="A63" s="205" t="s">
        <v>6</v>
      </c>
      <c r="B63" s="206" t="s">
        <v>72</v>
      </c>
      <c r="C63" s="685" t="s">
        <v>229</v>
      </c>
      <c r="D63" s="685"/>
      <c r="E63" s="145"/>
      <c r="F63" s="148"/>
      <c r="G63" s="149">
        <f t="shared" si="9"/>
        <v>0</v>
      </c>
      <c r="H63" s="155"/>
      <c r="I63" s="8"/>
      <c r="J63" s="155"/>
      <c r="K63" s="155"/>
    </row>
    <row r="64" spans="1:13" ht="13">
      <c r="A64" s="207"/>
      <c r="B64" s="207"/>
      <c r="C64" s="208"/>
      <c r="D64" s="208"/>
      <c r="E64" s="208"/>
      <c r="F64" s="209"/>
      <c r="G64" s="147"/>
      <c r="H64" s="210"/>
      <c r="I64" s="8"/>
      <c r="J64" s="155"/>
      <c r="K64" s="155"/>
    </row>
    <row r="65" spans="1:11" ht="13">
      <c r="A65" s="211"/>
      <c r="B65" s="211"/>
      <c r="C65" s="212"/>
      <c r="D65" s="212"/>
      <c r="E65" s="212"/>
      <c r="F65" s="213"/>
      <c r="G65" s="144"/>
      <c r="H65" s="210"/>
      <c r="I65" s="8"/>
      <c r="J65" s="155"/>
      <c r="K65" s="155"/>
    </row>
    <row r="66" spans="1:11">
      <c r="A66" s="686"/>
      <c r="B66" s="686"/>
      <c r="C66" s="686"/>
      <c r="D66" s="686"/>
      <c r="E66" s="686"/>
      <c r="F66" s="686"/>
      <c r="G66" s="686"/>
      <c r="H66" s="686"/>
      <c r="I66" s="686"/>
      <c r="J66" s="155"/>
      <c r="K66" s="155"/>
    </row>
    <row r="67" spans="1:11" ht="13">
      <c r="A67" s="664" t="s">
        <v>234</v>
      </c>
      <c r="B67" s="664"/>
      <c r="C67" s="664"/>
      <c r="D67" s="664"/>
      <c r="E67" s="664"/>
      <c r="F67" s="664"/>
      <c r="G67" s="664"/>
      <c r="H67" s="664"/>
      <c r="I67" s="214"/>
      <c r="J67" s="155"/>
      <c r="K67" s="155"/>
    </row>
    <row r="68" spans="1:11">
      <c r="A68" s="214"/>
      <c r="B68" s="214"/>
      <c r="C68" s="214"/>
      <c r="D68" s="214"/>
      <c r="E68" s="214"/>
      <c r="F68" s="214"/>
      <c r="G68" s="214"/>
      <c r="H68" s="214"/>
      <c r="I68" s="214"/>
      <c r="J68" s="155"/>
      <c r="K68" s="155"/>
    </row>
    <row r="69" spans="1:11" ht="19.5" customHeight="1">
      <c r="A69" s="665" t="s">
        <v>72</v>
      </c>
      <c r="B69" s="665"/>
      <c r="C69" s="665"/>
      <c r="D69" s="665"/>
      <c r="E69" s="665"/>
      <c r="F69" s="665"/>
      <c r="G69" s="225">
        <v>0</v>
      </c>
      <c r="H69" s="214"/>
      <c r="I69" s="214"/>
      <c r="J69" s="155"/>
      <c r="K69" s="155"/>
    </row>
    <row r="70" spans="1:11">
      <c r="A70" s="215"/>
      <c r="B70" s="215"/>
      <c r="C70" s="215"/>
      <c r="D70" s="215"/>
      <c r="E70" s="215"/>
      <c r="F70" s="215"/>
      <c r="G70" s="216"/>
      <c r="H70" s="217"/>
      <c r="I70" s="214"/>
      <c r="J70" s="155"/>
      <c r="K70" s="155"/>
    </row>
    <row r="71" spans="1:11">
      <c r="A71" s="215"/>
      <c r="B71" s="215"/>
      <c r="C71" s="215"/>
      <c r="D71" s="215"/>
      <c r="E71" s="215"/>
      <c r="F71" s="215"/>
      <c r="G71" s="216"/>
      <c r="H71" s="217"/>
      <c r="I71" s="214"/>
      <c r="J71" s="155"/>
      <c r="K71" s="155"/>
    </row>
    <row r="72" spans="1:11">
      <c r="A72" s="680"/>
      <c r="B72" s="680"/>
      <c r="C72" s="680"/>
      <c r="D72" s="680"/>
      <c r="E72" s="680"/>
      <c r="F72" s="155"/>
      <c r="G72" s="155"/>
      <c r="H72" s="155"/>
      <c r="I72" s="8"/>
      <c r="J72" s="155"/>
      <c r="K72" s="155"/>
    </row>
    <row r="73" spans="1:11" ht="24.5" customHeight="1">
      <c r="A73" s="682" t="s">
        <v>73</v>
      </c>
      <c r="B73" s="682"/>
      <c r="C73" s="682"/>
      <c r="D73" s="682"/>
      <c r="E73" s="682"/>
      <c r="F73" s="155"/>
      <c r="G73" s="681" t="s">
        <v>74</v>
      </c>
      <c r="H73" s="681"/>
      <c r="I73" s="681"/>
      <c r="J73" s="681"/>
      <c r="K73" s="218"/>
    </row>
    <row r="74" spans="1:11" ht="27" customHeight="1">
      <c r="A74" s="663" t="s">
        <v>75</v>
      </c>
      <c r="B74" s="663"/>
      <c r="C74" s="663"/>
      <c r="D74" s="683">
        <v>0.05</v>
      </c>
      <c r="E74" s="683"/>
      <c r="F74" s="155"/>
      <c r="G74" s="679" t="s">
        <v>76</v>
      </c>
      <c r="H74" s="679"/>
      <c r="I74" s="679"/>
      <c r="J74" s="679"/>
      <c r="K74" s="218"/>
    </row>
    <row r="75" spans="1:11" ht="26.5" customHeight="1">
      <c r="A75" s="663" t="s">
        <v>25</v>
      </c>
      <c r="B75" s="663"/>
      <c r="C75" s="663"/>
      <c r="D75" s="683">
        <v>0.1</v>
      </c>
      <c r="E75" s="683"/>
      <c r="F75" s="155"/>
      <c r="G75" s="679" t="s">
        <v>77</v>
      </c>
      <c r="H75" s="679"/>
      <c r="I75" s="679" t="s">
        <v>78</v>
      </c>
      <c r="J75" s="679"/>
      <c r="K75" s="218"/>
    </row>
    <row r="76" spans="1:11" ht="39.75" customHeight="1">
      <c r="A76" s="661" t="s">
        <v>79</v>
      </c>
      <c r="B76" s="661"/>
      <c r="C76" s="662" t="s">
        <v>80</v>
      </c>
      <c r="D76" s="662"/>
      <c r="E76" s="662"/>
      <c r="F76" s="155"/>
      <c r="G76" s="219" t="s">
        <v>81</v>
      </c>
      <c r="H76" s="219" t="s">
        <v>82</v>
      </c>
      <c r="I76" s="659">
        <v>4.4999999999999998E-2</v>
      </c>
      <c r="J76" s="659"/>
      <c r="K76" s="220"/>
    </row>
    <row r="77" spans="1:11" ht="25">
      <c r="A77" s="676" t="s">
        <v>255</v>
      </c>
      <c r="B77" s="676"/>
      <c r="C77" s="677">
        <v>0</v>
      </c>
      <c r="D77" s="677"/>
      <c r="E77" s="677"/>
      <c r="F77" s="155"/>
      <c r="G77" s="219" t="s">
        <v>83</v>
      </c>
      <c r="H77" s="221" t="s">
        <v>84</v>
      </c>
      <c r="I77" s="659">
        <v>0.09</v>
      </c>
      <c r="J77" s="659"/>
      <c r="K77" s="220"/>
    </row>
    <row r="78" spans="1:11" ht="25">
      <c r="A78" s="663" t="s">
        <v>26</v>
      </c>
      <c r="B78" s="663"/>
      <c r="C78" s="222" t="s">
        <v>85</v>
      </c>
      <c r="D78" s="84">
        <f>IF(A77="Lucro Real",0.0165,IF(A77="Lucro Presumido",0.0065,IF(A77="Simples Nacional",I84)))</f>
        <v>6.4999999999999997E-3</v>
      </c>
      <c r="E78" s="678">
        <f>SUM(D78:D80)</f>
        <v>8.6499999999999994E-2</v>
      </c>
      <c r="F78" s="155"/>
      <c r="G78" s="219" t="s">
        <v>86</v>
      </c>
      <c r="H78" s="223" t="s">
        <v>87</v>
      </c>
      <c r="I78" s="659">
        <v>0.10199999999999999</v>
      </c>
      <c r="J78" s="659"/>
      <c r="K78" s="220"/>
    </row>
    <row r="79" spans="1:11" ht="25">
      <c r="A79" s="663"/>
      <c r="B79" s="663"/>
      <c r="C79" s="222" t="s">
        <v>88</v>
      </c>
      <c r="D79" s="85">
        <f>IF(A77="Lucro Real",0.076,IF(A77="Lucro Presumido",0.03,IF(A77="Simples Nacional",J84)))</f>
        <v>0.03</v>
      </c>
      <c r="E79" s="678"/>
      <c r="F79" s="155"/>
      <c r="G79" s="219" t="s">
        <v>89</v>
      </c>
      <c r="H79" s="221" t="s">
        <v>90</v>
      </c>
      <c r="I79" s="659">
        <v>0.14000000000000001</v>
      </c>
      <c r="J79" s="659"/>
      <c r="K79" s="220"/>
    </row>
    <row r="80" spans="1:11" ht="40" customHeight="1">
      <c r="A80" s="660" t="s">
        <v>298</v>
      </c>
      <c r="B80" s="660"/>
      <c r="C80" s="222" t="s">
        <v>91</v>
      </c>
      <c r="D80" s="85">
        <f>IF(A77="Simples Nacional",H84,IF(A77="Lucro Presumido",0.05,IF(A77="Lucro Real",0.05)))</f>
        <v>0.05</v>
      </c>
      <c r="E80" s="678"/>
      <c r="F80" s="155"/>
      <c r="G80" s="219" t="s">
        <v>92</v>
      </c>
      <c r="H80" s="223" t="s">
        <v>93</v>
      </c>
      <c r="I80" s="659">
        <v>0.22</v>
      </c>
      <c r="J80" s="659"/>
      <c r="K80" s="220"/>
    </row>
    <row r="81" spans="1:15" ht="26" customHeight="1">
      <c r="A81" s="666" t="s">
        <v>250</v>
      </c>
      <c r="B81" s="667"/>
      <c r="C81" s="317" t="s">
        <v>91</v>
      </c>
      <c r="D81" s="85">
        <f>IF(A77="Simples Nacional",H84,IF(A77="Lucro Presumido",0.04,IF(A77="Lucro Real",0.04)))</f>
        <v>0.04</v>
      </c>
      <c r="E81" s="310">
        <f>D78+D79+D81</f>
        <v>7.6499999999999999E-2</v>
      </c>
      <c r="F81" s="309"/>
      <c r="G81" s="219" t="s">
        <v>94</v>
      </c>
      <c r="H81" s="223" t="s">
        <v>95</v>
      </c>
      <c r="I81" s="659">
        <v>0.33</v>
      </c>
      <c r="J81" s="659"/>
      <c r="K81" s="220"/>
    </row>
    <row r="82" spans="1:15" ht="13">
      <c r="A82" s="660" t="s">
        <v>249</v>
      </c>
      <c r="B82" s="660"/>
      <c r="C82" s="222" t="s">
        <v>91</v>
      </c>
      <c r="D82" s="85">
        <f>IF(A77="Simples Nacional",H84,IF(A77="Lucro Presumido",0.035,IF(A77="Lucro Real",0.035)))</f>
        <v>3.5000000000000003E-2</v>
      </c>
      <c r="E82" s="224">
        <f>D78+D79+D82</f>
        <v>7.1500000000000008E-2</v>
      </c>
      <c r="F82" s="155"/>
      <c r="K82" s="220"/>
    </row>
    <row r="83" spans="1:15" ht="24.75" customHeight="1">
      <c r="A83" s="660" t="s">
        <v>297</v>
      </c>
      <c r="B83" s="660"/>
      <c r="C83" s="222" t="s">
        <v>91</v>
      </c>
      <c r="D83" s="85">
        <f>IF(A77="Simples Nacional",H84,IF(A77="Lucro Presumido",0.03,IF(A77="Lucro Real",0.03)))</f>
        <v>0.03</v>
      </c>
      <c r="E83" s="224">
        <f>D78+D79+D83</f>
        <v>6.6500000000000004E-2</v>
      </c>
      <c r="F83" s="155"/>
      <c r="G83" s="524" t="s">
        <v>96</v>
      </c>
      <c r="H83" s="524" t="s">
        <v>91</v>
      </c>
      <c r="I83" s="524" t="s">
        <v>85</v>
      </c>
      <c r="J83" s="524" t="s">
        <v>88</v>
      </c>
      <c r="K83" s="155"/>
    </row>
    <row r="84" spans="1:15" ht="19" customHeight="1">
      <c r="A84" s="663" t="s">
        <v>223</v>
      </c>
      <c r="B84" s="663"/>
      <c r="C84" s="663"/>
      <c r="D84" s="86">
        <v>0</v>
      </c>
      <c r="E84" s="155"/>
      <c r="F84" s="155"/>
      <c r="G84" s="525">
        <f>C77</f>
        <v>0</v>
      </c>
      <c r="H84" s="526">
        <f>IF(G84&lt;=180000,0.445*0.045,IF(G84&lt;=360000,0.036-3240/G84,IF(G84&lt;=720000,0.0408-4968/G84,IF(G84&lt;=1800000,0.056-15912/G84,IF(G84&lt;=3600000,0.088-73512/G84,IF(G84&lt;=4800000,0.132-331200/G84,"Erro"))))))</f>
        <v>2.0025000000000001E-2</v>
      </c>
      <c r="I84" s="526">
        <f>IF(G84&lt;=180000,0.0383*0.045,IF(G84&lt;=360000,0.00405-364.5/G84,IF(G84&lt;=720000,0.0043554-530.334/G84,IF(G84&lt;=1800000,0.00574-1630.98/G84,IF(G84&lt;=3600000,0.008624-7204.176/G84,IF(G84&lt;=4800000,0.014685-36846/G84,"Erro"))))))</f>
        <v>1.7235E-3</v>
      </c>
      <c r="J84" s="526">
        <f>IF(G84&lt;=180000,0.1767*0.045,IF(G84&lt;=360000,0.018495-1664.55/G84,IF(G84&lt;=720000,0.0201246-2450.466/G84,IF(G84&lt;=1800000,0.02646-7518.42/G84,IF(G84&lt;=3600000,0.039776-33227.424/G84,IF(G84&lt;=4800000,0.067815-170154/G84,"Erro"))))))</f>
        <v>7.9515000000000002E-3</v>
      </c>
      <c r="K84" s="155"/>
    </row>
    <row r="85" spans="1:15">
      <c r="A85" s="210"/>
      <c r="B85" s="210"/>
      <c r="C85" s="210"/>
      <c r="D85" s="210"/>
      <c r="E85" s="210"/>
      <c r="F85" s="210"/>
      <c r="K85" s="155"/>
    </row>
    <row r="86" spans="1:15">
      <c r="A86" s="76"/>
      <c r="B86" s="76"/>
      <c r="C86" s="76"/>
      <c r="D86" s="76"/>
      <c r="E86" s="76"/>
      <c r="F86" s="76"/>
      <c r="G86" s="76"/>
      <c r="H86" s="76"/>
      <c r="I86" s="76"/>
      <c r="J86" s="76"/>
      <c r="K86" s="76"/>
    </row>
    <row r="87" spans="1:15">
      <c r="A87" s="76"/>
      <c r="B87" s="76"/>
      <c r="C87" s="76"/>
      <c r="D87" s="76"/>
      <c r="E87" s="76"/>
      <c r="F87" s="76"/>
      <c r="G87" s="76"/>
      <c r="H87" s="76"/>
      <c r="I87" s="76"/>
      <c r="J87" s="76"/>
      <c r="K87" s="76"/>
    </row>
    <row r="88" spans="1:15" ht="18">
      <c r="A88" s="657"/>
      <c r="B88" s="657"/>
      <c r="C88" s="657"/>
      <c r="D88" s="657"/>
      <c r="E88" s="657"/>
      <c r="F88" s="657"/>
      <c r="G88" s="657"/>
      <c r="H88" s="657"/>
      <c r="I88" s="657"/>
      <c r="J88" s="657"/>
      <c r="K88" s="657"/>
      <c r="L88" s="657"/>
      <c r="M88" s="100"/>
      <c r="N88" s="100"/>
      <c r="O88" s="76"/>
    </row>
    <row r="89" spans="1:15" ht="13">
      <c r="A89" s="658"/>
      <c r="B89" s="658"/>
      <c r="C89" s="658"/>
      <c r="D89" s="658"/>
      <c r="E89" s="658"/>
      <c r="F89" s="658"/>
      <c r="G89" s="658"/>
      <c r="H89" s="658"/>
      <c r="I89" s="658"/>
      <c r="J89" s="658"/>
      <c r="K89" s="658"/>
      <c r="L89" s="658"/>
      <c r="M89" s="100"/>
      <c r="N89" s="100"/>
      <c r="O89" s="76"/>
    </row>
    <row r="90" spans="1:15">
      <c r="A90" s="76"/>
      <c r="B90" s="76"/>
      <c r="C90" s="76"/>
      <c r="D90" s="76"/>
      <c r="E90" s="76"/>
      <c r="F90" s="76"/>
      <c r="G90" s="76"/>
      <c r="H90" s="76"/>
      <c r="I90" s="76"/>
      <c r="J90" s="76"/>
      <c r="K90" s="76"/>
      <c r="L90" s="76"/>
      <c r="M90" s="100"/>
      <c r="N90" s="100"/>
      <c r="O90" s="76"/>
    </row>
    <row r="91" spans="1:15" ht="13">
      <c r="A91" s="658"/>
      <c r="B91" s="658"/>
      <c r="C91" s="658"/>
      <c r="D91" s="658"/>
      <c r="E91" s="658"/>
      <c r="F91" s="658"/>
      <c r="G91" s="658"/>
      <c r="H91" s="658"/>
      <c r="I91" s="658"/>
      <c r="J91" s="658"/>
      <c r="K91" s="658"/>
      <c r="L91" s="658"/>
      <c r="M91" s="100"/>
      <c r="N91" s="100"/>
      <c r="O91" s="76"/>
    </row>
    <row r="92" spans="1:15" ht="13">
      <c r="A92" s="101"/>
      <c r="B92" s="101"/>
      <c r="C92" s="101"/>
      <c r="D92" s="101"/>
      <c r="E92" s="101"/>
      <c r="F92" s="101"/>
      <c r="G92" s="101"/>
      <c r="H92" s="101"/>
      <c r="I92" s="101"/>
      <c r="J92" s="101"/>
      <c r="K92" s="102"/>
      <c r="L92" s="102"/>
      <c r="M92" s="100"/>
      <c r="N92" s="100"/>
      <c r="O92" s="76"/>
    </row>
    <row r="93" spans="1:15" ht="13">
      <c r="A93" s="103"/>
      <c r="B93" s="104"/>
      <c r="C93" s="105"/>
      <c r="D93" s="105"/>
      <c r="E93" s="105"/>
      <c r="F93" s="105"/>
      <c r="G93" s="105"/>
      <c r="H93" s="105"/>
      <c r="I93" s="105"/>
      <c r="J93" s="105"/>
      <c r="K93" s="106"/>
      <c r="L93" s="107"/>
      <c r="M93" s="100"/>
      <c r="N93" s="100"/>
      <c r="O93" s="76"/>
    </row>
    <row r="94" spans="1:15" ht="13">
      <c r="A94" s="103"/>
      <c r="B94" s="104"/>
      <c r="C94" s="108"/>
      <c r="D94" s="108"/>
      <c r="E94" s="108"/>
      <c r="F94" s="108"/>
      <c r="G94" s="108"/>
      <c r="H94" s="108"/>
      <c r="I94" s="108"/>
      <c r="J94" s="105"/>
      <c r="K94" s="106"/>
      <c r="L94" s="107"/>
      <c r="M94" s="100"/>
      <c r="N94" s="100"/>
      <c r="O94" s="76"/>
    </row>
    <row r="95" spans="1:15" ht="13">
      <c r="A95" s="103"/>
      <c r="B95" s="104"/>
      <c r="C95" s="108"/>
      <c r="D95" s="108"/>
      <c r="E95" s="108"/>
      <c r="F95" s="108"/>
      <c r="G95" s="108"/>
      <c r="H95" s="108"/>
      <c r="I95" s="108"/>
      <c r="J95" s="105"/>
      <c r="K95" s="106"/>
      <c r="L95" s="107"/>
      <c r="M95" s="100"/>
      <c r="N95" s="100"/>
      <c r="O95" s="76"/>
    </row>
    <row r="96" spans="1:15" ht="13">
      <c r="A96" s="103"/>
      <c r="B96" s="104"/>
      <c r="C96" s="108"/>
      <c r="D96" s="108"/>
      <c r="E96" s="108"/>
      <c r="F96" s="108"/>
      <c r="G96" s="108"/>
      <c r="H96" s="108"/>
      <c r="I96" s="108"/>
      <c r="J96" s="105"/>
      <c r="K96" s="106"/>
      <c r="L96" s="107"/>
      <c r="M96" s="100"/>
      <c r="N96" s="100"/>
      <c r="O96" s="76"/>
    </row>
    <row r="97" spans="1:15" ht="13">
      <c r="A97" s="103"/>
      <c r="B97" s="104"/>
      <c r="C97" s="108"/>
      <c r="D97" s="108"/>
      <c r="E97" s="108"/>
      <c r="F97" s="108"/>
      <c r="G97" s="108"/>
      <c r="H97" s="108"/>
      <c r="I97" s="108"/>
      <c r="J97" s="105"/>
      <c r="K97" s="106"/>
      <c r="L97" s="107"/>
      <c r="M97" s="100"/>
      <c r="N97" s="100"/>
      <c r="O97" s="76"/>
    </row>
    <row r="98" spans="1:15" ht="13">
      <c r="A98" s="103"/>
      <c r="B98" s="104"/>
      <c r="C98" s="108"/>
      <c r="D98" s="108"/>
      <c r="E98" s="108"/>
      <c r="F98" s="108"/>
      <c r="G98" s="108"/>
      <c r="H98" s="108"/>
      <c r="I98" s="108"/>
      <c r="J98" s="105"/>
      <c r="K98" s="106"/>
      <c r="L98" s="107"/>
      <c r="M98" s="100"/>
      <c r="N98" s="100"/>
      <c r="O98" s="76"/>
    </row>
    <row r="99" spans="1:15" ht="13">
      <c r="A99" s="103"/>
      <c r="B99" s="104"/>
      <c r="C99" s="108"/>
      <c r="D99" s="108"/>
      <c r="E99" s="108"/>
      <c r="F99" s="108"/>
      <c r="G99" s="108"/>
      <c r="H99" s="108"/>
      <c r="I99" s="108"/>
      <c r="J99" s="105"/>
      <c r="K99" s="106"/>
      <c r="L99" s="107"/>
      <c r="M99" s="100"/>
      <c r="N99" s="100"/>
      <c r="O99" s="76"/>
    </row>
    <row r="100" spans="1:15" ht="13">
      <c r="A100" s="103"/>
      <c r="B100" s="104"/>
      <c r="C100" s="108"/>
      <c r="D100" s="108"/>
      <c r="E100" s="108"/>
      <c r="F100" s="108"/>
      <c r="G100" s="108"/>
      <c r="H100" s="108"/>
      <c r="I100" s="108"/>
      <c r="J100" s="105"/>
      <c r="K100" s="106"/>
      <c r="L100" s="107"/>
      <c r="M100" s="100"/>
      <c r="N100" s="100"/>
      <c r="O100" s="76"/>
    </row>
    <row r="101" spans="1:15" ht="13">
      <c r="A101" s="103"/>
      <c r="B101" s="104"/>
      <c r="C101" s="108"/>
      <c r="D101" s="108"/>
      <c r="E101" s="108"/>
      <c r="F101" s="108"/>
      <c r="G101" s="108"/>
      <c r="H101" s="108"/>
      <c r="I101" s="108"/>
      <c r="J101" s="105"/>
      <c r="K101" s="109"/>
      <c r="L101" s="107"/>
      <c r="M101" s="100"/>
      <c r="N101" s="100"/>
      <c r="O101" s="76"/>
    </row>
    <row r="102" spans="1:15" ht="13">
      <c r="A102" s="99"/>
      <c r="B102" s="104"/>
      <c r="C102" s="108"/>
      <c r="D102" s="108"/>
      <c r="E102" s="108"/>
      <c r="F102" s="108"/>
      <c r="G102" s="108"/>
      <c r="H102" s="108"/>
      <c r="I102" s="108"/>
      <c r="J102" s="105"/>
      <c r="K102" s="106"/>
      <c r="L102" s="107"/>
      <c r="M102" s="100"/>
      <c r="N102" s="100"/>
      <c r="O102" s="76"/>
    </row>
    <row r="103" spans="1:15" ht="13">
      <c r="A103" s="99"/>
      <c r="B103" s="104"/>
      <c r="C103" s="108"/>
      <c r="D103" s="108"/>
      <c r="E103" s="108"/>
      <c r="F103" s="108"/>
      <c r="G103" s="108"/>
      <c r="H103" s="108"/>
      <c r="I103" s="108"/>
      <c r="J103" s="105"/>
      <c r="K103" s="106"/>
      <c r="L103" s="107"/>
      <c r="M103" s="100"/>
      <c r="N103" s="100"/>
      <c r="O103" s="76"/>
    </row>
    <row r="104" spans="1:15" ht="13">
      <c r="A104" s="103"/>
      <c r="B104" s="104"/>
      <c r="C104" s="108"/>
      <c r="D104" s="108"/>
      <c r="E104" s="108"/>
      <c r="F104" s="108"/>
      <c r="G104" s="108"/>
      <c r="H104" s="108"/>
      <c r="I104" s="108"/>
      <c r="J104" s="105"/>
      <c r="K104" s="106"/>
      <c r="L104" s="107"/>
      <c r="M104" s="100"/>
      <c r="N104" s="100"/>
      <c r="O104" s="76"/>
    </row>
    <row r="105" spans="1:15" ht="13">
      <c r="A105" s="103"/>
      <c r="B105" s="104"/>
      <c r="C105" s="108"/>
      <c r="D105" s="108"/>
      <c r="E105" s="108"/>
      <c r="F105" s="108"/>
      <c r="G105" s="108"/>
      <c r="H105" s="108"/>
      <c r="I105" s="108"/>
      <c r="J105" s="105"/>
      <c r="K105" s="106"/>
      <c r="L105" s="107"/>
      <c r="M105" s="100"/>
      <c r="N105" s="100"/>
      <c r="O105" s="76"/>
    </row>
    <row r="106" spans="1:15" ht="13">
      <c r="A106" s="103"/>
      <c r="B106" s="104"/>
      <c r="C106" s="108"/>
      <c r="D106" s="108"/>
      <c r="E106" s="108"/>
      <c r="F106" s="108"/>
      <c r="G106" s="108"/>
      <c r="H106" s="108"/>
      <c r="I106" s="108"/>
      <c r="J106" s="105"/>
      <c r="K106" s="106"/>
      <c r="L106" s="107"/>
      <c r="M106" s="100"/>
      <c r="N106" s="100"/>
      <c r="O106" s="76"/>
    </row>
    <row r="107" spans="1:15" ht="13">
      <c r="A107" s="103"/>
      <c r="B107" s="104"/>
      <c r="C107" s="108"/>
      <c r="D107" s="108"/>
      <c r="E107" s="108"/>
      <c r="F107" s="108"/>
      <c r="G107" s="108"/>
      <c r="H107" s="108"/>
      <c r="I107" s="108"/>
      <c r="J107" s="105"/>
      <c r="K107" s="106"/>
      <c r="L107" s="107"/>
      <c r="M107" s="100"/>
      <c r="N107" s="100"/>
      <c r="O107" s="76"/>
    </row>
    <row r="108" spans="1:15" ht="13">
      <c r="A108" s="99"/>
      <c r="B108" s="104"/>
      <c r="C108" s="108"/>
      <c r="D108" s="108"/>
      <c r="E108" s="108"/>
      <c r="F108" s="108"/>
      <c r="G108" s="108"/>
      <c r="H108" s="108"/>
      <c r="I108" s="108"/>
      <c r="J108" s="105"/>
      <c r="K108" s="106"/>
      <c r="L108" s="107"/>
      <c r="M108" s="100"/>
      <c r="N108" s="100"/>
      <c r="O108" s="76"/>
    </row>
    <row r="109" spans="1:15" ht="13">
      <c r="A109" s="103"/>
      <c r="B109" s="104"/>
      <c r="C109" s="108"/>
      <c r="D109" s="108"/>
      <c r="E109" s="108"/>
      <c r="F109" s="108"/>
      <c r="G109" s="108"/>
      <c r="H109" s="108"/>
      <c r="I109" s="108"/>
      <c r="J109" s="105"/>
      <c r="K109" s="106"/>
      <c r="L109" s="107"/>
      <c r="M109" s="100"/>
      <c r="N109" s="100"/>
      <c r="O109" s="76"/>
    </row>
    <row r="110" spans="1:15" ht="13">
      <c r="A110" s="99"/>
      <c r="B110" s="104"/>
      <c r="C110" s="108"/>
      <c r="D110" s="108"/>
      <c r="E110" s="108"/>
      <c r="F110" s="108"/>
      <c r="G110" s="108"/>
      <c r="H110" s="108"/>
      <c r="I110" s="108"/>
      <c r="J110" s="105"/>
      <c r="K110" s="106"/>
      <c r="L110" s="107"/>
      <c r="M110" s="100"/>
      <c r="N110" s="100"/>
      <c r="O110" s="76"/>
    </row>
    <row r="111" spans="1:15" ht="13">
      <c r="A111" s="99"/>
      <c r="B111" s="104"/>
      <c r="C111" s="108"/>
      <c r="D111" s="108"/>
      <c r="E111" s="108"/>
      <c r="F111" s="108"/>
      <c r="G111" s="108"/>
      <c r="H111" s="108"/>
      <c r="I111" s="108"/>
      <c r="J111" s="105"/>
      <c r="K111" s="106"/>
      <c r="L111" s="107"/>
      <c r="M111" s="100"/>
      <c r="N111" s="100"/>
      <c r="O111" s="76"/>
    </row>
    <row r="112" spans="1:15" ht="13">
      <c r="A112" s="99"/>
      <c r="B112" s="104"/>
      <c r="C112" s="108"/>
      <c r="D112" s="108"/>
      <c r="E112" s="108"/>
      <c r="F112" s="108"/>
      <c r="G112" s="108"/>
      <c r="H112" s="108"/>
      <c r="I112" s="108"/>
      <c r="J112" s="105"/>
      <c r="K112" s="106"/>
      <c r="L112" s="107"/>
      <c r="M112" s="100"/>
      <c r="N112" s="100"/>
      <c r="O112" s="76"/>
    </row>
    <row r="113" spans="1:15" ht="13">
      <c r="A113" s="103"/>
      <c r="B113" s="104"/>
      <c r="C113" s="108"/>
      <c r="D113" s="108"/>
      <c r="E113" s="108"/>
      <c r="F113" s="108"/>
      <c r="G113" s="108"/>
      <c r="H113" s="108"/>
      <c r="I113" s="108"/>
      <c r="J113" s="105"/>
      <c r="K113" s="106"/>
      <c r="L113" s="107"/>
      <c r="M113" s="100"/>
      <c r="N113" s="100"/>
      <c r="O113" s="76"/>
    </row>
    <row r="114" spans="1:15" ht="13">
      <c r="A114" s="99"/>
      <c r="B114" s="104"/>
      <c r="C114" s="108"/>
      <c r="D114" s="108"/>
      <c r="E114" s="108"/>
      <c r="F114" s="108"/>
      <c r="G114" s="108"/>
      <c r="H114" s="108"/>
      <c r="I114" s="108"/>
      <c r="J114" s="105"/>
      <c r="K114" s="106"/>
      <c r="L114" s="107"/>
      <c r="M114" s="100"/>
      <c r="N114" s="100"/>
      <c r="O114" s="76"/>
    </row>
    <row r="115" spans="1:15" ht="13">
      <c r="A115" s="99"/>
      <c r="B115" s="104"/>
      <c r="C115" s="108"/>
      <c r="D115" s="108"/>
      <c r="E115" s="108"/>
      <c r="F115" s="108"/>
      <c r="G115" s="108"/>
      <c r="H115" s="108"/>
      <c r="I115" s="108"/>
      <c r="J115" s="105"/>
      <c r="K115" s="106"/>
      <c r="L115" s="107"/>
      <c r="M115" s="100"/>
      <c r="N115" s="100"/>
      <c r="O115" s="76"/>
    </row>
    <row r="116" spans="1:15" ht="13">
      <c r="A116" s="99"/>
      <c r="B116" s="104"/>
      <c r="C116" s="108"/>
      <c r="D116" s="108"/>
      <c r="E116" s="108"/>
      <c r="F116" s="108"/>
      <c r="G116" s="108"/>
      <c r="H116" s="108"/>
      <c r="I116" s="108"/>
      <c r="J116" s="105"/>
      <c r="K116" s="106"/>
      <c r="L116" s="107"/>
      <c r="M116" s="100"/>
      <c r="N116" s="100"/>
      <c r="O116" s="76"/>
    </row>
    <row r="117" spans="1:15" ht="13">
      <c r="A117" s="103"/>
      <c r="B117" s="104"/>
      <c r="C117" s="108"/>
      <c r="D117" s="108"/>
      <c r="E117" s="108"/>
      <c r="F117" s="108"/>
      <c r="G117" s="108"/>
      <c r="H117" s="108"/>
      <c r="I117" s="108"/>
      <c r="J117" s="105"/>
      <c r="K117" s="106"/>
      <c r="L117" s="107"/>
      <c r="M117" s="100"/>
      <c r="N117" s="100"/>
      <c r="O117" s="76"/>
    </row>
    <row r="118" spans="1:15" ht="13">
      <c r="A118" s="99"/>
      <c r="B118" s="104"/>
      <c r="C118" s="108"/>
      <c r="D118" s="108"/>
      <c r="E118" s="108"/>
      <c r="F118" s="108"/>
      <c r="G118" s="108"/>
      <c r="H118" s="108"/>
      <c r="I118" s="108"/>
      <c r="J118" s="105"/>
      <c r="K118" s="106"/>
      <c r="L118" s="107"/>
      <c r="M118" s="100"/>
      <c r="N118" s="100"/>
      <c r="O118" s="76"/>
    </row>
    <row r="119" spans="1:15" ht="13">
      <c r="A119" s="103"/>
      <c r="B119" s="104"/>
      <c r="C119" s="108"/>
      <c r="D119" s="108"/>
      <c r="E119" s="108"/>
      <c r="F119" s="108"/>
      <c r="G119" s="108"/>
      <c r="H119" s="108"/>
      <c r="I119" s="108"/>
      <c r="J119" s="105"/>
      <c r="K119" s="106"/>
      <c r="L119" s="107"/>
      <c r="M119" s="100"/>
      <c r="N119" s="100"/>
      <c r="O119" s="76"/>
    </row>
    <row r="120" spans="1:15" ht="13">
      <c r="A120" s="103"/>
      <c r="B120" s="104"/>
      <c r="C120" s="108"/>
      <c r="D120" s="108"/>
      <c r="E120" s="108"/>
      <c r="F120" s="108"/>
      <c r="G120" s="108"/>
      <c r="H120" s="108"/>
      <c r="I120" s="108"/>
      <c r="J120" s="105"/>
      <c r="K120" s="106"/>
      <c r="L120" s="107"/>
      <c r="M120" s="100"/>
      <c r="N120" s="100"/>
      <c r="O120" s="76"/>
    </row>
    <row r="121" spans="1:15" ht="13">
      <c r="A121" s="103"/>
      <c r="B121" s="104"/>
      <c r="C121" s="108"/>
      <c r="D121" s="108"/>
      <c r="E121" s="108"/>
      <c r="F121" s="108"/>
      <c r="G121" s="108"/>
      <c r="H121" s="108"/>
      <c r="I121" s="108"/>
      <c r="J121" s="105"/>
      <c r="K121" s="106"/>
      <c r="L121" s="107"/>
      <c r="M121" s="100"/>
      <c r="N121" s="100"/>
      <c r="O121" s="76"/>
    </row>
    <row r="122" spans="1:15" ht="13">
      <c r="A122" s="103"/>
      <c r="B122" s="104"/>
      <c r="C122" s="108"/>
      <c r="D122" s="108"/>
      <c r="E122" s="108"/>
      <c r="F122" s="108"/>
      <c r="G122" s="108"/>
      <c r="H122" s="108"/>
      <c r="I122" s="108"/>
      <c r="J122" s="105"/>
      <c r="K122" s="109"/>
      <c r="L122" s="107"/>
      <c r="M122" s="100"/>
      <c r="N122" s="100"/>
      <c r="O122" s="76"/>
    </row>
    <row r="123" spans="1:15" ht="13">
      <c r="A123" s="103"/>
      <c r="B123" s="104"/>
      <c r="C123" s="108"/>
      <c r="D123" s="108"/>
      <c r="E123" s="108"/>
      <c r="F123" s="108"/>
      <c r="G123" s="108"/>
      <c r="H123" s="108"/>
      <c r="I123" s="108"/>
      <c r="J123" s="105"/>
      <c r="K123" s="106"/>
      <c r="L123" s="107"/>
      <c r="M123" s="100"/>
      <c r="N123" s="100"/>
      <c r="O123" s="76"/>
    </row>
    <row r="124" spans="1:15" ht="13">
      <c r="A124" s="103"/>
      <c r="B124" s="104"/>
      <c r="C124" s="110"/>
      <c r="D124" s="110"/>
      <c r="E124" s="110"/>
      <c r="F124" s="110"/>
      <c r="G124" s="110"/>
      <c r="H124" s="110"/>
      <c r="I124" s="110"/>
      <c r="J124" s="105"/>
      <c r="K124" s="106"/>
      <c r="L124" s="107"/>
      <c r="M124" s="100"/>
      <c r="N124" s="100"/>
      <c r="O124" s="76"/>
    </row>
    <row r="125" spans="1:15" ht="13">
      <c r="A125" s="103"/>
      <c r="B125" s="104"/>
      <c r="C125" s="110"/>
      <c r="D125" s="110"/>
      <c r="E125" s="110"/>
      <c r="F125" s="110"/>
      <c r="G125" s="110"/>
      <c r="H125" s="110"/>
      <c r="I125" s="110"/>
      <c r="J125" s="105"/>
      <c r="K125" s="106"/>
      <c r="L125" s="107"/>
      <c r="M125" s="100"/>
      <c r="N125" s="100"/>
      <c r="O125" s="76"/>
    </row>
    <row r="126" spans="1:15" ht="13">
      <c r="A126" s="103"/>
      <c r="B126" s="104"/>
      <c r="C126" s="108"/>
      <c r="D126" s="108"/>
      <c r="E126" s="108"/>
      <c r="F126" s="108"/>
      <c r="G126" s="108"/>
      <c r="H126" s="108"/>
      <c r="I126" s="108"/>
      <c r="J126" s="105"/>
      <c r="K126" s="106"/>
      <c r="L126" s="107"/>
      <c r="M126" s="100"/>
      <c r="N126" s="100"/>
      <c r="O126" s="76"/>
    </row>
    <row r="127" spans="1:15" ht="13">
      <c r="A127" s="650"/>
      <c r="B127" s="650"/>
      <c r="C127" s="650"/>
      <c r="D127" s="650"/>
      <c r="E127" s="650"/>
      <c r="F127" s="650"/>
      <c r="G127" s="650"/>
      <c r="H127" s="650"/>
      <c r="I127" s="651"/>
      <c r="J127" s="651"/>
      <c r="K127" s="651"/>
      <c r="L127" s="111"/>
      <c r="M127" s="100"/>
      <c r="N127" s="100"/>
      <c r="O127" s="76"/>
    </row>
    <row r="128" spans="1:15">
      <c r="A128" s="103"/>
      <c r="B128" s="105"/>
      <c r="C128" s="108"/>
      <c r="D128" s="108"/>
      <c r="E128" s="108"/>
      <c r="F128" s="108"/>
      <c r="G128" s="108"/>
      <c r="H128" s="108"/>
      <c r="I128" s="108"/>
      <c r="J128" s="105"/>
      <c r="K128" s="112"/>
      <c r="L128" s="113"/>
      <c r="M128" s="100"/>
      <c r="N128" s="100"/>
      <c r="O128" s="76"/>
    </row>
    <row r="129" spans="1:15" ht="13">
      <c r="A129" s="101"/>
      <c r="B129" s="101"/>
      <c r="C129" s="101"/>
      <c r="D129" s="101"/>
      <c r="E129" s="101"/>
      <c r="F129" s="101"/>
      <c r="G129" s="101"/>
      <c r="H129" s="101"/>
      <c r="I129" s="101"/>
      <c r="J129" s="101"/>
      <c r="K129" s="102"/>
      <c r="L129" s="102"/>
      <c r="M129" s="100"/>
      <c r="N129" s="100"/>
      <c r="O129" s="76"/>
    </row>
    <row r="130" spans="1:15" ht="13">
      <c r="A130" s="103"/>
      <c r="B130" s="114"/>
      <c r="C130" s="108"/>
      <c r="D130" s="108"/>
      <c r="E130" s="108"/>
      <c r="F130" s="108"/>
      <c r="G130" s="108"/>
      <c r="H130" s="108"/>
      <c r="I130" s="108"/>
      <c r="J130" s="108"/>
      <c r="K130" s="115"/>
      <c r="L130" s="116"/>
      <c r="M130" s="100"/>
      <c r="N130" s="100"/>
      <c r="O130" s="76"/>
    </row>
    <row r="131" spans="1:15" ht="13">
      <c r="A131" s="103"/>
      <c r="B131" s="114"/>
      <c r="C131" s="108"/>
      <c r="D131" s="108"/>
      <c r="E131" s="108"/>
      <c r="F131" s="108"/>
      <c r="G131" s="108"/>
      <c r="H131" s="108"/>
      <c r="I131" s="108"/>
      <c r="J131" s="108"/>
      <c r="K131" s="115"/>
      <c r="L131" s="116"/>
      <c r="M131" s="100"/>
      <c r="N131" s="100"/>
      <c r="O131" s="76"/>
    </row>
    <row r="132" spans="1:15" ht="13">
      <c r="A132" s="103"/>
      <c r="B132" s="114"/>
      <c r="C132" s="108"/>
      <c r="D132" s="108"/>
      <c r="E132" s="108"/>
      <c r="F132" s="108"/>
      <c r="G132" s="108"/>
      <c r="H132" s="108"/>
      <c r="I132" s="108"/>
      <c r="J132" s="108"/>
      <c r="K132" s="115"/>
      <c r="L132" s="116"/>
      <c r="M132" s="100"/>
      <c r="N132" s="100"/>
      <c r="O132" s="76"/>
    </row>
    <row r="133" spans="1:15" ht="13">
      <c r="A133" s="103"/>
      <c r="B133" s="114"/>
      <c r="C133" s="108"/>
      <c r="D133" s="108"/>
      <c r="E133" s="108"/>
      <c r="F133" s="108"/>
      <c r="G133" s="108"/>
      <c r="H133" s="108"/>
      <c r="I133" s="108"/>
      <c r="J133" s="108"/>
      <c r="K133" s="115"/>
      <c r="L133" s="116"/>
      <c r="M133" s="100"/>
      <c r="N133" s="100"/>
      <c r="O133" s="76"/>
    </row>
    <row r="134" spans="1:15" ht="13">
      <c r="A134" s="103"/>
      <c r="B134" s="105"/>
      <c r="C134" s="105"/>
      <c r="D134" s="105"/>
      <c r="E134" s="105"/>
      <c r="F134" s="105"/>
      <c r="G134" s="105"/>
      <c r="H134" s="105"/>
      <c r="I134" s="105"/>
      <c r="J134" s="108"/>
      <c r="K134" s="117"/>
      <c r="L134" s="116"/>
      <c r="M134" s="100"/>
      <c r="N134" s="100"/>
      <c r="O134" s="76"/>
    </row>
    <row r="135" spans="1:15" ht="13">
      <c r="A135" s="650"/>
      <c r="B135" s="650"/>
      <c r="C135" s="650"/>
      <c r="D135" s="650"/>
      <c r="E135" s="650"/>
      <c r="F135" s="650"/>
      <c r="G135" s="650"/>
      <c r="H135" s="650"/>
      <c r="I135" s="651"/>
      <c r="J135" s="651"/>
      <c r="K135" s="651"/>
      <c r="L135" s="118"/>
      <c r="M135" s="100"/>
      <c r="N135" s="100"/>
      <c r="O135" s="76"/>
    </row>
    <row r="136" spans="1:15">
      <c r="A136" s="103"/>
      <c r="B136" s="105"/>
      <c r="C136" s="105"/>
      <c r="D136" s="105"/>
      <c r="E136" s="105"/>
      <c r="F136" s="105"/>
      <c r="G136" s="105"/>
      <c r="H136" s="105"/>
      <c r="I136" s="105"/>
      <c r="J136" s="108"/>
      <c r="K136" s="113"/>
      <c r="L136" s="119"/>
      <c r="M136" s="100"/>
      <c r="N136" s="100"/>
      <c r="O136" s="76"/>
    </row>
    <row r="137" spans="1:15" ht="19">
      <c r="A137" s="120"/>
      <c r="B137" s="101"/>
      <c r="C137" s="101"/>
      <c r="D137" s="101"/>
      <c r="E137" s="101"/>
      <c r="F137" s="101"/>
      <c r="G137" s="101"/>
      <c r="H137" s="101"/>
      <c r="I137" s="101"/>
      <c r="J137" s="101"/>
      <c r="K137" s="101"/>
      <c r="L137" s="102"/>
      <c r="M137" s="102"/>
      <c r="N137" s="100"/>
      <c r="O137" s="76"/>
    </row>
    <row r="138" spans="1:15" ht="13">
      <c r="A138" s="99"/>
      <c r="B138" s="104"/>
      <c r="C138" s="114"/>
      <c r="D138" s="114"/>
      <c r="E138" s="114"/>
      <c r="F138" s="114"/>
      <c r="G138" s="114"/>
      <c r="H138" s="114"/>
      <c r="I138" s="114"/>
      <c r="J138" s="108"/>
      <c r="K138" s="121"/>
      <c r="L138" s="115"/>
      <c r="M138" s="116"/>
      <c r="N138" s="100"/>
      <c r="O138" s="76"/>
    </row>
    <row r="139" spans="1:15" ht="13">
      <c r="A139" s="122"/>
      <c r="B139" s="104"/>
      <c r="C139" s="114"/>
      <c r="D139" s="114"/>
      <c r="E139" s="114"/>
      <c r="F139" s="114"/>
      <c r="G139" s="114"/>
      <c r="H139" s="114"/>
      <c r="I139" s="114"/>
      <c r="J139" s="108"/>
      <c r="K139" s="121"/>
      <c r="L139" s="115"/>
      <c r="M139" s="116"/>
      <c r="N139" s="100"/>
      <c r="O139" s="76"/>
    </row>
    <row r="140" spans="1:15" ht="13">
      <c r="A140" s="122"/>
      <c r="B140" s="104"/>
      <c r="C140" s="114"/>
      <c r="D140" s="114"/>
      <c r="E140" s="114"/>
      <c r="F140" s="114"/>
      <c r="G140" s="114"/>
      <c r="H140" s="114"/>
      <c r="I140" s="114"/>
      <c r="J140" s="108"/>
      <c r="K140" s="121"/>
      <c r="L140" s="115"/>
      <c r="M140" s="116"/>
      <c r="N140" s="100"/>
      <c r="O140" s="76"/>
    </row>
    <row r="141" spans="1:15" ht="13">
      <c r="A141" s="122"/>
      <c r="B141" s="104"/>
      <c r="C141" s="105"/>
      <c r="D141" s="105"/>
      <c r="E141" s="105"/>
      <c r="F141" s="105"/>
      <c r="G141" s="105"/>
      <c r="H141" s="105"/>
      <c r="I141" s="105"/>
      <c r="J141" s="108"/>
      <c r="K141" s="121"/>
      <c r="L141" s="115"/>
      <c r="M141" s="116"/>
      <c r="N141" s="100"/>
      <c r="O141" s="76"/>
    </row>
    <row r="142" spans="1:15" ht="13">
      <c r="A142" s="122"/>
      <c r="B142" s="104"/>
      <c r="C142" s="114"/>
      <c r="D142" s="114"/>
      <c r="E142" s="114"/>
      <c r="F142" s="114"/>
      <c r="G142" s="114"/>
      <c r="H142" s="114"/>
      <c r="I142" s="114"/>
      <c r="J142" s="108"/>
      <c r="K142" s="121"/>
      <c r="L142" s="115"/>
      <c r="M142" s="116"/>
      <c r="N142" s="100"/>
      <c r="O142" s="76"/>
    </row>
    <row r="143" spans="1:15" ht="13">
      <c r="A143" s="122"/>
      <c r="B143" s="104"/>
      <c r="C143" s="114"/>
      <c r="D143" s="114"/>
      <c r="E143" s="114"/>
      <c r="F143" s="114"/>
      <c r="G143" s="114"/>
      <c r="H143" s="114"/>
      <c r="I143" s="114"/>
      <c r="J143" s="108"/>
      <c r="K143" s="121"/>
      <c r="L143" s="115"/>
      <c r="M143" s="116"/>
      <c r="N143" s="100"/>
      <c r="O143" s="76"/>
    </row>
    <row r="144" spans="1:15" ht="13">
      <c r="A144" s="122"/>
      <c r="B144" s="104"/>
      <c r="C144" s="105"/>
      <c r="D144" s="105"/>
      <c r="E144" s="105"/>
      <c r="F144" s="105"/>
      <c r="G144" s="105"/>
      <c r="H144" s="105"/>
      <c r="I144" s="105"/>
      <c r="J144" s="108"/>
      <c r="K144" s="121"/>
      <c r="L144" s="115"/>
      <c r="M144" s="116"/>
      <c r="N144" s="100"/>
      <c r="O144" s="76"/>
    </row>
    <row r="145" spans="1:15" ht="13">
      <c r="A145" s="122"/>
      <c r="B145" s="104"/>
      <c r="C145" s="114"/>
      <c r="D145" s="114"/>
      <c r="E145" s="114"/>
      <c r="F145" s="114"/>
      <c r="G145" s="114"/>
      <c r="H145" s="114"/>
      <c r="I145" s="114"/>
      <c r="J145" s="108"/>
      <c r="K145" s="121"/>
      <c r="L145" s="115"/>
      <c r="M145" s="116"/>
      <c r="N145" s="100"/>
      <c r="O145" s="76"/>
    </row>
    <row r="146" spans="1:15" ht="13">
      <c r="A146" s="122"/>
      <c r="B146" s="104"/>
      <c r="C146" s="105"/>
      <c r="D146" s="105"/>
      <c r="E146" s="105"/>
      <c r="F146" s="105"/>
      <c r="G146" s="105"/>
      <c r="H146" s="105"/>
      <c r="I146" s="105"/>
      <c r="J146" s="108"/>
      <c r="K146" s="121"/>
      <c r="L146" s="115"/>
      <c r="M146" s="116"/>
      <c r="N146" s="100"/>
      <c r="O146" s="76"/>
    </row>
    <row r="147" spans="1:15" ht="13">
      <c r="A147" s="99"/>
      <c r="B147" s="104"/>
      <c r="C147" s="105"/>
      <c r="D147" s="105"/>
      <c r="E147" s="105"/>
      <c r="F147" s="105"/>
      <c r="G147" s="105"/>
      <c r="H147" s="105"/>
      <c r="I147" s="105"/>
      <c r="J147" s="108"/>
      <c r="K147" s="121"/>
      <c r="L147" s="115"/>
      <c r="M147" s="116"/>
      <c r="N147" s="100"/>
      <c r="O147" s="76"/>
    </row>
    <row r="148" spans="1:15" ht="13">
      <c r="A148" s="103"/>
      <c r="B148" s="104"/>
      <c r="C148" s="105"/>
      <c r="D148" s="105"/>
      <c r="E148" s="105"/>
      <c r="F148" s="105"/>
      <c r="G148" s="105"/>
      <c r="H148" s="105"/>
      <c r="I148" s="105"/>
      <c r="J148" s="108"/>
      <c r="K148" s="121"/>
      <c r="L148" s="115"/>
      <c r="M148" s="116"/>
      <c r="N148" s="100"/>
      <c r="O148" s="76"/>
    </row>
    <row r="149" spans="1:15" ht="13">
      <c r="A149" s="103"/>
      <c r="B149" s="104"/>
      <c r="C149" s="114"/>
      <c r="D149" s="114"/>
      <c r="E149" s="114"/>
      <c r="F149" s="114"/>
      <c r="G149" s="114"/>
      <c r="H149" s="114"/>
      <c r="I149" s="114"/>
      <c r="J149" s="108"/>
      <c r="K149" s="121"/>
      <c r="L149" s="115"/>
      <c r="M149" s="116"/>
      <c r="N149" s="100"/>
      <c r="O149" s="76"/>
    </row>
    <row r="150" spans="1:15" ht="13">
      <c r="A150" s="122"/>
      <c r="B150" s="104"/>
      <c r="C150" s="105"/>
      <c r="D150" s="105"/>
      <c r="E150" s="105"/>
      <c r="F150" s="105"/>
      <c r="G150" s="105"/>
      <c r="H150" s="105"/>
      <c r="I150" s="105"/>
      <c r="J150" s="108"/>
      <c r="K150" s="121"/>
      <c r="L150" s="115"/>
      <c r="M150" s="116"/>
      <c r="N150" s="100"/>
      <c r="O150" s="76"/>
    </row>
    <row r="151" spans="1:15" ht="13">
      <c r="A151" s="122"/>
      <c r="B151" s="104"/>
      <c r="C151" s="108"/>
      <c r="D151" s="108"/>
      <c r="E151" s="108"/>
      <c r="F151" s="108"/>
      <c r="G151" s="108"/>
      <c r="H151" s="108"/>
      <c r="I151" s="108"/>
      <c r="J151" s="108"/>
      <c r="K151" s="121"/>
      <c r="L151" s="115"/>
      <c r="M151" s="116"/>
      <c r="N151" s="100"/>
      <c r="O151" s="76"/>
    </row>
    <row r="152" spans="1:15" ht="13">
      <c r="A152" s="122"/>
      <c r="B152" s="104"/>
      <c r="C152" s="105"/>
      <c r="D152" s="105"/>
      <c r="E152" s="105"/>
      <c r="F152" s="105"/>
      <c r="G152" s="105"/>
      <c r="H152" s="105"/>
      <c r="I152" s="105"/>
      <c r="J152" s="108"/>
      <c r="K152" s="121"/>
      <c r="L152" s="115"/>
      <c r="M152" s="116"/>
      <c r="N152" s="100"/>
      <c r="O152" s="76"/>
    </row>
    <row r="153" spans="1:15" ht="13">
      <c r="A153" s="122"/>
      <c r="B153" s="104"/>
      <c r="C153" s="114"/>
      <c r="D153" s="114"/>
      <c r="E153" s="114"/>
      <c r="F153" s="114"/>
      <c r="G153" s="114"/>
      <c r="H153" s="114"/>
      <c r="I153" s="114"/>
      <c r="J153" s="108"/>
      <c r="K153" s="121"/>
      <c r="L153" s="115"/>
      <c r="M153" s="116"/>
      <c r="N153" s="100"/>
      <c r="O153" s="76"/>
    </row>
    <row r="154" spans="1:15" ht="13">
      <c r="A154" s="122"/>
      <c r="B154" s="104"/>
      <c r="C154" s="105"/>
      <c r="D154" s="105"/>
      <c r="E154" s="105"/>
      <c r="F154" s="105"/>
      <c r="G154" s="105"/>
      <c r="H154" s="105"/>
      <c r="I154" s="105"/>
      <c r="J154" s="108"/>
      <c r="K154" s="121"/>
      <c r="L154" s="115"/>
      <c r="M154" s="116"/>
      <c r="N154" s="100"/>
      <c r="O154" s="76"/>
    </row>
    <row r="155" spans="1:15" ht="13">
      <c r="A155" s="122"/>
      <c r="B155" s="104"/>
      <c r="C155" s="105"/>
      <c r="D155" s="105"/>
      <c r="E155" s="105"/>
      <c r="F155" s="105"/>
      <c r="G155" s="105"/>
      <c r="H155" s="105"/>
      <c r="I155" s="105"/>
      <c r="J155" s="108"/>
      <c r="K155" s="121"/>
      <c r="L155" s="115"/>
      <c r="M155" s="116"/>
      <c r="N155" s="100"/>
      <c r="O155" s="76"/>
    </row>
    <row r="156" spans="1:15" ht="13">
      <c r="A156" s="99"/>
      <c r="B156" s="104"/>
      <c r="C156" s="105"/>
      <c r="D156" s="105"/>
      <c r="E156" s="105"/>
      <c r="F156" s="105"/>
      <c r="G156" s="105"/>
      <c r="H156" s="105"/>
      <c r="I156" s="105"/>
      <c r="J156" s="108"/>
      <c r="K156" s="121"/>
      <c r="L156" s="115"/>
      <c r="M156" s="116"/>
      <c r="N156" s="100"/>
      <c r="O156" s="76"/>
    </row>
    <row r="157" spans="1:15" ht="13">
      <c r="A157" s="122"/>
      <c r="B157" s="104"/>
      <c r="C157" s="108"/>
      <c r="D157" s="108"/>
      <c r="E157" s="108"/>
      <c r="F157" s="108"/>
      <c r="G157" s="108"/>
      <c r="H157" s="108"/>
      <c r="I157" s="108"/>
      <c r="J157" s="108"/>
      <c r="K157" s="121"/>
      <c r="L157" s="115"/>
      <c r="M157" s="116"/>
      <c r="N157" s="100"/>
      <c r="O157" s="76"/>
    </row>
    <row r="158" spans="1:15" ht="13">
      <c r="A158" s="122"/>
      <c r="B158" s="104"/>
      <c r="C158" s="105"/>
      <c r="D158" s="105"/>
      <c r="E158" s="105"/>
      <c r="F158" s="105"/>
      <c r="G158" s="105"/>
      <c r="H158" s="105"/>
      <c r="I158" s="105"/>
      <c r="J158" s="108"/>
      <c r="K158" s="121"/>
      <c r="L158" s="115"/>
      <c r="M158" s="116"/>
      <c r="N158" s="100"/>
      <c r="O158" s="76"/>
    </row>
    <row r="159" spans="1:15" ht="13">
      <c r="A159" s="103"/>
      <c r="B159" s="104"/>
      <c r="C159" s="105"/>
      <c r="D159" s="105"/>
      <c r="E159" s="105"/>
      <c r="F159" s="105"/>
      <c r="G159" s="105"/>
      <c r="H159" s="105"/>
      <c r="I159" s="105"/>
      <c r="J159" s="108"/>
      <c r="K159" s="121"/>
      <c r="L159" s="115"/>
      <c r="M159" s="116"/>
      <c r="N159" s="100"/>
      <c r="O159" s="76"/>
    </row>
    <row r="160" spans="1:15" ht="13">
      <c r="A160" s="122"/>
      <c r="B160" s="104"/>
      <c r="C160" s="105"/>
      <c r="D160" s="105"/>
      <c r="E160" s="105"/>
      <c r="F160" s="105"/>
      <c r="G160" s="105"/>
      <c r="H160" s="105"/>
      <c r="I160" s="105"/>
      <c r="J160" s="108"/>
      <c r="K160" s="121"/>
      <c r="L160" s="115"/>
      <c r="M160" s="116"/>
      <c r="N160" s="100"/>
      <c r="O160" s="76"/>
    </row>
    <row r="161" spans="1:15" ht="13">
      <c r="A161" s="122"/>
      <c r="B161" s="104"/>
      <c r="C161" s="105"/>
      <c r="D161" s="105"/>
      <c r="E161" s="105"/>
      <c r="F161" s="105"/>
      <c r="G161" s="105"/>
      <c r="H161" s="105"/>
      <c r="I161" s="105"/>
      <c r="J161" s="108"/>
      <c r="K161" s="121"/>
      <c r="L161" s="115"/>
      <c r="M161" s="116"/>
      <c r="N161" s="100"/>
      <c r="O161" s="76"/>
    </row>
    <row r="162" spans="1:15" ht="13">
      <c r="A162" s="122"/>
      <c r="B162" s="123"/>
      <c r="C162" s="105"/>
      <c r="D162" s="105"/>
      <c r="E162" s="105"/>
      <c r="F162" s="105"/>
      <c r="G162" s="105"/>
      <c r="H162" s="105"/>
      <c r="I162" s="105"/>
      <c r="J162" s="108"/>
      <c r="K162" s="121"/>
      <c r="L162" s="115"/>
      <c r="M162" s="116"/>
      <c r="N162" s="100"/>
      <c r="O162" s="76"/>
    </row>
    <row r="163" spans="1:15" ht="13">
      <c r="A163" s="122"/>
      <c r="B163" s="123"/>
      <c r="C163" s="105"/>
      <c r="D163" s="105"/>
      <c r="E163" s="105"/>
      <c r="F163" s="105"/>
      <c r="G163" s="105"/>
      <c r="H163" s="105"/>
      <c r="I163" s="105"/>
      <c r="J163" s="108"/>
      <c r="K163" s="121"/>
      <c r="L163" s="115"/>
      <c r="M163" s="116"/>
      <c r="N163" s="100"/>
      <c r="O163" s="76"/>
    </row>
    <row r="164" spans="1:15" ht="13">
      <c r="A164" s="122"/>
      <c r="B164" s="123"/>
      <c r="C164" s="105"/>
      <c r="D164" s="105"/>
      <c r="E164" s="105"/>
      <c r="F164" s="105"/>
      <c r="G164" s="105"/>
      <c r="H164" s="105"/>
      <c r="I164" s="105"/>
      <c r="J164" s="108"/>
      <c r="K164" s="121"/>
      <c r="L164" s="115"/>
      <c r="M164" s="116"/>
      <c r="N164" s="100"/>
      <c r="O164" s="76"/>
    </row>
    <row r="165" spans="1:15" ht="13">
      <c r="A165" s="122"/>
      <c r="B165" s="123"/>
      <c r="C165" s="105"/>
      <c r="D165" s="105"/>
      <c r="E165" s="105"/>
      <c r="F165" s="105"/>
      <c r="G165" s="105"/>
      <c r="H165" s="105"/>
      <c r="I165" s="105"/>
      <c r="J165" s="108"/>
      <c r="K165" s="121"/>
      <c r="L165" s="115"/>
      <c r="M165" s="116"/>
      <c r="N165" s="100"/>
      <c r="O165" s="76"/>
    </row>
    <row r="166" spans="1:15" ht="13">
      <c r="A166" s="99"/>
      <c r="B166" s="104"/>
      <c r="C166" s="105"/>
      <c r="D166" s="105"/>
      <c r="E166" s="105"/>
      <c r="F166" s="105"/>
      <c r="G166" s="105"/>
      <c r="H166" s="105"/>
      <c r="I166" s="105"/>
      <c r="J166" s="108"/>
      <c r="K166" s="121"/>
      <c r="L166" s="115"/>
      <c r="M166" s="116"/>
      <c r="N166" s="100"/>
      <c r="O166" s="76"/>
    </row>
    <row r="167" spans="1:15" ht="13">
      <c r="A167" s="99"/>
      <c r="B167" s="104"/>
      <c r="C167" s="105"/>
      <c r="D167" s="105"/>
      <c r="E167" s="105"/>
      <c r="F167" s="105"/>
      <c r="G167" s="105"/>
      <c r="H167" s="105"/>
      <c r="I167" s="105"/>
      <c r="J167" s="108"/>
      <c r="K167" s="121"/>
      <c r="L167" s="115"/>
      <c r="M167" s="116"/>
      <c r="N167" s="100"/>
      <c r="O167" s="76"/>
    </row>
    <row r="168" spans="1:15" ht="13">
      <c r="A168" s="99"/>
      <c r="B168" s="104"/>
      <c r="C168" s="105"/>
      <c r="D168" s="105"/>
      <c r="E168" s="105"/>
      <c r="F168" s="105"/>
      <c r="G168" s="105"/>
      <c r="H168" s="105"/>
      <c r="I168" s="105"/>
      <c r="J168" s="108"/>
      <c r="K168" s="121"/>
      <c r="L168" s="115"/>
      <c r="M168" s="116"/>
      <c r="N168" s="100"/>
      <c r="O168" s="76"/>
    </row>
    <row r="169" spans="1:15" ht="13">
      <c r="A169" s="99"/>
      <c r="B169" s="123"/>
      <c r="C169" s="105"/>
      <c r="D169" s="105"/>
      <c r="E169" s="105"/>
      <c r="F169" s="105"/>
      <c r="G169" s="105"/>
      <c r="H169" s="105"/>
      <c r="I169" s="105"/>
      <c r="J169" s="108"/>
      <c r="K169" s="121"/>
      <c r="L169" s="115"/>
      <c r="M169" s="116"/>
      <c r="N169" s="100"/>
      <c r="O169" s="76"/>
    </row>
    <row r="170" spans="1:15" ht="13">
      <c r="A170" s="122"/>
      <c r="B170" s="123"/>
      <c r="C170" s="105"/>
      <c r="D170" s="105"/>
      <c r="E170" s="105"/>
      <c r="F170" s="105"/>
      <c r="G170" s="105"/>
      <c r="H170" s="105"/>
      <c r="I170" s="105"/>
      <c r="J170" s="108"/>
      <c r="K170" s="121"/>
      <c r="L170" s="115"/>
      <c r="M170" s="116"/>
      <c r="N170" s="100"/>
      <c r="O170" s="76"/>
    </row>
    <row r="171" spans="1:15" ht="13">
      <c r="A171" s="103"/>
      <c r="B171" s="104"/>
      <c r="C171" s="105"/>
      <c r="D171" s="105"/>
      <c r="E171" s="105"/>
      <c r="F171" s="105"/>
      <c r="G171" s="105"/>
      <c r="H171" s="105"/>
      <c r="I171" s="105"/>
      <c r="J171" s="108"/>
      <c r="K171" s="121"/>
      <c r="L171" s="115"/>
      <c r="M171" s="116"/>
      <c r="N171" s="100"/>
      <c r="O171" s="76"/>
    </row>
    <row r="172" spans="1:15" ht="13">
      <c r="A172" s="103"/>
      <c r="B172" s="104"/>
      <c r="C172" s="105"/>
      <c r="D172" s="105"/>
      <c r="E172" s="105"/>
      <c r="F172" s="105"/>
      <c r="G172" s="105"/>
      <c r="H172" s="105"/>
      <c r="I172" s="105"/>
      <c r="J172" s="108"/>
      <c r="K172" s="121"/>
      <c r="L172" s="115"/>
      <c r="M172" s="116"/>
      <c r="N172" s="100"/>
      <c r="O172" s="76"/>
    </row>
    <row r="173" spans="1:15" ht="13">
      <c r="A173" s="103"/>
      <c r="B173" s="104"/>
      <c r="C173" s="105"/>
      <c r="D173" s="105"/>
      <c r="E173" s="105"/>
      <c r="F173" s="105"/>
      <c r="G173" s="105"/>
      <c r="H173" s="105"/>
      <c r="I173" s="105"/>
      <c r="J173" s="108"/>
      <c r="K173" s="121"/>
      <c r="L173" s="115"/>
      <c r="M173" s="116"/>
      <c r="N173" s="100"/>
      <c r="O173" s="76"/>
    </row>
    <row r="174" spans="1:15" ht="13">
      <c r="A174" s="99"/>
      <c r="B174" s="104"/>
      <c r="C174" s="105"/>
      <c r="D174" s="105"/>
      <c r="E174" s="105"/>
      <c r="F174" s="105"/>
      <c r="G174" s="105"/>
      <c r="H174" s="105"/>
      <c r="I174" s="105"/>
      <c r="J174" s="108"/>
      <c r="K174" s="121"/>
      <c r="L174" s="115"/>
      <c r="M174" s="116"/>
      <c r="N174" s="100"/>
      <c r="O174" s="76"/>
    </row>
    <row r="175" spans="1:15" ht="13">
      <c r="A175" s="103"/>
      <c r="B175" s="104"/>
      <c r="C175" s="105"/>
      <c r="D175" s="105"/>
      <c r="E175" s="105"/>
      <c r="F175" s="105"/>
      <c r="G175" s="105"/>
      <c r="H175" s="105"/>
      <c r="I175" s="105"/>
      <c r="J175" s="108"/>
      <c r="K175" s="121"/>
      <c r="L175" s="115"/>
      <c r="M175" s="116"/>
      <c r="N175" s="100"/>
      <c r="O175" s="76"/>
    </row>
    <row r="176" spans="1:15" ht="13">
      <c r="A176" s="103"/>
      <c r="B176" s="104"/>
      <c r="C176" s="105"/>
      <c r="D176" s="105"/>
      <c r="E176" s="105"/>
      <c r="F176" s="105"/>
      <c r="G176" s="105"/>
      <c r="H176" s="105"/>
      <c r="I176" s="105"/>
      <c r="J176" s="108"/>
      <c r="K176" s="121"/>
      <c r="L176" s="115"/>
      <c r="M176" s="116"/>
      <c r="N176" s="100"/>
      <c r="O176" s="76"/>
    </row>
    <row r="177" spans="1:15" ht="13">
      <c r="A177" s="103"/>
      <c r="B177" s="104"/>
      <c r="C177" s="105"/>
      <c r="D177" s="105"/>
      <c r="E177" s="105"/>
      <c r="F177" s="105"/>
      <c r="G177" s="105"/>
      <c r="H177" s="105"/>
      <c r="I177" s="105"/>
      <c r="J177" s="108"/>
      <c r="K177" s="121"/>
      <c r="L177" s="115"/>
      <c r="M177" s="116"/>
      <c r="N177" s="100"/>
      <c r="O177" s="76"/>
    </row>
    <row r="178" spans="1:15" ht="13">
      <c r="A178" s="103"/>
      <c r="B178" s="104"/>
      <c r="C178" s="105"/>
      <c r="D178" s="105"/>
      <c r="E178" s="105"/>
      <c r="F178" s="105"/>
      <c r="G178" s="105"/>
      <c r="H178" s="105"/>
      <c r="I178" s="105"/>
      <c r="J178" s="108"/>
      <c r="K178" s="121"/>
      <c r="L178" s="115"/>
      <c r="M178" s="116"/>
      <c r="N178" s="100"/>
      <c r="O178" s="76"/>
    </row>
    <row r="179" spans="1:15" ht="13">
      <c r="A179" s="103"/>
      <c r="B179" s="104"/>
      <c r="C179" s="105"/>
      <c r="D179" s="105"/>
      <c r="E179" s="105"/>
      <c r="F179" s="105"/>
      <c r="G179" s="105"/>
      <c r="H179" s="105"/>
      <c r="I179" s="105"/>
      <c r="J179" s="108"/>
      <c r="K179" s="121"/>
      <c r="L179" s="115"/>
      <c r="M179" s="116"/>
      <c r="N179" s="100"/>
      <c r="O179" s="76"/>
    </row>
    <row r="180" spans="1:15" ht="13">
      <c r="A180" s="124"/>
      <c r="B180" s="104"/>
      <c r="C180" s="105"/>
      <c r="D180" s="105"/>
      <c r="E180" s="105"/>
      <c r="F180" s="105"/>
      <c r="G180" s="105"/>
      <c r="H180" s="105"/>
      <c r="I180" s="105"/>
      <c r="J180" s="108"/>
      <c r="K180" s="121"/>
      <c r="L180" s="115"/>
      <c r="M180" s="116"/>
      <c r="N180" s="100"/>
      <c r="O180" s="76"/>
    </row>
    <row r="181" spans="1:15" ht="13">
      <c r="A181" s="125"/>
      <c r="B181" s="104"/>
      <c r="C181" s="105"/>
      <c r="D181" s="105"/>
      <c r="E181" s="105"/>
      <c r="F181" s="105"/>
      <c r="G181" s="105"/>
      <c r="H181" s="105"/>
      <c r="I181" s="105"/>
      <c r="J181" s="108"/>
      <c r="K181" s="121"/>
      <c r="L181" s="115"/>
      <c r="M181" s="116"/>
      <c r="N181" s="100"/>
      <c r="O181" s="76"/>
    </row>
    <row r="182" spans="1:15" ht="13">
      <c r="A182" s="122"/>
      <c r="B182" s="104"/>
      <c r="C182" s="105"/>
      <c r="D182" s="105"/>
      <c r="E182" s="105"/>
      <c r="F182" s="105"/>
      <c r="G182" s="105"/>
      <c r="H182" s="105"/>
      <c r="I182" s="105"/>
      <c r="J182" s="108"/>
      <c r="K182" s="121"/>
      <c r="L182" s="115"/>
      <c r="M182" s="116"/>
      <c r="N182" s="100"/>
      <c r="O182" s="76"/>
    </row>
    <row r="183" spans="1:15" ht="13">
      <c r="A183" s="99"/>
      <c r="B183" s="104"/>
      <c r="C183" s="105"/>
      <c r="D183" s="105"/>
      <c r="E183" s="105"/>
      <c r="F183" s="105"/>
      <c r="G183" s="105"/>
      <c r="H183" s="105"/>
      <c r="I183" s="105"/>
      <c r="J183" s="108"/>
      <c r="K183" s="121"/>
      <c r="L183" s="115"/>
      <c r="M183" s="116"/>
      <c r="N183" s="100"/>
      <c r="O183" s="76"/>
    </row>
    <row r="184" spans="1:15" ht="13">
      <c r="A184" s="122"/>
      <c r="B184" s="104"/>
      <c r="C184" s="105"/>
      <c r="D184" s="105"/>
      <c r="E184" s="105"/>
      <c r="F184" s="105"/>
      <c r="G184" s="105"/>
      <c r="H184" s="105"/>
      <c r="I184" s="105"/>
      <c r="J184" s="108"/>
      <c r="K184" s="121"/>
      <c r="L184" s="115"/>
      <c r="M184" s="116"/>
      <c r="N184" s="100"/>
      <c r="O184" s="76"/>
    </row>
    <row r="185" spans="1:15" ht="13">
      <c r="A185" s="122"/>
      <c r="B185" s="104"/>
      <c r="C185" s="105"/>
      <c r="D185" s="105"/>
      <c r="E185" s="105"/>
      <c r="F185" s="105"/>
      <c r="G185" s="105"/>
      <c r="H185" s="105"/>
      <c r="I185" s="105"/>
      <c r="J185" s="108"/>
      <c r="K185" s="121"/>
      <c r="L185" s="115"/>
      <c r="M185" s="116"/>
      <c r="N185" s="100"/>
      <c r="O185" s="76"/>
    </row>
    <row r="186" spans="1:15" ht="13">
      <c r="A186" s="122"/>
      <c r="B186" s="104"/>
      <c r="C186" s="105"/>
      <c r="D186" s="105"/>
      <c r="E186" s="105"/>
      <c r="F186" s="105"/>
      <c r="G186" s="105"/>
      <c r="H186" s="105"/>
      <c r="I186" s="105"/>
      <c r="J186" s="108"/>
      <c r="K186" s="121"/>
      <c r="L186" s="115"/>
      <c r="M186" s="116"/>
      <c r="N186" s="100"/>
      <c r="O186" s="76"/>
    </row>
    <row r="187" spans="1:15" ht="13">
      <c r="A187" s="650"/>
      <c r="B187" s="650"/>
      <c r="C187" s="650"/>
      <c r="D187" s="650"/>
      <c r="E187" s="650"/>
      <c r="F187" s="650"/>
      <c r="G187" s="650"/>
      <c r="H187" s="650"/>
      <c r="I187" s="650"/>
      <c r="J187" s="651"/>
      <c r="K187" s="651"/>
      <c r="L187" s="651"/>
      <c r="M187" s="126"/>
      <c r="N187" s="100"/>
      <c r="O187" s="76"/>
    </row>
    <row r="188" spans="1:15">
      <c r="A188" s="100"/>
      <c r="B188" s="108"/>
      <c r="C188" s="108"/>
      <c r="D188" s="108"/>
      <c r="E188" s="108"/>
      <c r="F188" s="108"/>
      <c r="G188" s="108"/>
      <c r="H188" s="108"/>
      <c r="I188" s="108"/>
      <c r="J188" s="108"/>
      <c r="K188" s="119"/>
      <c r="L188" s="119"/>
      <c r="M188" s="100"/>
      <c r="N188" s="100"/>
      <c r="O188" s="76"/>
    </row>
    <row r="189" spans="1:15" ht="19">
      <c r="A189" s="120"/>
      <c r="B189" s="101"/>
      <c r="C189" s="101"/>
      <c r="D189" s="101"/>
      <c r="E189" s="101"/>
      <c r="F189" s="101"/>
      <c r="G189" s="101"/>
      <c r="H189" s="101"/>
      <c r="I189" s="101"/>
      <c r="J189" s="101"/>
      <c r="K189" s="101"/>
      <c r="L189" s="102"/>
      <c r="M189" s="102"/>
      <c r="N189" s="100"/>
      <c r="O189" s="76"/>
    </row>
    <row r="190" spans="1:15" ht="13">
      <c r="A190" s="122"/>
      <c r="B190" s="123"/>
      <c r="C190" s="108"/>
      <c r="D190" s="108"/>
      <c r="E190" s="108"/>
      <c r="F190" s="108"/>
      <c r="G190" s="108"/>
      <c r="H190" s="108"/>
      <c r="I190" s="108"/>
      <c r="J190" s="108"/>
      <c r="K190" s="121"/>
      <c r="L190" s="115"/>
      <c r="M190" s="127"/>
      <c r="N190" s="100"/>
      <c r="O190" s="76"/>
    </row>
    <row r="191" spans="1:15" ht="13">
      <c r="A191" s="122"/>
      <c r="B191" s="123"/>
      <c r="C191" s="108"/>
      <c r="D191" s="108"/>
      <c r="E191" s="108"/>
      <c r="F191" s="108"/>
      <c r="G191" s="108"/>
      <c r="H191" s="108"/>
      <c r="I191" s="108"/>
      <c r="J191" s="108"/>
      <c r="K191" s="121"/>
      <c r="L191" s="115"/>
      <c r="M191" s="127"/>
      <c r="N191" s="100"/>
      <c r="O191" s="76"/>
    </row>
    <row r="192" spans="1:15" ht="13">
      <c r="A192" s="122"/>
      <c r="B192" s="123"/>
      <c r="C192" s="108"/>
      <c r="D192" s="108"/>
      <c r="E192" s="108"/>
      <c r="F192" s="108"/>
      <c r="G192" s="108"/>
      <c r="H192" s="108"/>
      <c r="I192" s="108"/>
      <c r="J192" s="108"/>
      <c r="K192" s="121"/>
      <c r="L192" s="115"/>
      <c r="M192" s="127"/>
      <c r="N192" s="100"/>
      <c r="O192" s="76"/>
    </row>
    <row r="193" spans="1:15" ht="13">
      <c r="A193" s="99"/>
      <c r="B193" s="123"/>
      <c r="C193" s="108"/>
      <c r="D193" s="108"/>
      <c r="E193" s="108"/>
      <c r="F193" s="108"/>
      <c r="G193" s="108"/>
      <c r="H193" s="108"/>
      <c r="I193" s="108"/>
      <c r="J193" s="108"/>
      <c r="K193" s="121"/>
      <c r="L193" s="115"/>
      <c r="M193" s="127"/>
      <c r="N193" s="100"/>
      <c r="O193" s="76"/>
    </row>
    <row r="194" spans="1:15" ht="13">
      <c r="A194" s="99"/>
      <c r="B194" s="123"/>
      <c r="C194" s="108"/>
      <c r="D194" s="108"/>
      <c r="E194" s="108"/>
      <c r="F194" s="108"/>
      <c r="G194" s="108"/>
      <c r="H194" s="108"/>
      <c r="I194" s="108"/>
      <c r="J194" s="108"/>
      <c r="K194" s="121"/>
      <c r="L194" s="115"/>
      <c r="M194" s="127"/>
      <c r="N194" s="100"/>
      <c r="O194" s="76"/>
    </row>
    <row r="195" spans="1:15" ht="13">
      <c r="A195" s="99"/>
      <c r="B195" s="123"/>
      <c r="C195" s="108"/>
      <c r="D195" s="108"/>
      <c r="E195" s="108"/>
      <c r="F195" s="108"/>
      <c r="G195" s="108"/>
      <c r="H195" s="108"/>
      <c r="I195" s="108"/>
      <c r="J195" s="108"/>
      <c r="K195" s="121"/>
      <c r="L195" s="115"/>
      <c r="M195" s="127"/>
      <c r="N195" s="100"/>
      <c r="O195" s="76"/>
    </row>
    <row r="196" spans="1:15" ht="13">
      <c r="A196" s="122"/>
      <c r="B196" s="123"/>
      <c r="C196" s="108"/>
      <c r="D196" s="108"/>
      <c r="E196" s="108"/>
      <c r="F196" s="108"/>
      <c r="G196" s="108"/>
      <c r="H196" s="108"/>
      <c r="I196" s="108"/>
      <c r="J196" s="108"/>
      <c r="K196" s="121"/>
      <c r="L196" s="115"/>
      <c r="M196" s="127"/>
      <c r="N196" s="100"/>
      <c r="O196" s="76"/>
    </row>
    <row r="197" spans="1:15" ht="13">
      <c r="A197" s="128"/>
      <c r="B197" s="123"/>
      <c r="C197" s="108"/>
      <c r="D197" s="108"/>
      <c r="E197" s="108"/>
      <c r="F197" s="108"/>
      <c r="G197" s="108"/>
      <c r="H197" s="108"/>
      <c r="I197" s="108"/>
      <c r="J197" s="108"/>
      <c r="K197" s="121"/>
      <c r="L197" s="115"/>
      <c r="M197" s="127"/>
      <c r="N197" s="100"/>
      <c r="O197" s="76"/>
    </row>
    <row r="198" spans="1:15" ht="13">
      <c r="A198" s="99"/>
      <c r="B198" s="123"/>
      <c r="C198" s="108"/>
      <c r="D198" s="108"/>
      <c r="E198" s="108"/>
      <c r="F198" s="108"/>
      <c r="G198" s="108"/>
      <c r="H198" s="108"/>
      <c r="I198" s="108"/>
      <c r="J198" s="108"/>
      <c r="K198" s="121"/>
      <c r="L198" s="115"/>
      <c r="M198" s="127"/>
      <c r="N198" s="100"/>
      <c r="O198" s="76"/>
    </row>
    <row r="199" spans="1:15" ht="13">
      <c r="A199" s="99"/>
      <c r="B199" s="123"/>
      <c r="C199" s="108"/>
      <c r="D199" s="108"/>
      <c r="E199" s="108"/>
      <c r="F199" s="108"/>
      <c r="G199" s="108"/>
      <c r="H199" s="108"/>
      <c r="I199" s="108"/>
      <c r="J199" s="108"/>
      <c r="K199" s="121"/>
      <c r="L199" s="115"/>
      <c r="M199" s="127"/>
      <c r="N199" s="100"/>
      <c r="O199" s="76"/>
    </row>
    <row r="200" spans="1:15" ht="13">
      <c r="A200" s="122"/>
      <c r="B200" s="123"/>
      <c r="C200" s="108"/>
      <c r="D200" s="108"/>
      <c r="E200" s="108"/>
      <c r="F200" s="108"/>
      <c r="G200" s="108"/>
      <c r="H200" s="108"/>
      <c r="I200" s="108"/>
      <c r="J200" s="108"/>
      <c r="K200" s="121"/>
      <c r="L200" s="115"/>
      <c r="M200" s="127"/>
      <c r="N200" s="100"/>
      <c r="O200" s="76"/>
    </row>
    <row r="201" spans="1:15" ht="13">
      <c r="A201" s="122"/>
      <c r="B201" s="123"/>
      <c r="C201" s="108"/>
      <c r="D201" s="108"/>
      <c r="E201" s="108"/>
      <c r="F201" s="108"/>
      <c r="G201" s="108"/>
      <c r="H201" s="108"/>
      <c r="I201" s="108"/>
      <c r="J201" s="108"/>
      <c r="K201" s="121"/>
      <c r="L201" s="115"/>
      <c r="M201" s="127"/>
      <c r="N201" s="100"/>
      <c r="O201" s="76"/>
    </row>
    <row r="202" spans="1:15" ht="13">
      <c r="A202" s="122"/>
      <c r="B202" s="104"/>
      <c r="C202" s="108"/>
      <c r="D202" s="108"/>
      <c r="E202" s="108"/>
      <c r="F202" s="108"/>
      <c r="G202" s="108"/>
      <c r="H202" s="108"/>
      <c r="I202" s="108"/>
      <c r="J202" s="108"/>
      <c r="K202" s="121"/>
      <c r="L202" s="115"/>
      <c r="M202" s="127"/>
      <c r="N202" s="100"/>
      <c r="O202" s="76"/>
    </row>
    <row r="203" spans="1:15" ht="13">
      <c r="A203" s="122"/>
      <c r="B203" s="104"/>
      <c r="C203" s="108"/>
      <c r="D203" s="108"/>
      <c r="E203" s="108"/>
      <c r="F203" s="108"/>
      <c r="G203" s="108"/>
      <c r="H203" s="108"/>
      <c r="I203" s="108"/>
      <c r="J203" s="108"/>
      <c r="K203" s="121"/>
      <c r="L203" s="115"/>
      <c r="M203" s="127"/>
      <c r="N203" s="100"/>
      <c r="O203" s="76"/>
    </row>
    <row r="204" spans="1:15" ht="13">
      <c r="A204" s="99"/>
      <c r="B204" s="104"/>
      <c r="C204" s="108"/>
      <c r="D204" s="108"/>
      <c r="E204" s="108"/>
      <c r="F204" s="108"/>
      <c r="G204" s="108"/>
      <c r="H204" s="129"/>
      <c r="I204" s="108"/>
      <c r="J204" s="108"/>
      <c r="K204" s="121"/>
      <c r="L204" s="115"/>
      <c r="M204" s="127"/>
      <c r="N204" s="100"/>
      <c r="O204" s="76"/>
    </row>
    <row r="205" spans="1:15" ht="13">
      <c r="A205" s="99"/>
      <c r="B205" s="104"/>
      <c r="C205" s="108"/>
      <c r="D205" s="108"/>
      <c r="E205" s="108"/>
      <c r="F205" s="108"/>
      <c r="G205" s="108"/>
      <c r="H205" s="108"/>
      <c r="I205" s="108"/>
      <c r="J205" s="108"/>
      <c r="K205" s="121"/>
      <c r="L205" s="115"/>
      <c r="M205" s="127"/>
      <c r="N205" s="100"/>
      <c r="O205" s="76"/>
    </row>
    <row r="206" spans="1:15" ht="13">
      <c r="A206" s="99"/>
      <c r="B206" s="104"/>
      <c r="C206" s="108"/>
      <c r="D206" s="108"/>
      <c r="E206" s="108"/>
      <c r="F206" s="108"/>
      <c r="G206" s="108"/>
      <c r="H206" s="108"/>
      <c r="I206" s="108"/>
      <c r="J206" s="108"/>
      <c r="K206" s="121"/>
      <c r="L206" s="115"/>
      <c r="M206" s="127"/>
      <c r="N206" s="100"/>
      <c r="O206" s="76"/>
    </row>
    <row r="207" spans="1:15" ht="13">
      <c r="A207" s="99"/>
      <c r="B207" s="104"/>
      <c r="C207" s="108"/>
      <c r="D207" s="108"/>
      <c r="E207" s="108"/>
      <c r="F207" s="108"/>
      <c r="G207" s="108"/>
      <c r="H207" s="108"/>
      <c r="I207" s="108"/>
      <c r="J207" s="108"/>
      <c r="K207" s="121"/>
      <c r="L207" s="115"/>
      <c r="M207" s="127"/>
      <c r="N207" s="100"/>
      <c r="O207" s="76"/>
    </row>
    <row r="208" spans="1:15" ht="13">
      <c r="A208" s="122"/>
      <c r="B208" s="104"/>
      <c r="C208" s="108"/>
      <c r="D208" s="108"/>
      <c r="E208" s="108"/>
      <c r="F208" s="108"/>
      <c r="G208" s="108"/>
      <c r="H208" s="108"/>
      <c r="I208" s="108"/>
      <c r="J208" s="108"/>
      <c r="K208" s="121"/>
      <c r="L208" s="115"/>
      <c r="M208" s="127"/>
      <c r="N208" s="100"/>
      <c r="O208" s="76"/>
    </row>
    <row r="209" spans="1:15" ht="13">
      <c r="A209" s="650"/>
      <c r="B209" s="650"/>
      <c r="C209" s="650"/>
      <c r="D209" s="650"/>
      <c r="E209" s="650"/>
      <c r="F209" s="650"/>
      <c r="G209" s="650"/>
      <c r="H209" s="650"/>
      <c r="I209" s="650"/>
      <c r="J209" s="651"/>
      <c r="K209" s="651"/>
      <c r="L209" s="651"/>
      <c r="M209" s="118"/>
      <c r="N209" s="100"/>
      <c r="O209" s="76"/>
    </row>
    <row r="210" spans="1:15">
      <c r="A210" s="100"/>
      <c r="B210" s="108"/>
      <c r="C210" s="108"/>
      <c r="D210" s="108"/>
      <c r="E210" s="108"/>
      <c r="F210" s="108"/>
      <c r="G210" s="108"/>
      <c r="H210" s="108"/>
      <c r="I210" s="108"/>
      <c r="J210" s="108"/>
      <c r="K210" s="119"/>
      <c r="L210" s="119"/>
      <c r="M210" s="100"/>
      <c r="N210" s="100"/>
      <c r="O210" s="76"/>
    </row>
    <row r="211" spans="1:15" ht="18">
      <c r="A211" s="130"/>
      <c r="B211" s="101"/>
      <c r="C211" s="101"/>
      <c r="D211" s="101"/>
      <c r="E211" s="101"/>
      <c r="F211" s="131"/>
      <c r="G211" s="131"/>
      <c r="H211" s="131"/>
      <c r="I211" s="131"/>
      <c r="J211" s="132"/>
      <c r="K211" s="132"/>
      <c r="L211" s="100"/>
      <c r="M211" s="100"/>
      <c r="N211" s="100"/>
      <c r="O211" s="76"/>
    </row>
    <row r="212" spans="1:15">
      <c r="A212" s="133"/>
      <c r="B212" s="108"/>
      <c r="C212" s="110"/>
      <c r="D212" s="134"/>
      <c r="E212" s="134"/>
      <c r="F212" s="110"/>
      <c r="G212" s="110"/>
      <c r="H212" s="110"/>
      <c r="I212" s="110"/>
      <c r="J212" s="108"/>
      <c r="K212" s="135"/>
      <c r="L212" s="100"/>
      <c r="M212" s="100"/>
      <c r="N212" s="100"/>
      <c r="O212" s="76"/>
    </row>
    <row r="213" spans="1:15">
      <c r="A213" s="133"/>
      <c r="B213" s="108"/>
      <c r="C213" s="110"/>
      <c r="D213" s="134"/>
      <c r="E213" s="134"/>
      <c r="F213" s="110"/>
      <c r="G213" s="110"/>
      <c r="H213" s="110"/>
      <c r="I213" s="110"/>
      <c r="J213" s="119"/>
      <c r="K213" s="135"/>
      <c r="L213" s="100"/>
      <c r="M213" s="100"/>
      <c r="N213" s="100"/>
      <c r="O213" s="76"/>
    </row>
    <row r="214" spans="1:15">
      <c r="A214" s="124"/>
      <c r="B214" s="108"/>
      <c r="C214" s="110"/>
      <c r="D214" s="134"/>
      <c r="E214" s="134"/>
      <c r="F214" s="110"/>
      <c r="G214" s="110"/>
      <c r="H214" s="110"/>
      <c r="I214" s="110"/>
      <c r="J214" s="119"/>
      <c r="K214" s="135"/>
      <c r="L214" s="100"/>
      <c r="M214" s="100"/>
      <c r="N214" s="100"/>
      <c r="O214" s="76"/>
    </row>
    <row r="215" spans="1:15">
      <c r="A215" s="124"/>
      <c r="B215" s="108"/>
      <c r="C215" s="110"/>
      <c r="D215" s="134"/>
      <c r="E215" s="134"/>
      <c r="F215" s="110"/>
      <c r="G215" s="110"/>
      <c r="H215" s="110"/>
      <c r="I215" s="110"/>
      <c r="J215" s="119"/>
      <c r="K215" s="135"/>
      <c r="L215" s="100"/>
      <c r="M215" s="100"/>
      <c r="N215" s="100"/>
      <c r="O215" s="76"/>
    </row>
    <row r="216" spans="1:15">
      <c r="A216" s="136"/>
      <c r="B216" s="114"/>
      <c r="C216" s="108"/>
      <c r="D216" s="134"/>
      <c r="E216" s="134"/>
      <c r="F216" s="108"/>
      <c r="G216" s="108"/>
      <c r="H216" s="108"/>
      <c r="I216" s="108"/>
      <c r="J216" s="119"/>
      <c r="K216" s="135"/>
      <c r="L216" s="100"/>
      <c r="M216" s="100"/>
      <c r="N216" s="100"/>
      <c r="O216" s="76"/>
    </row>
    <row r="217" spans="1:15">
      <c r="A217" s="124"/>
      <c r="B217" s="105"/>
      <c r="C217" s="108"/>
      <c r="D217" s="134"/>
      <c r="E217" s="134"/>
      <c r="F217" s="108"/>
      <c r="G217" s="108"/>
      <c r="H217" s="108"/>
      <c r="I217" s="108"/>
      <c r="J217" s="119"/>
      <c r="K217" s="135"/>
      <c r="L217" s="100"/>
      <c r="M217" s="100"/>
      <c r="N217" s="100"/>
      <c r="O217" s="76"/>
    </row>
    <row r="218" spans="1:15" ht="13">
      <c r="A218" s="100"/>
      <c r="B218" s="108"/>
      <c r="C218" s="651"/>
      <c r="D218" s="651"/>
      <c r="E218" s="137"/>
      <c r="F218" s="108"/>
      <c r="G218" s="108"/>
      <c r="H218" s="108"/>
      <c r="I218" s="108"/>
      <c r="J218" s="108"/>
      <c r="K218" s="119"/>
      <c r="L218" s="119"/>
      <c r="M218" s="100"/>
      <c r="N218" s="100"/>
      <c r="O218" s="76"/>
    </row>
    <row r="219" spans="1:15">
      <c r="A219" s="100"/>
      <c r="B219" s="108"/>
      <c r="C219" s="108"/>
      <c r="D219" s="108"/>
      <c r="E219" s="108"/>
      <c r="F219" s="108"/>
      <c r="G219" s="108"/>
      <c r="H219" s="108"/>
      <c r="I219" s="108"/>
      <c r="J219" s="108"/>
      <c r="K219" s="119"/>
      <c r="L219" s="119"/>
      <c r="M219" s="100"/>
      <c r="N219" s="100"/>
      <c r="O219" s="76"/>
    </row>
    <row r="220" spans="1:15">
      <c r="A220" s="100"/>
      <c r="B220" s="108"/>
      <c r="C220" s="108"/>
      <c r="D220" s="108"/>
      <c r="E220" s="108"/>
      <c r="F220" s="108"/>
      <c r="G220" s="108"/>
      <c r="H220" s="108"/>
      <c r="I220" s="108"/>
      <c r="J220" s="108"/>
      <c r="K220" s="119"/>
      <c r="L220" s="119"/>
      <c r="M220" s="100"/>
      <c r="N220" s="100"/>
      <c r="O220" s="76"/>
    </row>
    <row r="221" spans="1:15" ht="19">
      <c r="A221" s="652"/>
      <c r="B221" s="652"/>
      <c r="C221" s="652"/>
      <c r="D221" s="652"/>
      <c r="E221" s="652"/>
      <c r="F221" s="652"/>
      <c r="G221" s="652"/>
      <c r="H221" s="652"/>
      <c r="I221" s="652"/>
      <c r="J221" s="653"/>
      <c r="K221" s="653"/>
      <c r="L221" s="654"/>
      <c r="M221" s="654"/>
      <c r="N221" s="654"/>
      <c r="O221" s="76"/>
    </row>
    <row r="222" spans="1:15">
      <c r="A222" s="647"/>
      <c r="B222" s="647"/>
      <c r="C222" s="647"/>
      <c r="D222" s="647"/>
      <c r="E222" s="647"/>
      <c r="F222" s="647"/>
      <c r="G222" s="647"/>
      <c r="H222" s="647"/>
      <c r="I222" s="647"/>
      <c r="J222" s="648"/>
      <c r="K222" s="648"/>
      <c r="L222" s="649"/>
      <c r="M222" s="649"/>
      <c r="N222" s="649"/>
      <c r="O222" s="76"/>
    </row>
    <row r="223" spans="1:15" ht="19" customHeight="1">
      <c r="A223" s="647"/>
      <c r="B223" s="647"/>
      <c r="C223" s="647"/>
      <c r="D223" s="647"/>
      <c r="E223" s="647"/>
      <c r="F223" s="647"/>
      <c r="G223" s="647"/>
      <c r="H223" s="647"/>
      <c r="I223" s="647"/>
      <c r="J223" s="648"/>
      <c r="K223" s="648"/>
      <c r="L223" s="649"/>
      <c r="M223" s="649"/>
      <c r="N223" s="649"/>
      <c r="O223" s="76"/>
    </row>
    <row r="224" spans="1:15">
      <c r="A224" s="647"/>
      <c r="B224" s="647"/>
      <c r="C224" s="647"/>
      <c r="D224" s="647"/>
      <c r="E224" s="647"/>
      <c r="F224" s="647"/>
      <c r="G224" s="647"/>
      <c r="H224" s="647"/>
      <c r="I224" s="647"/>
      <c r="J224" s="648"/>
      <c r="K224" s="648"/>
      <c r="L224" s="649"/>
      <c r="M224" s="649"/>
      <c r="N224" s="649"/>
      <c r="O224" s="76"/>
    </row>
    <row r="225" spans="1:15" ht="13">
      <c r="A225" s="640"/>
      <c r="B225" s="640"/>
      <c r="C225" s="640"/>
      <c r="D225" s="640"/>
      <c r="E225" s="640"/>
      <c r="F225" s="640"/>
      <c r="G225" s="640"/>
      <c r="H225" s="640"/>
      <c r="I225" s="640"/>
      <c r="J225" s="641"/>
      <c r="K225" s="641"/>
      <c r="L225" s="642"/>
      <c r="M225" s="642"/>
      <c r="N225" s="642"/>
      <c r="O225" s="76"/>
    </row>
    <row r="226" spans="1:15">
      <c r="A226" s="638"/>
      <c r="B226" s="638"/>
      <c r="C226" s="638"/>
      <c r="D226" s="638"/>
      <c r="E226" s="638"/>
      <c r="F226" s="638"/>
      <c r="G226" s="638"/>
      <c r="H226" s="638"/>
      <c r="I226" s="638"/>
      <c r="J226" s="638"/>
      <c r="K226" s="638"/>
      <c r="L226" s="639"/>
      <c r="M226" s="639"/>
      <c r="N226" s="639"/>
      <c r="O226" s="76"/>
    </row>
    <row r="227" spans="1:15" ht="13">
      <c r="A227" s="640"/>
      <c r="B227" s="640"/>
      <c r="C227" s="640"/>
      <c r="D227" s="640"/>
      <c r="E227" s="640"/>
      <c r="F227" s="640"/>
      <c r="G227" s="640"/>
      <c r="H227" s="640"/>
      <c r="I227" s="640"/>
      <c r="J227" s="641"/>
      <c r="K227" s="641"/>
      <c r="L227" s="642"/>
      <c r="M227" s="642"/>
      <c r="N227" s="642"/>
      <c r="O227" s="76"/>
    </row>
    <row r="228" spans="1:15" ht="13">
      <c r="A228" s="643"/>
      <c r="B228" s="643"/>
      <c r="C228" s="643"/>
      <c r="D228" s="643"/>
      <c r="E228" s="643"/>
      <c r="F228" s="643"/>
      <c r="G228" s="643"/>
      <c r="H228" s="643"/>
      <c r="I228" s="643"/>
      <c r="J228" s="643"/>
      <c r="K228" s="643"/>
      <c r="L228" s="639"/>
      <c r="M228" s="639"/>
      <c r="N228" s="639"/>
      <c r="O228" s="76"/>
    </row>
    <row r="229" spans="1:15" ht="13">
      <c r="A229" s="644"/>
      <c r="B229" s="644"/>
      <c r="C229" s="644"/>
      <c r="D229" s="644"/>
      <c r="E229" s="644"/>
      <c r="F229" s="644"/>
      <c r="G229" s="644"/>
      <c r="H229" s="644"/>
      <c r="I229" s="644"/>
      <c r="J229" s="645"/>
      <c r="K229" s="645"/>
      <c r="L229" s="646"/>
      <c r="M229" s="646"/>
      <c r="N229" s="646"/>
      <c r="O229" s="76"/>
    </row>
    <row r="230" spans="1:15" ht="13">
      <c r="A230" s="138"/>
      <c r="B230" s="139"/>
      <c r="C230" s="139"/>
      <c r="D230" s="139"/>
      <c r="E230" s="139"/>
      <c r="F230" s="139"/>
      <c r="G230" s="139"/>
      <c r="H230" s="139"/>
      <c r="I230" s="139"/>
      <c r="J230" s="139"/>
      <c r="K230" s="139"/>
      <c r="L230" s="119"/>
      <c r="M230" s="100"/>
      <c r="N230" s="100"/>
      <c r="O230" s="76"/>
    </row>
    <row r="231" spans="1:15" ht="19">
      <c r="A231" s="637"/>
      <c r="B231" s="637"/>
      <c r="C231" s="637"/>
      <c r="D231" s="637"/>
      <c r="E231" s="637"/>
      <c r="F231" s="637"/>
      <c r="G231" s="637"/>
      <c r="H231" s="637"/>
      <c r="I231" s="637"/>
      <c r="J231" s="637"/>
      <c r="K231" s="637"/>
      <c r="L231" s="637"/>
      <c r="M231" s="637"/>
      <c r="N231" s="140"/>
      <c r="O231" s="76"/>
    </row>
  </sheetData>
  <mergeCells count="146">
    <mergeCell ref="A91:L91"/>
    <mergeCell ref="J187:L187"/>
    <mergeCell ref="A187:I187"/>
    <mergeCell ref="I135:K135"/>
    <mergeCell ref="A135:H135"/>
    <mergeCell ref="I127:K127"/>
    <mergeCell ref="A127:H127"/>
    <mergeCell ref="D28:E28"/>
    <mergeCell ref="F28:H28"/>
    <mergeCell ref="A33:C33"/>
    <mergeCell ref="E33:F33"/>
    <mergeCell ref="G33:H33"/>
    <mergeCell ref="A29:C30"/>
    <mergeCell ref="E29:H29"/>
    <mergeCell ref="E30:H30"/>
    <mergeCell ref="A31:C32"/>
    <mergeCell ref="E31:F31"/>
    <mergeCell ref="G31:H31"/>
    <mergeCell ref="E32:F32"/>
    <mergeCell ref="G32:H32"/>
    <mergeCell ref="A27:C28"/>
    <mergeCell ref="D27:E27"/>
    <mergeCell ref="F27:H27"/>
    <mergeCell ref="A55:H55"/>
    <mergeCell ref="A9:I10"/>
    <mergeCell ref="D13:F13"/>
    <mergeCell ref="A19:I19"/>
    <mergeCell ref="A20:I20"/>
    <mergeCell ref="A21:I21"/>
    <mergeCell ref="A13:A18"/>
    <mergeCell ref="B18:C18"/>
    <mergeCell ref="A3:C3"/>
    <mergeCell ref="H3:I3"/>
    <mergeCell ref="A11:D11"/>
    <mergeCell ref="A12:I12"/>
    <mergeCell ref="A25:C26"/>
    <mergeCell ref="E25:F25"/>
    <mergeCell ref="G25:H25"/>
    <mergeCell ref="E26:F26"/>
    <mergeCell ref="D22:E22"/>
    <mergeCell ref="G22:I22"/>
    <mergeCell ref="A23:I23"/>
    <mergeCell ref="A24:I24"/>
    <mergeCell ref="D18:F18"/>
    <mergeCell ref="G13:G18"/>
    <mergeCell ref="H13:I18"/>
    <mergeCell ref="B13:C13"/>
    <mergeCell ref="B14:C14"/>
    <mergeCell ref="B15:C15"/>
    <mergeCell ref="B16:C16"/>
    <mergeCell ref="D14:F14"/>
    <mergeCell ref="D15:F15"/>
    <mergeCell ref="D16:F16"/>
    <mergeCell ref="B17:C17"/>
    <mergeCell ref="D17:F17"/>
    <mergeCell ref="A56:H56"/>
    <mergeCell ref="C57:D57"/>
    <mergeCell ref="C58:D58"/>
    <mergeCell ref="C59:D59"/>
    <mergeCell ref="C60:D60"/>
    <mergeCell ref="A34:C35"/>
    <mergeCell ref="E34:F34"/>
    <mergeCell ref="G34:H34"/>
    <mergeCell ref="E35:F35"/>
    <mergeCell ref="G35:H35"/>
    <mergeCell ref="A54:H54"/>
    <mergeCell ref="A50:I50"/>
    <mergeCell ref="A36:C36"/>
    <mergeCell ref="D36:I36"/>
    <mergeCell ref="A37:I37"/>
    <mergeCell ref="A38:M38"/>
    <mergeCell ref="A51:H51"/>
    <mergeCell ref="A52:D52"/>
    <mergeCell ref="E52:H52"/>
    <mergeCell ref="A53:D53"/>
    <mergeCell ref="E53:H53"/>
    <mergeCell ref="A1:I2"/>
    <mergeCell ref="C4:I4"/>
    <mergeCell ref="B6:I6"/>
    <mergeCell ref="B7:I7"/>
    <mergeCell ref="B5:D5"/>
    <mergeCell ref="A4:B4"/>
    <mergeCell ref="A77:B77"/>
    <mergeCell ref="C77:E77"/>
    <mergeCell ref="A78:B79"/>
    <mergeCell ref="E78:E80"/>
    <mergeCell ref="A80:B80"/>
    <mergeCell ref="G75:H75"/>
    <mergeCell ref="A72:E72"/>
    <mergeCell ref="G73:J73"/>
    <mergeCell ref="G74:J74"/>
    <mergeCell ref="I75:J75"/>
    <mergeCell ref="A73:E73"/>
    <mergeCell ref="A74:C74"/>
    <mergeCell ref="D74:E74"/>
    <mergeCell ref="A75:C75"/>
    <mergeCell ref="D75:E75"/>
    <mergeCell ref="C61:D61"/>
    <mergeCell ref="C63:D63"/>
    <mergeCell ref="A66:I66"/>
    <mergeCell ref="C62:D62"/>
    <mergeCell ref="A88:L88"/>
    <mergeCell ref="A89:L89"/>
    <mergeCell ref="I81:J81"/>
    <mergeCell ref="A82:B82"/>
    <mergeCell ref="A83:B83"/>
    <mergeCell ref="A76:B76"/>
    <mergeCell ref="C76:E76"/>
    <mergeCell ref="I76:J76"/>
    <mergeCell ref="I77:J77"/>
    <mergeCell ref="I78:J78"/>
    <mergeCell ref="I79:J79"/>
    <mergeCell ref="I80:J80"/>
    <mergeCell ref="A84:C84"/>
    <mergeCell ref="A67:H67"/>
    <mergeCell ref="A69:F69"/>
    <mergeCell ref="A81:B81"/>
    <mergeCell ref="A209:I209"/>
    <mergeCell ref="J209:L209"/>
    <mergeCell ref="C218:D218"/>
    <mergeCell ref="A221:I221"/>
    <mergeCell ref="J221:K221"/>
    <mergeCell ref="L221:N221"/>
    <mergeCell ref="A222:I222"/>
    <mergeCell ref="J222:K222"/>
    <mergeCell ref="L222:N222"/>
    <mergeCell ref="A223:I223"/>
    <mergeCell ref="J223:K223"/>
    <mergeCell ref="L223:N223"/>
    <mergeCell ref="A224:I224"/>
    <mergeCell ref="J224:K224"/>
    <mergeCell ref="L224:N224"/>
    <mergeCell ref="A225:I225"/>
    <mergeCell ref="J225:K225"/>
    <mergeCell ref="L225:N225"/>
    <mergeCell ref="A231:M231"/>
    <mergeCell ref="A226:K226"/>
    <mergeCell ref="L226:N226"/>
    <mergeCell ref="A227:I227"/>
    <mergeCell ref="J227:K227"/>
    <mergeCell ref="L227:N227"/>
    <mergeCell ref="A228:K228"/>
    <mergeCell ref="L228:N228"/>
    <mergeCell ref="A229:I229"/>
    <mergeCell ref="J229:K229"/>
    <mergeCell ref="L229:N229"/>
  </mergeCells>
  <conditionalFormatting sqref="C76:E76">
    <cfRule type="expression" dxfId="3" priority="1" stopIfTrue="1">
      <formula>$A$78="Simples Nacional"</formula>
    </cfRule>
  </conditionalFormatting>
  <conditionalFormatting sqref="C77:E77">
    <cfRule type="expression" dxfId="2" priority="2" stopIfTrue="1">
      <formula>$A$78="Simples Nacional"</formula>
    </cfRule>
  </conditionalFormatting>
  <dataValidations count="4">
    <dataValidation operator="equal" allowBlank="1" showErrorMessage="1" sqref="C76">
      <formula1>0</formula1>
      <formula2>0</formula2>
    </dataValidation>
    <dataValidation errorStyle="warning" allowBlank="1" showErrorMessage="1" errorTitle="OK" error="Atingiu o valor desejado." sqref="B22 F22 E52:E53 E58:F62">
      <formula1>0</formula1>
      <formula2>0</formula2>
    </dataValidation>
    <dataValidation type="list" allowBlank="1" showErrorMessage="1" sqref="A77">
      <formula1>"Lucro Real,Lucro Presumido,Simples Nacional"</formula1>
      <formula2>0</formula2>
    </dataValidation>
    <dataValidation operator="equal" allowBlank="1" showErrorMessage="1" errorTitle="Atenção!!!" error="Exclusivamente para os regimes do lucro real e lucro presumido!" sqref="D80:D83">
      <formula1>0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2">
    <tabColor rgb="FFFFFF00"/>
  </sheetPr>
  <dimension ref="A1:R11"/>
  <sheetViews>
    <sheetView showGridLines="0" zoomScale="88" zoomScaleNormal="88" workbookViewId="0">
      <selection activeCell="A13" sqref="A13"/>
    </sheetView>
  </sheetViews>
  <sheetFormatPr defaultColWidth="9" defaultRowHeight="12.5"/>
  <cols>
    <col min="1" max="1" width="50.453125" style="1" customWidth="1"/>
    <col min="2" max="2" width="12" style="2" customWidth="1"/>
    <col min="3" max="3" width="13.453125" style="2" customWidth="1"/>
    <col min="4" max="4" width="14.1796875" style="2" customWidth="1"/>
    <col min="5" max="5" width="11.54296875" style="2" customWidth="1"/>
    <col min="6" max="6" width="11.1796875" style="2" bestFit="1" customWidth="1"/>
    <col min="7" max="7" width="16.81640625" style="2" customWidth="1"/>
    <col min="8" max="8" width="12" style="2" bestFit="1" customWidth="1"/>
    <col min="9" max="9" width="11.54296875" style="2" bestFit="1" customWidth="1"/>
    <col min="10" max="13" width="11.54296875" style="2" customWidth="1"/>
    <col min="14" max="14" width="12.453125" style="2" customWidth="1"/>
    <col min="15" max="15" width="11.453125" style="3" customWidth="1"/>
    <col min="16" max="16" width="13.453125" style="3" customWidth="1"/>
    <col min="17" max="17" width="12.81640625" style="1" customWidth="1"/>
    <col min="18" max="18" width="14.6328125" style="1" customWidth="1"/>
    <col min="19" max="19" width="11.1796875" style="1" customWidth="1"/>
    <col min="20" max="20" width="11.54296875" style="1" customWidth="1"/>
    <col min="21" max="16384" width="9" style="1"/>
  </cols>
  <sheetData>
    <row r="1" spans="1:18" ht="47" customHeight="1"/>
    <row r="2" spans="1:18" ht="29.9" customHeight="1">
      <c r="A2" s="232" t="s">
        <v>32</v>
      </c>
      <c r="B2" s="226" t="s">
        <v>28</v>
      </c>
      <c r="C2" s="226" t="s">
        <v>29</v>
      </c>
      <c r="D2" s="226" t="s">
        <v>30</v>
      </c>
      <c r="E2" s="226" t="s">
        <v>189</v>
      </c>
      <c r="F2" s="402"/>
      <c r="G2" s="402"/>
      <c r="H2" s="402"/>
      <c r="I2" s="402"/>
      <c r="J2" s="402"/>
      <c r="K2" s="402"/>
      <c r="L2" s="402"/>
      <c r="M2" s="402"/>
      <c r="N2" s="402"/>
      <c r="O2" s="402"/>
      <c r="P2" s="402"/>
      <c r="Q2" s="402"/>
      <c r="R2" s="402"/>
    </row>
    <row r="3" spans="1:18" ht="29.9" customHeight="1">
      <c r="A3" s="233" t="s">
        <v>256</v>
      </c>
      <c r="B3" s="228" t="s">
        <v>31</v>
      </c>
      <c r="C3" s="229">
        <v>10</v>
      </c>
      <c r="D3" s="1079">
        <v>29.99</v>
      </c>
      <c r="E3" s="73">
        <f>(D3*C3)/12</f>
        <v>24.991666666666664</v>
      </c>
      <c r="F3" s="402"/>
      <c r="G3" s="402"/>
      <c r="H3" s="402"/>
      <c r="I3" s="402"/>
      <c r="J3" s="402"/>
      <c r="K3" s="402"/>
      <c r="L3" s="402"/>
      <c r="M3" s="402"/>
      <c r="N3" s="402"/>
      <c r="O3" s="402"/>
      <c r="P3" s="402"/>
      <c r="Q3" s="402"/>
      <c r="R3" s="402"/>
    </row>
    <row r="4" spans="1:18" ht="29.9" customHeight="1">
      <c r="A4" s="233" t="s">
        <v>411</v>
      </c>
      <c r="B4" s="228" t="s">
        <v>31</v>
      </c>
      <c r="C4" s="229">
        <v>6</v>
      </c>
      <c r="D4" s="1079">
        <v>95.57</v>
      </c>
      <c r="E4" s="73">
        <f t="shared" ref="E4:E10" si="0">(D4*C4)/12</f>
        <v>47.784999999999997</v>
      </c>
      <c r="F4" s="402"/>
      <c r="G4" s="402"/>
      <c r="H4" s="402"/>
      <c r="I4" s="402"/>
      <c r="J4" s="402"/>
      <c r="K4" s="402"/>
      <c r="L4" s="402"/>
      <c r="M4" s="402"/>
      <c r="N4" s="402"/>
      <c r="O4" s="402"/>
      <c r="P4" s="402"/>
      <c r="Q4" s="402"/>
      <c r="R4" s="402"/>
    </row>
    <row r="5" spans="1:18" ht="19" customHeight="1">
      <c r="A5" s="231" t="s">
        <v>198</v>
      </c>
      <c r="B5" s="228" t="s">
        <v>31</v>
      </c>
      <c r="C5" s="229">
        <v>1</v>
      </c>
      <c r="D5" s="1079">
        <v>188.13</v>
      </c>
      <c r="E5" s="73">
        <f t="shared" si="0"/>
        <v>15.6775</v>
      </c>
    </row>
    <row r="6" spans="1:18" ht="19" customHeight="1">
      <c r="A6" s="231" t="s">
        <v>410</v>
      </c>
      <c r="B6" s="228" t="s">
        <v>31</v>
      </c>
      <c r="C6" s="229">
        <v>10</v>
      </c>
      <c r="D6" s="1079">
        <v>11.62</v>
      </c>
      <c r="E6" s="73">
        <f t="shared" si="0"/>
        <v>9.6833333333333318</v>
      </c>
    </row>
    <row r="7" spans="1:18" ht="30.5" customHeight="1">
      <c r="A7" s="234" t="s">
        <v>258</v>
      </c>
      <c r="B7" s="230" t="s">
        <v>33</v>
      </c>
      <c r="C7" s="228">
        <v>2</v>
      </c>
      <c r="D7" s="1079">
        <v>45.07</v>
      </c>
      <c r="E7" s="73">
        <f t="shared" si="0"/>
        <v>7.5116666666666667</v>
      </c>
    </row>
    <row r="8" spans="1:18" ht="33" customHeight="1">
      <c r="A8" s="297" t="s">
        <v>257</v>
      </c>
      <c r="B8" s="271" t="s">
        <v>31</v>
      </c>
      <c r="C8" s="272">
        <v>1</v>
      </c>
      <c r="D8" s="1080">
        <v>19.91</v>
      </c>
      <c r="E8" s="73">
        <f t="shared" si="0"/>
        <v>1.6591666666666667</v>
      </c>
    </row>
    <row r="9" spans="1:18" ht="30" customHeight="1">
      <c r="A9" s="297" t="s">
        <v>259</v>
      </c>
      <c r="B9" s="271" t="s">
        <v>33</v>
      </c>
      <c r="C9" s="272">
        <v>40</v>
      </c>
      <c r="D9" s="1080">
        <v>2.4</v>
      </c>
      <c r="E9" s="73">
        <f t="shared" si="0"/>
        <v>8</v>
      </c>
    </row>
    <row r="10" spans="1:18" ht="18" customHeight="1">
      <c r="A10" s="231" t="s">
        <v>199</v>
      </c>
      <c r="B10" s="227" t="s">
        <v>31</v>
      </c>
      <c r="C10" s="228">
        <v>1</v>
      </c>
      <c r="D10" s="1079">
        <v>9.67</v>
      </c>
      <c r="E10" s="73">
        <f t="shared" si="0"/>
        <v>0.80583333333333329</v>
      </c>
    </row>
    <row r="11" spans="1:18" ht="20.5" customHeight="1">
      <c r="C11" s="749" t="s">
        <v>47</v>
      </c>
      <c r="D11" s="749"/>
      <c r="E11" s="235">
        <f>SUM(E3:E10)</f>
        <v>116.11416666666666</v>
      </c>
    </row>
  </sheetData>
  <mergeCells count="1">
    <mergeCell ref="C11:D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F22"/>
  <sheetViews>
    <sheetView showGridLines="0" topLeftCell="A7" workbookViewId="0">
      <pane xSplit="1" topLeftCell="N1" activePane="topRight" state="frozen"/>
      <selection pane="topRight" activeCell="AF16" sqref="AF16"/>
    </sheetView>
  </sheetViews>
  <sheetFormatPr defaultRowHeight="12.5"/>
  <cols>
    <col min="1" max="1" width="27.453125" customWidth="1"/>
    <col min="3" max="3" width="12.453125" customWidth="1"/>
    <col min="4" max="7" width="13.54296875" customWidth="1"/>
    <col min="8" max="8" width="11.90625" customWidth="1"/>
    <col min="9" max="9" width="10.90625" customWidth="1"/>
    <col min="10" max="20" width="10.6328125" customWidth="1"/>
    <col min="21" max="21" width="11.7265625" customWidth="1"/>
    <col min="22" max="22" width="10.6328125" customWidth="1"/>
    <col min="23" max="23" width="11.453125" customWidth="1"/>
    <col min="24" max="24" width="10.6328125" customWidth="1"/>
    <col min="25" max="25" width="12.08984375" customWidth="1"/>
    <col min="26" max="26" width="10.6328125" customWidth="1"/>
    <col min="27" max="27" width="12.26953125" customWidth="1"/>
    <col min="28" max="29" width="10.6328125" customWidth="1"/>
    <col min="30" max="30" width="13.1796875" customWidth="1"/>
    <col min="31" max="31" width="13" customWidth="1"/>
    <col min="32" max="32" width="16.1796875" customWidth="1"/>
  </cols>
  <sheetData>
    <row r="1" spans="1:32" ht="52" customHeight="1">
      <c r="A1" s="753" t="s">
        <v>390</v>
      </c>
      <c r="B1" s="753"/>
      <c r="C1" s="753"/>
      <c r="D1" s="753"/>
      <c r="E1" s="753"/>
      <c r="F1" s="753"/>
      <c r="G1" s="753"/>
      <c r="H1" s="753"/>
      <c r="I1" s="753"/>
      <c r="J1" s="753"/>
      <c r="K1" s="753"/>
      <c r="L1" s="753"/>
      <c r="M1" s="753"/>
      <c r="N1" s="753"/>
      <c r="O1" s="753"/>
      <c r="P1" s="753"/>
      <c r="Q1" s="753"/>
      <c r="R1" s="753"/>
      <c r="S1" s="753"/>
      <c r="T1" s="753"/>
      <c r="U1" s="753"/>
      <c r="V1" s="753"/>
      <c r="W1" s="753"/>
      <c r="X1" s="753"/>
      <c r="Y1" s="753"/>
      <c r="Z1" s="753"/>
      <c r="AA1" s="753"/>
      <c r="AB1" s="753"/>
      <c r="AC1" s="753"/>
      <c r="AD1" s="532"/>
      <c r="AE1" s="757" t="s">
        <v>393</v>
      </c>
      <c r="AF1" s="758"/>
    </row>
    <row r="2" spans="1:32" ht="34.5" customHeight="1">
      <c r="A2" s="753" t="s">
        <v>401</v>
      </c>
      <c r="B2" s="753"/>
      <c r="C2" s="753"/>
      <c r="D2" s="753"/>
      <c r="E2" s="753"/>
      <c r="F2" s="753"/>
      <c r="G2" s="753"/>
      <c r="H2" s="752" t="s">
        <v>271</v>
      </c>
      <c r="I2" s="752"/>
      <c r="J2" s="754" t="s">
        <v>272</v>
      </c>
      <c r="K2" s="754"/>
      <c r="L2" s="752" t="s">
        <v>273</v>
      </c>
      <c r="M2" s="752"/>
      <c r="N2" s="754" t="s">
        <v>274</v>
      </c>
      <c r="O2" s="754"/>
      <c r="P2" s="752" t="s">
        <v>292</v>
      </c>
      <c r="Q2" s="752"/>
      <c r="R2" s="754" t="s">
        <v>275</v>
      </c>
      <c r="S2" s="754"/>
      <c r="T2" s="752" t="s">
        <v>276</v>
      </c>
      <c r="U2" s="752"/>
      <c r="V2" s="754" t="s">
        <v>277</v>
      </c>
      <c r="W2" s="754"/>
      <c r="X2" s="752" t="s">
        <v>278</v>
      </c>
      <c r="Y2" s="752"/>
      <c r="Z2" s="754" t="s">
        <v>279</v>
      </c>
      <c r="AA2" s="754"/>
      <c r="AB2" s="752" t="s">
        <v>280</v>
      </c>
      <c r="AC2" s="752"/>
      <c r="AD2" s="534"/>
      <c r="AE2" s="759" t="s">
        <v>392</v>
      </c>
      <c r="AF2" s="760"/>
    </row>
    <row r="3" spans="1:32" ht="52">
      <c r="A3" s="531" t="s">
        <v>400</v>
      </c>
      <c r="B3" s="531" t="s">
        <v>28</v>
      </c>
      <c r="C3" s="531" t="s">
        <v>240</v>
      </c>
      <c r="D3" s="531" t="s">
        <v>243</v>
      </c>
      <c r="E3" s="531" t="s">
        <v>30</v>
      </c>
      <c r="F3" s="531" t="s">
        <v>386</v>
      </c>
      <c r="G3" s="561" t="s">
        <v>387</v>
      </c>
      <c r="H3" s="531" t="s">
        <v>391</v>
      </c>
      <c r="I3" s="531" t="s">
        <v>388</v>
      </c>
      <c r="J3" s="562" t="s">
        <v>389</v>
      </c>
      <c r="K3" s="562" t="s">
        <v>388</v>
      </c>
      <c r="L3" s="531" t="s">
        <v>389</v>
      </c>
      <c r="M3" s="531" t="s">
        <v>388</v>
      </c>
      <c r="N3" s="562" t="s">
        <v>389</v>
      </c>
      <c r="O3" s="562" t="s">
        <v>388</v>
      </c>
      <c r="P3" s="531" t="s">
        <v>389</v>
      </c>
      <c r="Q3" s="531" t="s">
        <v>388</v>
      </c>
      <c r="R3" s="562" t="s">
        <v>389</v>
      </c>
      <c r="S3" s="562" t="s">
        <v>388</v>
      </c>
      <c r="T3" s="531" t="s">
        <v>389</v>
      </c>
      <c r="U3" s="531" t="s">
        <v>388</v>
      </c>
      <c r="V3" s="562" t="s">
        <v>389</v>
      </c>
      <c r="W3" s="562" t="s">
        <v>388</v>
      </c>
      <c r="X3" s="531" t="s">
        <v>389</v>
      </c>
      <c r="Y3" s="531" t="s">
        <v>388</v>
      </c>
      <c r="Z3" s="562" t="s">
        <v>389</v>
      </c>
      <c r="AA3" s="562" t="s">
        <v>388</v>
      </c>
      <c r="AB3" s="531" t="s">
        <v>389</v>
      </c>
      <c r="AC3" s="531" t="s">
        <v>388</v>
      </c>
      <c r="AD3" s="534"/>
      <c r="AE3" s="562" t="s">
        <v>188</v>
      </c>
      <c r="AF3" s="561" t="s">
        <v>187</v>
      </c>
    </row>
    <row r="4" spans="1:32" ht="49" customHeight="1">
      <c r="A4" s="547" t="s">
        <v>380</v>
      </c>
      <c r="B4" s="548" t="s">
        <v>381</v>
      </c>
      <c r="C4" s="549" t="s">
        <v>241</v>
      </c>
      <c r="D4" s="550"/>
      <c r="E4" s="551">
        <v>146.34</v>
      </c>
      <c r="F4" s="552">
        <v>1</v>
      </c>
      <c r="G4" s="553">
        <f>E4/F4</f>
        <v>146.34</v>
      </c>
      <c r="H4" s="545">
        <v>0</v>
      </c>
      <c r="I4" s="554">
        <f>$G$4*H4</f>
        <v>0</v>
      </c>
      <c r="J4" s="545">
        <v>0</v>
      </c>
      <c r="K4" s="554">
        <f>$G$4*J4</f>
        <v>0</v>
      </c>
      <c r="L4" s="545">
        <v>0</v>
      </c>
      <c r="M4" s="554">
        <f>$G$4*L4</f>
        <v>0</v>
      </c>
      <c r="N4" s="545">
        <v>0</v>
      </c>
      <c r="O4" s="554">
        <f>$G$4*N4</f>
        <v>0</v>
      </c>
      <c r="P4" s="545">
        <v>0</v>
      </c>
      <c r="Q4" s="554">
        <f>$G$4*P4</f>
        <v>0</v>
      </c>
      <c r="R4" s="545">
        <v>0</v>
      </c>
      <c r="S4" s="554">
        <f>$G$4*R4</f>
        <v>0</v>
      </c>
      <c r="T4" s="545">
        <v>8</v>
      </c>
      <c r="U4" s="554">
        <f>$G$4*T4</f>
        <v>1170.72</v>
      </c>
      <c r="V4" s="545">
        <v>1</v>
      </c>
      <c r="W4" s="554">
        <f>$G$4*V4</f>
        <v>146.34</v>
      </c>
      <c r="X4" s="545">
        <v>2</v>
      </c>
      <c r="Y4" s="554">
        <f>$G$4*X4</f>
        <v>292.68</v>
      </c>
      <c r="Z4" s="545">
        <v>1</v>
      </c>
      <c r="AA4" s="554">
        <f>$G$4*Z4</f>
        <v>146.34</v>
      </c>
      <c r="AB4" s="545">
        <v>2</v>
      </c>
      <c r="AC4" s="554">
        <f>$G$4*AB4</f>
        <v>292.68</v>
      </c>
      <c r="AD4" s="528"/>
      <c r="AE4" s="545">
        <f>SUM(H4+J4+L4+N4+P4+R4+T4+V4+X4+Z4+AB4)</f>
        <v>14</v>
      </c>
      <c r="AF4" s="546">
        <f>AE4*G4</f>
        <v>2048.7600000000002</v>
      </c>
    </row>
    <row r="5" spans="1:32" ht="57" customHeight="1">
      <c r="A5" s="547" t="s">
        <v>379</v>
      </c>
      <c r="B5" s="548" t="s">
        <v>384</v>
      </c>
      <c r="C5" s="549" t="s">
        <v>242</v>
      </c>
      <c r="D5" s="550"/>
      <c r="E5" s="551">
        <v>142.51</v>
      </c>
      <c r="F5" s="552">
        <v>1</v>
      </c>
      <c r="G5" s="553">
        <f t="shared" ref="G5:G15" si="0">E5/F5</f>
        <v>142.51</v>
      </c>
      <c r="H5" s="545">
        <v>4</v>
      </c>
      <c r="I5" s="554">
        <f>$G$5*H5</f>
        <v>570.04</v>
      </c>
      <c r="J5" s="545">
        <v>4</v>
      </c>
      <c r="K5" s="554">
        <f>$G$5*J5</f>
        <v>570.04</v>
      </c>
      <c r="L5" s="545">
        <v>1</v>
      </c>
      <c r="M5" s="554">
        <f>$G$5*L5</f>
        <v>142.51</v>
      </c>
      <c r="N5" s="545">
        <v>1</v>
      </c>
      <c r="O5" s="554">
        <f>$G$5*N5</f>
        <v>142.51</v>
      </c>
      <c r="P5" s="545">
        <v>1</v>
      </c>
      <c r="Q5" s="554">
        <f>$G$5*P5</f>
        <v>142.51</v>
      </c>
      <c r="R5" s="545">
        <v>1</v>
      </c>
      <c r="S5" s="554">
        <f>$G$5*R5</f>
        <v>142.51</v>
      </c>
      <c r="T5" s="545">
        <v>0</v>
      </c>
      <c r="U5" s="554">
        <f>$G$5*T5</f>
        <v>0</v>
      </c>
      <c r="V5" s="545">
        <v>2</v>
      </c>
      <c r="W5" s="554">
        <f>$G$5*V5</f>
        <v>285.02</v>
      </c>
      <c r="X5" s="545">
        <v>0</v>
      </c>
      <c r="Y5" s="554">
        <f>$G$5*X5</f>
        <v>0</v>
      </c>
      <c r="Z5" s="545">
        <v>0</v>
      </c>
      <c r="AA5" s="554">
        <f>$G$5*Z5</f>
        <v>0</v>
      </c>
      <c r="AB5" s="545">
        <v>0</v>
      </c>
      <c r="AC5" s="554">
        <f>$G$5*AB5</f>
        <v>0</v>
      </c>
      <c r="AD5" s="528"/>
      <c r="AE5" s="545">
        <f t="shared" ref="AE5:AE15" si="1">SUM(H5+J5+L5+N5+P5+R5+T5+V5+X5+Z5+AB5)</f>
        <v>14</v>
      </c>
      <c r="AF5" s="546">
        <f t="shared" ref="AF5:AF15" si="2">AE5*G5</f>
        <v>1995.1399999999999</v>
      </c>
    </row>
    <row r="6" spans="1:32" ht="69.5" customHeight="1">
      <c r="A6" s="555" t="s">
        <v>404</v>
      </c>
      <c r="B6" s="548" t="s">
        <v>385</v>
      </c>
      <c r="C6" s="536" t="s">
        <v>405</v>
      </c>
      <c r="D6" s="550"/>
      <c r="E6" s="551">
        <v>34.299999999999997</v>
      </c>
      <c r="F6" s="552">
        <v>1</v>
      </c>
      <c r="G6" s="553">
        <f t="shared" si="0"/>
        <v>34.299999999999997</v>
      </c>
      <c r="H6" s="545">
        <v>26</v>
      </c>
      <c r="I6" s="554">
        <f>$G$6*H6</f>
        <v>891.8</v>
      </c>
      <c r="J6" s="545">
        <v>35</v>
      </c>
      <c r="K6" s="554">
        <f>$G$6*J6</f>
        <v>1200.5</v>
      </c>
      <c r="L6" s="545">
        <v>5</v>
      </c>
      <c r="M6" s="554">
        <f>$G$6*L6</f>
        <v>171.5</v>
      </c>
      <c r="N6" s="545">
        <v>8</v>
      </c>
      <c r="O6" s="554">
        <f>$G$6*N6</f>
        <v>274.39999999999998</v>
      </c>
      <c r="P6" s="545">
        <v>3</v>
      </c>
      <c r="Q6" s="554">
        <f>$G$6*P6</f>
        <v>102.89999999999999</v>
      </c>
      <c r="R6" s="545">
        <v>5</v>
      </c>
      <c r="S6" s="554">
        <f>$G$6*R6</f>
        <v>171.5</v>
      </c>
      <c r="T6" s="545">
        <v>80</v>
      </c>
      <c r="U6" s="554">
        <f>$G$6*T6</f>
        <v>2744</v>
      </c>
      <c r="V6" s="545">
        <v>5</v>
      </c>
      <c r="W6" s="554">
        <f>$G$6*V6</f>
        <v>171.5</v>
      </c>
      <c r="X6" s="545">
        <v>10</v>
      </c>
      <c r="Y6" s="554">
        <f>$G$6*X6</f>
        <v>343</v>
      </c>
      <c r="Z6" s="545">
        <v>10</v>
      </c>
      <c r="AA6" s="554">
        <f>$G$6*Z6</f>
        <v>343</v>
      </c>
      <c r="AB6" s="545">
        <v>10</v>
      </c>
      <c r="AC6" s="554">
        <f>$G$6*AB6</f>
        <v>343</v>
      </c>
      <c r="AD6" s="528"/>
      <c r="AE6" s="545">
        <f t="shared" si="1"/>
        <v>197</v>
      </c>
      <c r="AF6" s="546">
        <f t="shared" si="2"/>
        <v>6757.0999999999995</v>
      </c>
    </row>
    <row r="7" spans="1:32" ht="89.5" customHeight="1">
      <c r="A7" s="555" t="s">
        <v>260</v>
      </c>
      <c r="B7" s="548" t="s">
        <v>383</v>
      </c>
      <c r="C7" s="549" t="s">
        <v>261</v>
      </c>
      <c r="D7" s="550"/>
      <c r="E7" s="551">
        <v>91.3</v>
      </c>
      <c r="F7" s="552">
        <v>1</v>
      </c>
      <c r="G7" s="553">
        <f t="shared" si="0"/>
        <v>91.3</v>
      </c>
      <c r="H7" s="545">
        <v>1</v>
      </c>
      <c r="I7" s="554">
        <f>$G$7*H7</f>
        <v>91.3</v>
      </c>
      <c r="J7" s="545">
        <v>1</v>
      </c>
      <c r="K7" s="554">
        <f>$G$7*J7</f>
        <v>91.3</v>
      </c>
      <c r="L7" s="545">
        <v>0.25</v>
      </c>
      <c r="M7" s="554">
        <f>$G$7*L7</f>
        <v>22.824999999999999</v>
      </c>
      <c r="N7" s="545">
        <v>0.25</v>
      </c>
      <c r="O7" s="554">
        <f>$G$7*N7</f>
        <v>22.824999999999999</v>
      </c>
      <c r="P7" s="545">
        <v>0.25</v>
      </c>
      <c r="Q7" s="554">
        <f>$G$7*P7</f>
        <v>22.824999999999999</v>
      </c>
      <c r="R7" s="545">
        <v>1</v>
      </c>
      <c r="S7" s="554">
        <f>$G$7*R7</f>
        <v>91.3</v>
      </c>
      <c r="T7" s="545">
        <v>10</v>
      </c>
      <c r="U7" s="554">
        <f>$G$7*T7</f>
        <v>913</v>
      </c>
      <c r="V7" s="545">
        <v>2</v>
      </c>
      <c r="W7" s="554">
        <f>$G$7*V7</f>
        <v>182.6</v>
      </c>
      <c r="X7" s="545">
        <v>2</v>
      </c>
      <c r="Y7" s="554">
        <f>$G$7*X7</f>
        <v>182.6</v>
      </c>
      <c r="Z7" s="545">
        <v>2</v>
      </c>
      <c r="AA7" s="554">
        <f>$G$7*Z7</f>
        <v>182.6</v>
      </c>
      <c r="AB7" s="545">
        <v>2</v>
      </c>
      <c r="AC7" s="554">
        <f>$G$7*AB7</f>
        <v>182.6</v>
      </c>
      <c r="AD7" s="528"/>
      <c r="AE7" s="545">
        <f t="shared" si="1"/>
        <v>21.75</v>
      </c>
      <c r="AF7" s="546">
        <f t="shared" si="2"/>
        <v>1985.7749999999999</v>
      </c>
    </row>
    <row r="8" spans="1:32" ht="45" customHeight="1">
      <c r="A8" s="556" t="s">
        <v>262</v>
      </c>
      <c r="B8" s="549" t="s">
        <v>382</v>
      </c>
      <c r="C8" s="549" t="s">
        <v>263</v>
      </c>
      <c r="D8" s="557"/>
      <c r="E8" s="551">
        <v>16.2</v>
      </c>
      <c r="F8" s="552">
        <v>1</v>
      </c>
      <c r="G8" s="553">
        <f t="shared" si="0"/>
        <v>16.2</v>
      </c>
      <c r="H8" s="545">
        <v>5</v>
      </c>
      <c r="I8" s="554">
        <f>$G$8*H8</f>
        <v>81</v>
      </c>
      <c r="J8" s="545">
        <v>1</v>
      </c>
      <c r="K8" s="554">
        <f>$G$8*J8</f>
        <v>16.2</v>
      </c>
      <c r="L8" s="545">
        <v>0.25</v>
      </c>
      <c r="M8" s="554">
        <f>$G$8*L8</f>
        <v>4.05</v>
      </c>
      <c r="N8" s="545">
        <v>0.25</v>
      </c>
      <c r="O8" s="554">
        <f>$G$8*N8</f>
        <v>4.05</v>
      </c>
      <c r="P8" s="545">
        <v>0.25</v>
      </c>
      <c r="Q8" s="554">
        <f>$G$8*P8</f>
        <v>4.05</v>
      </c>
      <c r="R8" s="545">
        <v>1</v>
      </c>
      <c r="S8" s="554">
        <f>$G$8*R8</f>
        <v>16.2</v>
      </c>
      <c r="T8" s="545">
        <v>2</v>
      </c>
      <c r="U8" s="554">
        <f>$G$8*T8</f>
        <v>32.4</v>
      </c>
      <c r="V8" s="545">
        <v>1</v>
      </c>
      <c r="W8" s="554">
        <f>$G$8*V8</f>
        <v>16.2</v>
      </c>
      <c r="X8" s="545">
        <v>1</v>
      </c>
      <c r="Y8" s="554">
        <f>$G$8*X8</f>
        <v>16.2</v>
      </c>
      <c r="Z8" s="545">
        <v>2</v>
      </c>
      <c r="AA8" s="554">
        <f>$G$8*Z8</f>
        <v>32.4</v>
      </c>
      <c r="AB8" s="545">
        <v>1</v>
      </c>
      <c r="AC8" s="554">
        <f>$G$8*AB8</f>
        <v>16.2</v>
      </c>
      <c r="AD8" s="528"/>
      <c r="AE8" s="545">
        <f t="shared" si="1"/>
        <v>14.75</v>
      </c>
      <c r="AF8" s="546">
        <f t="shared" si="2"/>
        <v>238.95</v>
      </c>
    </row>
    <row r="9" spans="1:32" ht="27.5" customHeight="1">
      <c r="A9" s="555" t="s">
        <v>407</v>
      </c>
      <c r="B9" s="558" t="s">
        <v>383</v>
      </c>
      <c r="C9" s="536" t="s">
        <v>264</v>
      </c>
      <c r="D9" s="557"/>
      <c r="E9" s="551">
        <v>37.47</v>
      </c>
      <c r="F9" s="552">
        <v>1</v>
      </c>
      <c r="G9" s="553">
        <f t="shared" si="0"/>
        <v>37.47</v>
      </c>
      <c r="H9" s="545">
        <v>1</v>
      </c>
      <c r="I9" s="554">
        <f>$G$9*H9</f>
        <v>37.47</v>
      </c>
      <c r="J9" s="545">
        <v>1</v>
      </c>
      <c r="K9" s="554">
        <f>$G$9*J9</f>
        <v>37.47</v>
      </c>
      <c r="L9" s="545">
        <v>1</v>
      </c>
      <c r="M9" s="554">
        <f>$G$9*L9</f>
        <v>37.47</v>
      </c>
      <c r="N9" s="545">
        <v>0.25</v>
      </c>
      <c r="O9" s="554">
        <f>$G$9*N9</f>
        <v>9.3674999999999997</v>
      </c>
      <c r="P9" s="545">
        <v>0.25</v>
      </c>
      <c r="Q9" s="554">
        <f>$G$9*P9</f>
        <v>9.3674999999999997</v>
      </c>
      <c r="R9" s="545">
        <v>2</v>
      </c>
      <c r="S9" s="554">
        <f>$G$9*R9</f>
        <v>74.94</v>
      </c>
      <c r="T9" s="545">
        <v>15</v>
      </c>
      <c r="U9" s="554">
        <f>$G$9*T9</f>
        <v>562.04999999999995</v>
      </c>
      <c r="V9" s="545">
        <v>2</v>
      </c>
      <c r="W9" s="554">
        <f>$G$9*V9</f>
        <v>74.94</v>
      </c>
      <c r="X9" s="545">
        <v>2</v>
      </c>
      <c r="Y9" s="554">
        <f>$G$9*X9</f>
        <v>74.94</v>
      </c>
      <c r="Z9" s="545">
        <v>2</v>
      </c>
      <c r="AA9" s="554">
        <f>$G$9*Z9</f>
        <v>74.94</v>
      </c>
      <c r="AB9" s="545">
        <v>2</v>
      </c>
      <c r="AC9" s="554">
        <f>$G$9*AB9</f>
        <v>74.94</v>
      </c>
      <c r="AD9" s="528"/>
      <c r="AE9" s="545">
        <f t="shared" si="1"/>
        <v>28.5</v>
      </c>
      <c r="AF9" s="546">
        <f t="shared" si="2"/>
        <v>1067.895</v>
      </c>
    </row>
    <row r="10" spans="1:32" ht="35" customHeight="1">
      <c r="A10" s="556" t="s">
        <v>406</v>
      </c>
      <c r="B10" s="549" t="s">
        <v>265</v>
      </c>
      <c r="C10" s="549" t="s">
        <v>266</v>
      </c>
      <c r="D10" s="557"/>
      <c r="E10" s="551">
        <v>6.46</v>
      </c>
      <c r="F10" s="552">
        <v>1</v>
      </c>
      <c r="G10" s="553">
        <f t="shared" si="0"/>
        <v>6.46</v>
      </c>
      <c r="H10" s="545">
        <v>1</v>
      </c>
      <c r="I10" s="554">
        <f>$G$10*H10</f>
        <v>6.46</v>
      </c>
      <c r="J10" s="545">
        <v>2</v>
      </c>
      <c r="K10" s="554">
        <f>$G$10*J10</f>
        <v>12.92</v>
      </c>
      <c r="L10" s="545">
        <v>0.25</v>
      </c>
      <c r="M10" s="554">
        <f>$G$10*L10</f>
        <v>1.615</v>
      </c>
      <c r="N10" s="545">
        <v>0.25</v>
      </c>
      <c r="O10" s="554">
        <f>$G$10*N10</f>
        <v>1.615</v>
      </c>
      <c r="P10" s="545">
        <v>0.25</v>
      </c>
      <c r="Q10" s="554">
        <f>$G$10*P10</f>
        <v>1.615</v>
      </c>
      <c r="R10" s="545">
        <v>1</v>
      </c>
      <c r="S10" s="554">
        <f>$G$10*R10</f>
        <v>6.46</v>
      </c>
      <c r="T10" s="545">
        <v>10</v>
      </c>
      <c r="U10" s="554">
        <f>$G$10*T10</f>
        <v>64.599999999999994</v>
      </c>
      <c r="V10" s="545">
        <v>2</v>
      </c>
      <c r="W10" s="554">
        <f>$G$10*V10</f>
        <v>12.92</v>
      </c>
      <c r="X10" s="545">
        <v>2</v>
      </c>
      <c r="Y10" s="554">
        <f>$G$10*X10</f>
        <v>12.92</v>
      </c>
      <c r="Z10" s="545">
        <v>2</v>
      </c>
      <c r="AA10" s="554">
        <f>$G$10*Z10</f>
        <v>12.92</v>
      </c>
      <c r="AB10" s="545">
        <v>1</v>
      </c>
      <c r="AC10" s="554">
        <f>$G$10*AB10</f>
        <v>6.46</v>
      </c>
      <c r="AD10" s="528"/>
      <c r="AE10" s="545">
        <f t="shared" si="1"/>
        <v>21.75</v>
      </c>
      <c r="AF10" s="546">
        <f t="shared" si="2"/>
        <v>140.505</v>
      </c>
    </row>
    <row r="11" spans="1:32" ht="23.5" customHeight="1">
      <c r="A11" s="556" t="s">
        <v>267</v>
      </c>
      <c r="B11" s="549" t="s">
        <v>28</v>
      </c>
      <c r="C11" s="549" t="s">
        <v>263</v>
      </c>
      <c r="D11" s="557"/>
      <c r="E11" s="551">
        <v>37.92</v>
      </c>
      <c r="F11" s="552">
        <v>30</v>
      </c>
      <c r="G11" s="553">
        <f t="shared" si="0"/>
        <v>1.264</v>
      </c>
      <c r="H11" s="545">
        <v>10</v>
      </c>
      <c r="I11" s="554">
        <f>$G$11*H11</f>
        <v>12.64</v>
      </c>
      <c r="J11" s="545">
        <v>12</v>
      </c>
      <c r="K11" s="554">
        <f>$G$11*J11</f>
        <v>15.167999999999999</v>
      </c>
      <c r="L11" s="545">
        <v>8</v>
      </c>
      <c r="M11" s="554">
        <f>$G$11*L11</f>
        <v>10.112</v>
      </c>
      <c r="N11" s="545">
        <v>6</v>
      </c>
      <c r="O11" s="554">
        <f>$G$11*N11</f>
        <v>7.5839999999999996</v>
      </c>
      <c r="P11" s="545">
        <v>4</v>
      </c>
      <c r="Q11" s="554">
        <f>$G$11*P11</f>
        <v>5.056</v>
      </c>
      <c r="R11" s="545">
        <v>5</v>
      </c>
      <c r="S11" s="554">
        <f>$G$11*R11</f>
        <v>6.32</v>
      </c>
      <c r="T11" s="545">
        <v>18</v>
      </c>
      <c r="U11" s="554">
        <f>$G$11*T11</f>
        <v>22.751999999999999</v>
      </c>
      <c r="V11" s="545">
        <v>4</v>
      </c>
      <c r="W11" s="554">
        <f>$G$11*V11</f>
        <v>5.056</v>
      </c>
      <c r="X11" s="545">
        <v>4</v>
      </c>
      <c r="Y11" s="554">
        <f>$G$11*X11</f>
        <v>5.056</v>
      </c>
      <c r="Z11" s="545">
        <v>4</v>
      </c>
      <c r="AA11" s="554">
        <f>$G$11*Z11</f>
        <v>5.056</v>
      </c>
      <c r="AB11" s="545">
        <v>5</v>
      </c>
      <c r="AC11" s="554">
        <f>$G$11*AB11</f>
        <v>6.32</v>
      </c>
      <c r="AD11" s="528"/>
      <c r="AE11" s="545">
        <f t="shared" si="1"/>
        <v>80</v>
      </c>
      <c r="AF11" s="546">
        <f t="shared" si="2"/>
        <v>101.12</v>
      </c>
    </row>
    <row r="12" spans="1:32" ht="28" customHeight="1">
      <c r="A12" s="556" t="s">
        <v>268</v>
      </c>
      <c r="B12" s="549" t="s">
        <v>31</v>
      </c>
      <c r="C12" s="549" t="s">
        <v>263</v>
      </c>
      <c r="D12" s="557"/>
      <c r="E12" s="551">
        <v>40.69</v>
      </c>
      <c r="F12" s="552">
        <v>30</v>
      </c>
      <c r="G12" s="553">
        <f t="shared" si="0"/>
        <v>1.3563333333333332</v>
      </c>
      <c r="H12" s="545">
        <v>10</v>
      </c>
      <c r="I12" s="554">
        <f>$G$12*H12</f>
        <v>13.563333333333333</v>
      </c>
      <c r="J12" s="545">
        <v>15</v>
      </c>
      <c r="K12" s="554">
        <f>$G$12*J12</f>
        <v>20.344999999999999</v>
      </c>
      <c r="L12" s="545">
        <v>8</v>
      </c>
      <c r="M12" s="554">
        <f>$G$12*L12</f>
        <v>10.850666666666665</v>
      </c>
      <c r="N12" s="545">
        <v>6</v>
      </c>
      <c r="O12" s="554">
        <f>$G$12*N12</f>
        <v>8.1379999999999981</v>
      </c>
      <c r="P12" s="545">
        <v>4</v>
      </c>
      <c r="Q12" s="554">
        <f>$G$12*P12</f>
        <v>5.4253333333333327</v>
      </c>
      <c r="R12" s="545">
        <v>5</v>
      </c>
      <c r="S12" s="554">
        <f>$G$12*R12</f>
        <v>6.7816666666666663</v>
      </c>
      <c r="T12" s="545">
        <v>0</v>
      </c>
      <c r="U12" s="554">
        <f>$G$12*T12</f>
        <v>0</v>
      </c>
      <c r="V12" s="545">
        <v>8</v>
      </c>
      <c r="W12" s="554">
        <f>$G$12*V12</f>
        <v>10.850666666666665</v>
      </c>
      <c r="X12" s="545">
        <v>0</v>
      </c>
      <c r="Y12" s="554">
        <f>$G$12*X12</f>
        <v>0</v>
      </c>
      <c r="Z12" s="545">
        <v>0</v>
      </c>
      <c r="AA12" s="554">
        <f>$G$12*Z12</f>
        <v>0</v>
      </c>
      <c r="AB12" s="545">
        <v>0</v>
      </c>
      <c r="AC12" s="554">
        <f>$G$12*AB12</f>
        <v>0</v>
      </c>
      <c r="AD12" s="528"/>
      <c r="AE12" s="545">
        <f t="shared" si="1"/>
        <v>56</v>
      </c>
      <c r="AF12" s="546">
        <f t="shared" si="2"/>
        <v>75.954666666666654</v>
      </c>
    </row>
    <row r="13" spans="1:32" ht="29" customHeight="1">
      <c r="A13" s="556" t="s">
        <v>408</v>
      </c>
      <c r="B13" s="549" t="s">
        <v>31</v>
      </c>
      <c r="C13" s="549" t="s">
        <v>263</v>
      </c>
      <c r="D13" s="557"/>
      <c r="E13" s="551">
        <v>37.1</v>
      </c>
      <c r="F13" s="552">
        <v>30</v>
      </c>
      <c r="G13" s="553">
        <f t="shared" si="0"/>
        <v>1.2366666666666668</v>
      </c>
      <c r="H13" s="545">
        <v>6</v>
      </c>
      <c r="I13" s="554">
        <f>$G$13*H13</f>
        <v>7.4200000000000008</v>
      </c>
      <c r="J13" s="545">
        <v>15</v>
      </c>
      <c r="K13" s="554">
        <f>$G$13*J13</f>
        <v>18.55</v>
      </c>
      <c r="L13" s="545">
        <v>6</v>
      </c>
      <c r="M13" s="554">
        <f>$G$13*L13</f>
        <v>7.4200000000000008</v>
      </c>
      <c r="N13" s="545">
        <v>4</v>
      </c>
      <c r="O13" s="554">
        <f>$G$13*N13</f>
        <v>4.9466666666666672</v>
      </c>
      <c r="P13" s="545">
        <v>4</v>
      </c>
      <c r="Q13" s="554">
        <f>$G$13*P13</f>
        <v>4.9466666666666672</v>
      </c>
      <c r="R13" s="545">
        <v>5</v>
      </c>
      <c r="S13" s="554">
        <f>$G$13*R13</f>
        <v>6.1833333333333336</v>
      </c>
      <c r="T13" s="545">
        <v>40</v>
      </c>
      <c r="U13" s="554">
        <f>$G$13*T13</f>
        <v>49.466666666666669</v>
      </c>
      <c r="V13" s="545">
        <v>4</v>
      </c>
      <c r="W13" s="554">
        <f>$G$13*V13</f>
        <v>4.9466666666666672</v>
      </c>
      <c r="X13" s="545">
        <v>4</v>
      </c>
      <c r="Y13" s="554">
        <f>$G$13*X13</f>
        <v>4.9466666666666672</v>
      </c>
      <c r="Z13" s="545">
        <v>6</v>
      </c>
      <c r="AA13" s="554">
        <f>$G$13*Z13</f>
        <v>7.4200000000000008</v>
      </c>
      <c r="AB13" s="545">
        <v>3</v>
      </c>
      <c r="AC13" s="554">
        <f>$G$13*AB13</f>
        <v>3.7100000000000004</v>
      </c>
      <c r="AD13" s="528"/>
      <c r="AE13" s="545">
        <f t="shared" si="1"/>
        <v>97</v>
      </c>
      <c r="AF13" s="546">
        <f t="shared" si="2"/>
        <v>119.95666666666668</v>
      </c>
    </row>
    <row r="14" spans="1:32" ht="29.5" customHeight="1">
      <c r="A14" s="556" t="s">
        <v>270</v>
      </c>
      <c r="B14" s="549" t="s">
        <v>31</v>
      </c>
      <c r="C14" s="549" t="s">
        <v>263</v>
      </c>
      <c r="D14" s="557"/>
      <c r="E14" s="551">
        <v>11.36</v>
      </c>
      <c r="F14" s="552">
        <v>30</v>
      </c>
      <c r="G14" s="553">
        <f t="shared" si="0"/>
        <v>0.37866666666666665</v>
      </c>
      <c r="H14" s="545">
        <v>4</v>
      </c>
      <c r="I14" s="554">
        <f>$G$14*H14</f>
        <v>1.5146666666666666</v>
      </c>
      <c r="J14" s="545">
        <v>4</v>
      </c>
      <c r="K14" s="554">
        <f>$G$14*J14</f>
        <v>1.5146666666666666</v>
      </c>
      <c r="L14" s="545">
        <v>2</v>
      </c>
      <c r="M14" s="554">
        <f>$G$14*L14</f>
        <v>0.7573333333333333</v>
      </c>
      <c r="N14" s="545">
        <v>2</v>
      </c>
      <c r="O14" s="554">
        <f>$G$14*N14</f>
        <v>0.7573333333333333</v>
      </c>
      <c r="P14" s="545">
        <v>2</v>
      </c>
      <c r="Q14" s="554">
        <f>$G$14*P14</f>
        <v>0.7573333333333333</v>
      </c>
      <c r="R14" s="545">
        <v>2</v>
      </c>
      <c r="S14" s="554">
        <f>$G$14*R14</f>
        <v>0.7573333333333333</v>
      </c>
      <c r="T14" s="545">
        <v>18</v>
      </c>
      <c r="U14" s="554">
        <f>$G$14*T14</f>
        <v>6.8159999999999998</v>
      </c>
      <c r="V14" s="545">
        <v>4</v>
      </c>
      <c r="W14" s="554">
        <f>$G$14*V14</f>
        <v>1.5146666666666666</v>
      </c>
      <c r="X14" s="545">
        <v>2</v>
      </c>
      <c r="Y14" s="554">
        <f>$G$14*X14</f>
        <v>0.7573333333333333</v>
      </c>
      <c r="Z14" s="545">
        <v>3</v>
      </c>
      <c r="AA14" s="554">
        <f>$G$14*Z14</f>
        <v>1.1359999999999999</v>
      </c>
      <c r="AB14" s="545">
        <v>2</v>
      </c>
      <c r="AC14" s="554">
        <f>$G$14*AB14</f>
        <v>0.7573333333333333</v>
      </c>
      <c r="AD14" s="528"/>
      <c r="AE14" s="545">
        <f t="shared" si="1"/>
        <v>45</v>
      </c>
      <c r="AF14" s="546">
        <f t="shared" si="2"/>
        <v>17.04</v>
      </c>
    </row>
    <row r="15" spans="1:32" ht="27" customHeight="1">
      <c r="A15" s="535" t="s">
        <v>269</v>
      </c>
      <c r="B15" s="545" t="s">
        <v>31</v>
      </c>
      <c r="C15" s="549" t="s">
        <v>263</v>
      </c>
      <c r="D15" s="559"/>
      <c r="E15" s="560">
        <v>27.65</v>
      </c>
      <c r="F15" s="552">
        <v>30</v>
      </c>
      <c r="G15" s="553">
        <f t="shared" si="0"/>
        <v>0.92166666666666663</v>
      </c>
      <c r="H15" s="536">
        <v>6</v>
      </c>
      <c r="I15" s="554">
        <f>$G$15*H15</f>
        <v>5.5299999999999994</v>
      </c>
      <c r="J15" s="536">
        <v>6</v>
      </c>
      <c r="K15" s="554">
        <f>$G$15*J15</f>
        <v>5.5299999999999994</v>
      </c>
      <c r="L15" s="536">
        <v>2</v>
      </c>
      <c r="M15" s="554">
        <f>$G$15*L15</f>
        <v>1.8433333333333333</v>
      </c>
      <c r="N15" s="536">
        <v>2</v>
      </c>
      <c r="O15" s="554">
        <f>$G$15*N15</f>
        <v>1.8433333333333333</v>
      </c>
      <c r="P15" s="536">
        <v>2</v>
      </c>
      <c r="Q15" s="554">
        <f>$G$15*P15</f>
        <v>1.8433333333333333</v>
      </c>
      <c r="R15" s="536">
        <v>5</v>
      </c>
      <c r="S15" s="554">
        <f>$G$15*R15</f>
        <v>4.6083333333333334</v>
      </c>
      <c r="T15" s="536">
        <v>30</v>
      </c>
      <c r="U15" s="554">
        <f>$G$15*T15</f>
        <v>27.65</v>
      </c>
      <c r="V15" s="536">
        <v>4</v>
      </c>
      <c r="W15" s="554">
        <f>$G$15*V15</f>
        <v>3.6866666666666665</v>
      </c>
      <c r="X15" s="536">
        <v>2</v>
      </c>
      <c r="Y15" s="554">
        <f>$G$15*X15</f>
        <v>1.8433333333333333</v>
      </c>
      <c r="Z15" s="536">
        <v>3</v>
      </c>
      <c r="AA15" s="554">
        <f>$G$15*Z15</f>
        <v>2.7649999999999997</v>
      </c>
      <c r="AB15" s="536">
        <v>2</v>
      </c>
      <c r="AC15" s="554">
        <f>$G$15*AB15</f>
        <v>1.8433333333333333</v>
      </c>
      <c r="AD15" s="533"/>
      <c r="AE15" s="545">
        <f t="shared" si="1"/>
        <v>64</v>
      </c>
      <c r="AF15" s="546">
        <f t="shared" si="2"/>
        <v>58.986666666666665</v>
      </c>
    </row>
    <row r="16" spans="1:32" ht="25.5" customHeight="1">
      <c r="A16" s="761" t="s">
        <v>394</v>
      </c>
      <c r="B16" s="762"/>
      <c r="C16" s="762"/>
      <c r="D16" s="762"/>
      <c r="E16" s="762"/>
      <c r="F16" s="762"/>
      <c r="G16" s="763"/>
      <c r="H16" s="537" t="s">
        <v>396</v>
      </c>
      <c r="I16" s="542">
        <f>SUM(I4:I15)</f>
        <v>1718.7380000000001</v>
      </c>
      <c r="J16" s="537" t="s">
        <v>396</v>
      </c>
      <c r="K16" s="544">
        <f>SUM(K4:K15)</f>
        <v>1989.5376666666666</v>
      </c>
      <c r="L16" s="537" t="s">
        <v>396</v>
      </c>
      <c r="M16" s="544">
        <f>SUM(M4:M15)</f>
        <v>410.95333333333338</v>
      </c>
      <c r="N16" s="537" t="s">
        <v>396</v>
      </c>
      <c r="O16" s="544">
        <f>SUM(O4:O15)</f>
        <v>478.03683333333328</v>
      </c>
      <c r="P16" s="537" t="s">
        <v>396</v>
      </c>
      <c r="Q16" s="544">
        <f>SUM(Q4:Q15)</f>
        <v>301.29616666666664</v>
      </c>
      <c r="R16" s="537" t="s">
        <v>396</v>
      </c>
      <c r="S16" s="544">
        <f>SUM(S4:S15)</f>
        <v>527.56066666666663</v>
      </c>
      <c r="T16" s="537" t="s">
        <v>396</v>
      </c>
      <c r="U16" s="544">
        <f>SUM(U4:U15)</f>
        <v>5593.4546666666665</v>
      </c>
      <c r="V16" s="537" t="s">
        <v>396</v>
      </c>
      <c r="W16" s="544">
        <f>SUM(W4:W15)</f>
        <v>915.57466666666687</v>
      </c>
      <c r="X16" s="537" t="s">
        <v>396</v>
      </c>
      <c r="Y16" s="544">
        <f>SUM(Y4:Y15)</f>
        <v>934.9433333333335</v>
      </c>
      <c r="Z16" s="537" t="s">
        <v>396</v>
      </c>
      <c r="AA16" s="544">
        <f>SUM(AA4:AA15)</f>
        <v>808.57699999999988</v>
      </c>
      <c r="AB16" s="537" t="s">
        <v>396</v>
      </c>
      <c r="AC16" s="544">
        <f>SUM(AC4:AC15)</f>
        <v>928.51066666666691</v>
      </c>
      <c r="AD16" s="533"/>
      <c r="AE16" s="537" t="s">
        <v>398</v>
      </c>
      <c r="AF16" s="1081">
        <f>SUM(AF4:AF15)</f>
        <v>14607.183000000001</v>
      </c>
    </row>
    <row r="17" spans="1:32" ht="15" customHeight="1">
      <c r="A17" s="764"/>
      <c r="B17" s="765"/>
      <c r="C17" s="765"/>
      <c r="D17" s="765"/>
      <c r="E17" s="765"/>
      <c r="F17" s="765"/>
      <c r="G17" s="766"/>
      <c r="H17" s="537" t="s">
        <v>395</v>
      </c>
      <c r="I17" s="750">
        <f>I19-I16</f>
        <v>122.43821853240502</v>
      </c>
      <c r="J17" s="537" t="s">
        <v>395</v>
      </c>
      <c r="K17" s="750">
        <f>K19-K16</f>
        <v>188.39081353767551</v>
      </c>
      <c r="L17" s="537" t="s">
        <v>395</v>
      </c>
      <c r="M17" s="750">
        <f>M19-M16</f>
        <v>38.913479292100021</v>
      </c>
      <c r="N17" s="537" t="s">
        <v>395</v>
      </c>
      <c r="O17" s="750">
        <f>O19-O16</f>
        <v>34.054043295840017</v>
      </c>
      <c r="P17" s="537" t="s">
        <v>395</v>
      </c>
      <c r="Q17" s="750">
        <f>Q19-Q16</f>
        <v>23.201589570992667</v>
      </c>
      <c r="R17" s="537" t="s">
        <v>395</v>
      </c>
      <c r="S17" s="750">
        <f>S19-S16</f>
        <v>43.701560368164564</v>
      </c>
      <c r="T17" s="537" t="s">
        <v>395</v>
      </c>
      <c r="U17" s="750">
        <f>U19-U16</f>
        <v>529.64841671227896</v>
      </c>
      <c r="V17" s="537" t="s">
        <v>395</v>
      </c>
      <c r="W17" s="750">
        <f>W19-W16</f>
        <v>86.696451742382806</v>
      </c>
      <c r="X17" s="537" t="s">
        <v>395</v>
      </c>
      <c r="Y17" s="750">
        <f>Y19-Y16</f>
        <v>66.602819139439362</v>
      </c>
      <c r="Z17" s="537" t="s">
        <v>395</v>
      </c>
      <c r="AA17" s="750">
        <f>AA19-AA16</f>
        <v>76.564762452107288</v>
      </c>
      <c r="AB17" s="537" t="s">
        <v>395</v>
      </c>
      <c r="AC17" s="750">
        <f>AC19-AC16</f>
        <v>87.921371282612654</v>
      </c>
      <c r="AD17" s="539"/>
      <c r="AE17" s="755" t="s">
        <v>395</v>
      </c>
      <c r="AF17" s="750">
        <f>I17+K17+M17+O17+Q17+S17+U17+W17+Y17+AA17+AC17</f>
        <v>1298.1335259259988</v>
      </c>
    </row>
    <row r="18" spans="1:32" ht="10" customHeight="1">
      <c r="A18" s="764"/>
      <c r="B18" s="765"/>
      <c r="C18" s="765"/>
      <c r="D18" s="765"/>
      <c r="E18" s="765"/>
      <c r="F18" s="765"/>
      <c r="G18" s="766"/>
      <c r="H18" s="541">
        <f>'DADOS DO LICITANTE'!E83</f>
        <v>6.6500000000000004E-2</v>
      </c>
      <c r="I18" s="751"/>
      <c r="J18" s="541">
        <f>'DADOS DO LICITANTE'!E78</f>
        <v>8.6499999999999994E-2</v>
      </c>
      <c r="K18" s="751"/>
      <c r="L18" s="541">
        <f>'DADOS DO LICITANTE'!E78</f>
        <v>8.6499999999999994E-2</v>
      </c>
      <c r="M18" s="751"/>
      <c r="N18" s="541">
        <f>'DADOS DO LICITANTE'!E83</f>
        <v>6.6500000000000004E-2</v>
      </c>
      <c r="O18" s="751"/>
      <c r="P18" s="541">
        <f>'DADOS DO LICITANTE'!E82</f>
        <v>7.1500000000000008E-2</v>
      </c>
      <c r="Q18" s="751"/>
      <c r="R18" s="541">
        <f>'DADOS DO LICITANTE'!E81</f>
        <v>7.6499999999999999E-2</v>
      </c>
      <c r="S18" s="751"/>
      <c r="T18" s="541">
        <f>'DADOS DO LICITANTE'!E78</f>
        <v>8.6499999999999994E-2</v>
      </c>
      <c r="U18" s="751"/>
      <c r="V18" s="541">
        <f>'DADOS DO LICITANTE'!E78</f>
        <v>8.6499999999999994E-2</v>
      </c>
      <c r="W18" s="751"/>
      <c r="X18" s="541">
        <f>'DADOS DO LICITANTE'!E83</f>
        <v>6.6500000000000004E-2</v>
      </c>
      <c r="Y18" s="751"/>
      <c r="Z18" s="541">
        <f>'DADOS DO LICITANTE'!E78</f>
        <v>8.6499999999999994E-2</v>
      </c>
      <c r="AA18" s="751"/>
      <c r="AB18" s="541">
        <f>'DADOS DO LICITANTE'!E78</f>
        <v>8.6499999999999994E-2</v>
      </c>
      <c r="AC18" s="751"/>
      <c r="AD18" s="540"/>
      <c r="AE18" s="756"/>
      <c r="AF18" s="751"/>
    </row>
    <row r="19" spans="1:32" ht="25" customHeight="1">
      <c r="A19" s="767"/>
      <c r="B19" s="768"/>
      <c r="C19" s="768"/>
      <c r="D19" s="768"/>
      <c r="E19" s="768"/>
      <c r="F19" s="768"/>
      <c r="G19" s="769"/>
      <c r="H19" s="538" t="s">
        <v>397</v>
      </c>
      <c r="I19" s="543">
        <f>I16/(1-H18)</f>
        <v>1841.1762185324051</v>
      </c>
      <c r="J19" s="538" t="s">
        <v>397</v>
      </c>
      <c r="K19" s="543">
        <f>K16/(1-J18)</f>
        <v>2177.9284802043421</v>
      </c>
      <c r="L19" s="538" t="s">
        <v>397</v>
      </c>
      <c r="M19" s="543">
        <f>M16/(1-L18)</f>
        <v>449.8668126254334</v>
      </c>
      <c r="N19" s="538" t="s">
        <v>397</v>
      </c>
      <c r="O19" s="543">
        <f>O16/(1-N18)</f>
        <v>512.09087662917329</v>
      </c>
      <c r="P19" s="538" t="s">
        <v>397</v>
      </c>
      <c r="Q19" s="543">
        <f>Q16/(1-P18)</f>
        <v>324.4977562376593</v>
      </c>
      <c r="R19" s="538" t="s">
        <v>397</v>
      </c>
      <c r="S19" s="543">
        <f>S16/(1-R18)</f>
        <v>571.2622270348312</v>
      </c>
      <c r="T19" s="538" t="s">
        <v>397</v>
      </c>
      <c r="U19" s="543">
        <f>U16/(1-T18)</f>
        <v>6123.1030833789455</v>
      </c>
      <c r="V19" s="538" t="s">
        <v>397</v>
      </c>
      <c r="W19" s="543">
        <f>W16/(1-V18)</f>
        <v>1002.2711184090497</v>
      </c>
      <c r="X19" s="538" t="s">
        <v>397</v>
      </c>
      <c r="Y19" s="543">
        <f>Y16/(1-X18)</f>
        <v>1001.5461524727729</v>
      </c>
      <c r="Z19" s="538" t="s">
        <v>397</v>
      </c>
      <c r="AA19" s="543">
        <f>AA16/(1-Z18)</f>
        <v>885.14176245210717</v>
      </c>
      <c r="AB19" s="538" t="s">
        <v>397</v>
      </c>
      <c r="AC19" s="543">
        <f>AC16/(1-AB18)</f>
        <v>1016.4320379492796</v>
      </c>
      <c r="AD19" s="533"/>
      <c r="AE19" s="538" t="s">
        <v>399</v>
      </c>
      <c r="AF19" s="543">
        <f>AF16+AF17</f>
        <v>15905.316525926</v>
      </c>
    </row>
    <row r="22" spans="1:32">
      <c r="AF22" s="27"/>
    </row>
  </sheetData>
  <mergeCells count="29">
    <mergeCell ref="AA17:AA18"/>
    <mergeCell ref="AC17:AC18"/>
    <mergeCell ref="AE17:AE18"/>
    <mergeCell ref="AF17:AF18"/>
    <mergeCell ref="AE1:AF1"/>
    <mergeCell ref="AE2:AF2"/>
    <mergeCell ref="Z2:AA2"/>
    <mergeCell ref="AB2:AC2"/>
    <mergeCell ref="A1:AC1"/>
    <mergeCell ref="I17:I18"/>
    <mergeCell ref="A16:G19"/>
    <mergeCell ref="K17:K18"/>
    <mergeCell ref="M17:M18"/>
    <mergeCell ref="O17:O18"/>
    <mergeCell ref="Q17:Q18"/>
    <mergeCell ref="S17:S18"/>
    <mergeCell ref="U17:U18"/>
    <mergeCell ref="W17:W18"/>
    <mergeCell ref="Y17:Y18"/>
    <mergeCell ref="H2:I2"/>
    <mergeCell ref="A2:G2"/>
    <mergeCell ref="J2:K2"/>
    <mergeCell ref="L2:M2"/>
    <mergeCell ref="N2:O2"/>
    <mergeCell ref="P2:Q2"/>
    <mergeCell ref="R2:S2"/>
    <mergeCell ref="T2:U2"/>
    <mergeCell ref="V2:W2"/>
    <mergeCell ref="X2:Y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8"/>
  <sheetViews>
    <sheetView showGridLines="0" workbookViewId="0">
      <selection activeCell="E26" sqref="E26"/>
    </sheetView>
  </sheetViews>
  <sheetFormatPr defaultRowHeight="12.5"/>
  <cols>
    <col min="1" max="1" width="20.81640625" customWidth="1"/>
    <col min="2" max="2" width="40.1796875" customWidth="1"/>
    <col min="3" max="3" width="7.81640625" bestFit="1" customWidth="1"/>
    <col min="4" max="4" width="34.1796875" customWidth="1"/>
    <col min="5" max="5" width="13.54296875" bestFit="1" customWidth="1"/>
    <col min="6" max="6" width="13.1796875" bestFit="1" customWidth="1"/>
    <col min="7" max="7" width="21" bestFit="1" customWidth="1"/>
    <col min="8" max="8" width="12" bestFit="1" customWidth="1"/>
  </cols>
  <sheetData>
    <row r="1" spans="1:8" ht="15">
      <c r="A1" s="74" t="s">
        <v>202</v>
      </c>
      <c r="B1" s="74" t="s">
        <v>200</v>
      </c>
      <c r="C1" s="74" t="s">
        <v>28</v>
      </c>
      <c r="D1" s="74" t="s">
        <v>337</v>
      </c>
      <c r="E1" s="74" t="s">
        <v>45</v>
      </c>
      <c r="F1" s="74" t="s">
        <v>201</v>
      </c>
      <c r="G1" s="74" t="s">
        <v>338</v>
      </c>
      <c r="H1" s="74" t="s">
        <v>9</v>
      </c>
    </row>
    <row r="2" spans="1:8">
      <c r="A2" s="395" t="s">
        <v>271</v>
      </c>
      <c r="B2" s="395" t="s">
        <v>203</v>
      </c>
      <c r="C2" s="395" t="s">
        <v>204</v>
      </c>
      <c r="D2" s="396">
        <f>'Áreas, Produt. e Postos'!E26-('Áreas, Produt. e Postos'!E22+'Áreas, Produt. e Postos'!E23+'Áreas, Produt. e Postos'!E24+'Áreas, Produt. e Postos'!E25)</f>
        <v>4874.3999999999996</v>
      </c>
      <c r="E2" s="75">
        <v>0.25</v>
      </c>
      <c r="F2" s="397">
        <f>E2*D2</f>
        <v>1218.5999999999999</v>
      </c>
      <c r="G2" s="395">
        <v>2</v>
      </c>
      <c r="H2" s="397">
        <f>G2*F2</f>
        <v>2437.1999999999998</v>
      </c>
    </row>
    <row r="3" spans="1:8">
      <c r="A3" s="395" t="s">
        <v>272</v>
      </c>
      <c r="B3" s="395" t="s">
        <v>203</v>
      </c>
      <c r="C3" s="395" t="s">
        <v>204</v>
      </c>
      <c r="D3" s="396">
        <f>'Áreas, Produt. e Postos'!I26-('Áreas, Produt. e Postos'!I22+'Áreas, Produt. e Postos'!I23+'Áreas, Produt. e Postos'!I24)</f>
        <v>6490</v>
      </c>
      <c r="E3" s="75">
        <v>0.25</v>
      </c>
      <c r="F3" s="397">
        <f t="shared" ref="F3:F12" si="0">E3*D3</f>
        <v>1622.5</v>
      </c>
      <c r="G3" s="395">
        <v>2</v>
      </c>
      <c r="H3" s="397">
        <f t="shared" ref="H3:H17" si="1">G3*F3</f>
        <v>3245</v>
      </c>
    </row>
    <row r="4" spans="1:8">
      <c r="A4" s="395" t="s">
        <v>273</v>
      </c>
      <c r="B4" s="395" t="s">
        <v>203</v>
      </c>
      <c r="C4" s="395" t="s">
        <v>204</v>
      </c>
      <c r="D4" s="396">
        <f>'Áreas, Produt. e Postos'!M26-('Áreas, Produt. e Postos'!M22+'Áreas, Produt. e Postos'!M23+'Áreas, Produt. e Postos'!M24+'Áreas, Produt. e Postos'!M25)</f>
        <v>2595</v>
      </c>
      <c r="E4" s="75">
        <v>0.25</v>
      </c>
      <c r="F4" s="397">
        <f t="shared" si="0"/>
        <v>648.75</v>
      </c>
      <c r="G4" s="395">
        <v>2</v>
      </c>
      <c r="H4" s="397">
        <f t="shared" si="1"/>
        <v>1297.5</v>
      </c>
    </row>
    <row r="5" spans="1:8">
      <c r="A5" s="395" t="s">
        <v>274</v>
      </c>
      <c r="B5" s="395" t="s">
        <v>203</v>
      </c>
      <c r="C5" s="395" t="s">
        <v>204</v>
      </c>
      <c r="D5" s="396">
        <f>'Áreas, Produt. e Postos'!Q26-('Áreas, Produt. e Postos'!Q22+'Áreas, Produt. e Postos'!Q23+'Áreas, Produt. e Postos'!Q24+'Áreas, Produt. e Postos'!Q25)</f>
        <v>1308</v>
      </c>
      <c r="E5" s="75">
        <v>0.25</v>
      </c>
      <c r="F5" s="397">
        <f t="shared" si="0"/>
        <v>327</v>
      </c>
      <c r="G5" s="395">
        <v>2</v>
      </c>
      <c r="H5" s="397">
        <f t="shared" si="1"/>
        <v>654</v>
      </c>
    </row>
    <row r="6" spans="1:8">
      <c r="A6" s="398" t="s">
        <v>292</v>
      </c>
      <c r="B6" s="395" t="s">
        <v>203</v>
      </c>
      <c r="C6" s="395" t="s">
        <v>204</v>
      </c>
      <c r="D6" s="396">
        <f>'Áreas, Produt. e Postos'!U26-('Áreas, Produt. e Postos'!U22+'Áreas, Produt. e Postos'!U23+'Áreas, Produt. e Postos'!U24+'Áreas, Produt. e Postos'!U25)</f>
        <v>526.13</v>
      </c>
      <c r="E6" s="75">
        <v>0.25</v>
      </c>
      <c r="F6" s="397">
        <f t="shared" si="0"/>
        <v>131.5325</v>
      </c>
      <c r="G6" s="395">
        <v>2</v>
      </c>
      <c r="H6" s="397">
        <f t="shared" si="1"/>
        <v>263.065</v>
      </c>
    </row>
    <row r="7" spans="1:8">
      <c r="A7" s="395" t="s">
        <v>335</v>
      </c>
      <c r="B7" s="395" t="s">
        <v>203</v>
      </c>
      <c r="C7" s="395" t="s">
        <v>204</v>
      </c>
      <c r="D7" s="396">
        <f>'Áreas, Produt. e Postos'!Y26-('Áreas, Produt. e Postos'!Y22+'Áreas, Produt. e Postos'!Y23+'Áreas, Produt. e Postos'!Y24+'Áreas, Produt. e Postos'!Y25)</f>
        <v>452.76</v>
      </c>
      <c r="E7" s="75">
        <v>0.25</v>
      </c>
      <c r="F7" s="397">
        <f t="shared" si="0"/>
        <v>113.19</v>
      </c>
      <c r="G7" s="395">
        <v>2</v>
      </c>
      <c r="H7" s="397">
        <f t="shared" si="1"/>
        <v>226.38</v>
      </c>
    </row>
    <row r="8" spans="1:8">
      <c r="A8" s="395" t="s">
        <v>276</v>
      </c>
      <c r="B8" s="395" t="s">
        <v>203</v>
      </c>
      <c r="C8" s="395" t="s">
        <v>204</v>
      </c>
      <c r="D8" s="396">
        <f>'Áreas, Produt. e Postos'!AC26-('Áreas, Produt. e Postos'!AC22+'Áreas, Produt. e Postos'!AC23+'Áreas, Produt. e Postos'!AC24+'Áreas, Produt. e Postos'!AC25)</f>
        <v>13394</v>
      </c>
      <c r="E8" s="75">
        <v>0.25</v>
      </c>
      <c r="F8" s="397">
        <f t="shared" si="0"/>
        <v>3348.5</v>
      </c>
      <c r="G8" s="395">
        <v>2</v>
      </c>
      <c r="H8" s="397">
        <f t="shared" si="1"/>
        <v>6697</v>
      </c>
    </row>
    <row r="9" spans="1:8">
      <c r="A9" s="395" t="s">
        <v>277</v>
      </c>
      <c r="B9" s="395" t="s">
        <v>203</v>
      </c>
      <c r="C9" s="395" t="s">
        <v>204</v>
      </c>
      <c r="D9" s="396">
        <f>'Áreas, Produt. e Postos'!AG26-('Áreas, Produt. e Postos'!AG22+'Áreas, Produt. e Postos'!AG23+'Áreas, Produt. e Postos'!AG24+'Áreas, Produt. e Postos'!AG25)</f>
        <v>315</v>
      </c>
      <c r="E9" s="75">
        <v>0.25</v>
      </c>
      <c r="F9" s="397">
        <f t="shared" si="0"/>
        <v>78.75</v>
      </c>
      <c r="G9" s="395">
        <v>2</v>
      </c>
      <c r="H9" s="397">
        <f t="shared" si="1"/>
        <v>157.5</v>
      </c>
    </row>
    <row r="10" spans="1:8">
      <c r="A10" s="395" t="s">
        <v>278</v>
      </c>
      <c r="B10" s="395" t="s">
        <v>203</v>
      </c>
      <c r="C10" s="395" t="s">
        <v>204</v>
      </c>
      <c r="D10" s="396">
        <f>'Áreas, Produt. e Postos'!AK26-('Áreas, Produt. e Postos'!AK22+'Áreas, Produt. e Postos'!AK23+'Áreas, Produt. e Postos'!AK24+'Áreas, Produt. e Postos'!AK25)</f>
        <v>830</v>
      </c>
      <c r="E10" s="75">
        <v>0.25</v>
      </c>
      <c r="F10" s="397">
        <f t="shared" si="0"/>
        <v>207.5</v>
      </c>
      <c r="G10" s="395">
        <v>2</v>
      </c>
      <c r="H10" s="397">
        <f t="shared" si="1"/>
        <v>415</v>
      </c>
    </row>
    <row r="11" spans="1:8">
      <c r="A11" s="395" t="s">
        <v>279</v>
      </c>
      <c r="B11" s="395" t="s">
        <v>203</v>
      </c>
      <c r="C11" s="395" t="s">
        <v>204</v>
      </c>
      <c r="D11" s="396">
        <f>'Áreas, Produt. e Postos'!AO26-('Áreas, Produt. e Postos'!AO22+'Áreas, Produt. e Postos'!AO23+'Áreas, Produt. e Postos'!AO24+'Áreas, Produt. e Postos'!AO25)</f>
        <v>264.5</v>
      </c>
      <c r="E11" s="75">
        <v>0.25</v>
      </c>
      <c r="F11" s="397">
        <f t="shared" si="0"/>
        <v>66.125</v>
      </c>
      <c r="G11" s="395">
        <v>2</v>
      </c>
      <c r="H11" s="397">
        <f t="shared" si="1"/>
        <v>132.25</v>
      </c>
    </row>
    <row r="12" spans="1:8">
      <c r="A12" s="567" t="s">
        <v>280</v>
      </c>
      <c r="B12" s="567" t="s">
        <v>203</v>
      </c>
      <c r="C12" s="567" t="s">
        <v>204</v>
      </c>
      <c r="D12" s="396">
        <f>'Áreas, Produt. e Postos'!AS26-('Áreas, Produt. e Postos'!AS22+'Áreas, Produt. e Postos'!AS23+'Áreas, Produt. e Postos'!AS24+'Áreas, Produt. e Postos'!AS25+'Áreas, Produt. e Postos'!AS15+'Áreas, Produt. e Postos'!AS18)</f>
        <v>2192</v>
      </c>
      <c r="E12" s="75">
        <v>0.25</v>
      </c>
      <c r="F12" s="397">
        <f t="shared" si="0"/>
        <v>548</v>
      </c>
      <c r="G12" s="395">
        <v>2</v>
      </c>
      <c r="H12" s="397">
        <f t="shared" si="1"/>
        <v>1096</v>
      </c>
    </row>
    <row r="13" spans="1:8" ht="22" customHeight="1">
      <c r="A13" s="772"/>
      <c r="B13" s="772"/>
      <c r="C13" s="772"/>
      <c r="D13" s="773" t="s">
        <v>402</v>
      </c>
      <c r="E13" s="774"/>
      <c r="F13" s="774"/>
      <c r="G13" s="775"/>
      <c r="H13" s="568">
        <f>SUM(H2:H12)</f>
        <v>16620.895</v>
      </c>
    </row>
    <row r="14" spans="1:8">
      <c r="A14" s="776"/>
      <c r="B14" s="777"/>
      <c r="C14" s="777"/>
      <c r="D14" s="778"/>
      <c r="E14" s="778"/>
      <c r="F14" s="778"/>
      <c r="G14" s="778"/>
      <c r="H14" s="779"/>
    </row>
    <row r="15" spans="1:8">
      <c r="A15" s="389" t="s">
        <v>273</v>
      </c>
      <c r="B15" s="389" t="s">
        <v>215</v>
      </c>
      <c r="C15" s="389" t="s">
        <v>204</v>
      </c>
      <c r="D15" s="390">
        <f>'Áreas, Produt. e Postos'!M16+'Áreas, Produt. e Postos'!M17+'Áreas, Produt. e Postos'!M18</f>
        <v>270</v>
      </c>
      <c r="E15" s="388">
        <v>2.09</v>
      </c>
      <c r="F15" s="391">
        <f>D15*E15</f>
        <v>564.29999999999995</v>
      </c>
      <c r="G15" s="389">
        <v>4</v>
      </c>
      <c r="H15" s="392">
        <f t="shared" si="1"/>
        <v>2257.1999999999998</v>
      </c>
    </row>
    <row r="16" spans="1:8">
      <c r="A16" s="393" t="s">
        <v>336</v>
      </c>
      <c r="B16" s="389" t="s">
        <v>215</v>
      </c>
      <c r="C16" s="389" t="s">
        <v>204</v>
      </c>
      <c r="D16" s="394">
        <f>'Áreas, Produt. e Postos'!Q16</f>
        <v>27</v>
      </c>
      <c r="E16" s="388">
        <v>2.09</v>
      </c>
      <c r="F16" s="391">
        <f t="shared" ref="F16:F17" si="2">D16*E16</f>
        <v>56.429999999999993</v>
      </c>
      <c r="G16" s="393">
        <v>4</v>
      </c>
      <c r="H16" s="392">
        <f t="shared" si="1"/>
        <v>225.71999999999997</v>
      </c>
    </row>
    <row r="17" spans="1:8">
      <c r="A17" s="393" t="s">
        <v>280</v>
      </c>
      <c r="B17" s="389" t="s">
        <v>215</v>
      </c>
      <c r="C17" s="389" t="s">
        <v>204</v>
      </c>
      <c r="D17" s="394">
        <f>'Áreas, Produt. e Postos'!AS18</f>
        <v>2000</v>
      </c>
      <c r="E17" s="388">
        <v>2.09</v>
      </c>
      <c r="F17" s="391">
        <f t="shared" si="2"/>
        <v>4180</v>
      </c>
      <c r="G17" s="393">
        <v>4</v>
      </c>
      <c r="H17" s="392">
        <f t="shared" si="1"/>
        <v>16720</v>
      </c>
    </row>
    <row r="18" spans="1:8" ht="23" customHeight="1">
      <c r="D18" s="770" t="s">
        <v>403</v>
      </c>
      <c r="E18" s="771"/>
      <c r="F18" s="771"/>
      <c r="G18" s="771"/>
      <c r="H18" s="399">
        <f>SUM(H15:H17)</f>
        <v>19202.919999999998</v>
      </c>
    </row>
  </sheetData>
  <mergeCells count="4">
    <mergeCell ref="D18:G18"/>
    <mergeCell ref="A13:C13"/>
    <mergeCell ref="D13:G13"/>
    <mergeCell ref="A14:H14"/>
  </mergeCells>
  <phoneticPr fontId="44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J62"/>
  <sheetViews>
    <sheetView topLeftCell="AP22" workbookViewId="0">
      <selection activeCell="BK29" sqref="BK29"/>
    </sheetView>
  </sheetViews>
  <sheetFormatPr defaultRowHeight="12.5"/>
  <cols>
    <col min="1" max="2" width="14.1796875" customWidth="1"/>
    <col min="3" max="3" width="16" customWidth="1"/>
    <col min="4" max="4" width="14.54296875" customWidth="1"/>
    <col min="8" max="8" width="10" customWidth="1"/>
    <col min="12" max="12" width="10" customWidth="1"/>
    <col min="16" max="16" width="10" customWidth="1"/>
    <col min="20" max="20" width="10" customWidth="1"/>
    <col min="24" max="24" width="10" customWidth="1"/>
    <col min="28" max="28" width="10" customWidth="1"/>
    <col min="32" max="32" width="10" customWidth="1"/>
    <col min="36" max="36" width="10" customWidth="1"/>
    <col min="40" max="40" width="10" customWidth="1"/>
    <col min="44" max="44" width="10" customWidth="1"/>
    <col min="48" max="48" width="10" customWidth="1"/>
    <col min="49" max="49" width="12.453125" customWidth="1"/>
    <col min="50" max="50" width="16.453125" customWidth="1"/>
    <col min="52" max="52" width="10.36328125" bestFit="1" customWidth="1"/>
    <col min="61" max="61" width="9.81640625" customWidth="1"/>
  </cols>
  <sheetData>
    <row r="1" spans="1:62" ht="19.5" customHeight="1">
      <c r="A1" s="802" t="s">
        <v>300</v>
      </c>
      <c r="B1" s="803"/>
      <c r="C1" s="804"/>
      <c r="D1" s="808" t="s">
        <v>301</v>
      </c>
      <c r="E1" s="786" t="s">
        <v>271</v>
      </c>
      <c r="F1" s="790"/>
      <c r="G1" s="790"/>
      <c r="H1" s="787"/>
      <c r="I1" s="788" t="s">
        <v>272</v>
      </c>
      <c r="J1" s="791"/>
      <c r="K1" s="791"/>
      <c r="L1" s="789"/>
      <c r="M1" s="786" t="s">
        <v>273</v>
      </c>
      <c r="N1" s="790"/>
      <c r="O1" s="790"/>
      <c r="P1" s="787"/>
      <c r="Q1" s="788" t="s">
        <v>274</v>
      </c>
      <c r="R1" s="791"/>
      <c r="S1" s="791"/>
      <c r="T1" s="789"/>
      <c r="U1" s="786" t="s">
        <v>292</v>
      </c>
      <c r="V1" s="790"/>
      <c r="W1" s="790"/>
      <c r="X1" s="787"/>
      <c r="Y1" s="788" t="s">
        <v>275</v>
      </c>
      <c r="Z1" s="791"/>
      <c r="AA1" s="791"/>
      <c r="AB1" s="789"/>
      <c r="AC1" s="786" t="s">
        <v>276</v>
      </c>
      <c r="AD1" s="790"/>
      <c r="AE1" s="790"/>
      <c r="AF1" s="787"/>
      <c r="AG1" s="792" t="s">
        <v>277</v>
      </c>
      <c r="AH1" s="793"/>
      <c r="AI1" s="793"/>
      <c r="AJ1" s="794"/>
      <c r="AK1" s="786" t="s">
        <v>278</v>
      </c>
      <c r="AL1" s="790"/>
      <c r="AM1" s="790"/>
      <c r="AN1" s="787"/>
      <c r="AO1" s="792" t="s">
        <v>279</v>
      </c>
      <c r="AP1" s="793"/>
      <c r="AQ1" s="793"/>
      <c r="AR1" s="794"/>
      <c r="AS1" s="786" t="s">
        <v>280</v>
      </c>
      <c r="AT1" s="790"/>
      <c r="AU1" s="790"/>
      <c r="AV1" s="787"/>
      <c r="AW1" s="784" t="s">
        <v>302</v>
      </c>
      <c r="AY1" s="780" t="s">
        <v>324</v>
      </c>
      <c r="AZ1" s="781"/>
      <c r="BA1" s="781"/>
      <c r="BB1" s="781"/>
      <c r="BC1" s="781"/>
      <c r="BD1" s="781"/>
      <c r="BE1" s="781"/>
      <c r="BF1" s="781"/>
      <c r="BG1" s="781"/>
      <c r="BH1" s="781"/>
      <c r="BI1" s="781"/>
      <c r="BJ1" s="781"/>
    </row>
    <row r="2" spans="1:62" ht="26" customHeight="1">
      <c r="A2" s="805"/>
      <c r="B2" s="806"/>
      <c r="C2" s="807"/>
      <c r="D2" s="809"/>
      <c r="E2" s="786" t="s">
        <v>303</v>
      </c>
      <c r="F2" s="787"/>
      <c r="G2" s="786" t="s">
        <v>304</v>
      </c>
      <c r="H2" s="787"/>
      <c r="I2" s="788" t="s">
        <v>322</v>
      </c>
      <c r="J2" s="789"/>
      <c r="K2" s="788" t="s">
        <v>304</v>
      </c>
      <c r="L2" s="789"/>
      <c r="M2" s="786" t="s">
        <v>303</v>
      </c>
      <c r="N2" s="787"/>
      <c r="O2" s="786" t="s">
        <v>304</v>
      </c>
      <c r="P2" s="787"/>
      <c r="Q2" s="788" t="s">
        <v>303</v>
      </c>
      <c r="R2" s="789"/>
      <c r="S2" s="788" t="s">
        <v>304</v>
      </c>
      <c r="T2" s="789"/>
      <c r="U2" s="786" t="s">
        <v>303</v>
      </c>
      <c r="V2" s="787"/>
      <c r="W2" s="786" t="s">
        <v>304</v>
      </c>
      <c r="X2" s="787"/>
      <c r="Y2" s="788" t="s">
        <v>303</v>
      </c>
      <c r="Z2" s="789"/>
      <c r="AA2" s="788" t="s">
        <v>304</v>
      </c>
      <c r="AB2" s="789"/>
      <c r="AC2" s="786" t="s">
        <v>429</v>
      </c>
      <c r="AD2" s="787"/>
      <c r="AE2" s="786" t="s">
        <v>304</v>
      </c>
      <c r="AF2" s="787"/>
      <c r="AG2" s="788" t="s">
        <v>429</v>
      </c>
      <c r="AH2" s="789"/>
      <c r="AI2" s="788" t="s">
        <v>304</v>
      </c>
      <c r="AJ2" s="789"/>
      <c r="AK2" s="786" t="s">
        <v>429</v>
      </c>
      <c r="AL2" s="787"/>
      <c r="AM2" s="786" t="s">
        <v>304</v>
      </c>
      <c r="AN2" s="787"/>
      <c r="AO2" s="792" t="s">
        <v>429</v>
      </c>
      <c r="AP2" s="794"/>
      <c r="AQ2" s="792" t="s">
        <v>304</v>
      </c>
      <c r="AR2" s="794"/>
      <c r="AS2" s="786" t="s">
        <v>429</v>
      </c>
      <c r="AT2" s="787"/>
      <c r="AU2" s="786" t="s">
        <v>304</v>
      </c>
      <c r="AV2" s="787"/>
      <c r="AW2" s="785"/>
      <c r="AY2" s="367" t="str">
        <f>E1</f>
        <v>DRF/SJC</v>
      </c>
      <c r="AZ2" s="367" t="str">
        <f>I1</f>
        <v>DRF/GUA</v>
      </c>
      <c r="BA2" s="367" t="str">
        <f>M1</f>
        <v>IRF/SSO</v>
      </c>
      <c r="BB2" s="367" t="str">
        <f>Q1</f>
        <v>ARF/JAC</v>
      </c>
      <c r="BC2" s="367" t="str">
        <f>U1</f>
        <v>ARF/MCS</v>
      </c>
      <c r="BD2" s="367" t="str">
        <f>Y1</f>
        <v>ARF/SUZ</v>
      </c>
      <c r="BE2" s="367" t="str">
        <f>AC1</f>
        <v>ARF/TAU</v>
      </c>
      <c r="BF2" s="367" t="str">
        <f>AG1</f>
        <v>ARF/PMB</v>
      </c>
      <c r="BG2" s="367" t="str">
        <f>AK1</f>
        <v>ARF/GTA</v>
      </c>
      <c r="BH2" s="367" t="str">
        <f>AO1</f>
        <v>ARF/CJD</v>
      </c>
      <c r="BI2" s="367" t="str">
        <f>AS1</f>
        <v>DMA/TAU</v>
      </c>
      <c r="BJ2" s="368" t="s">
        <v>9</v>
      </c>
    </row>
    <row r="3" spans="1:62" ht="39" customHeight="1">
      <c r="A3" s="795" t="s">
        <v>97</v>
      </c>
      <c r="B3" s="796"/>
      <c r="C3" s="797"/>
      <c r="D3" s="328" t="s">
        <v>305</v>
      </c>
      <c r="E3" s="798">
        <v>85.3</v>
      </c>
      <c r="F3" s="799"/>
      <c r="G3" s="800">
        <v>1200</v>
      </c>
      <c r="H3" s="801"/>
      <c r="I3" s="798">
        <v>260</v>
      </c>
      <c r="J3" s="799"/>
      <c r="K3" s="800">
        <v>1200</v>
      </c>
      <c r="L3" s="801"/>
      <c r="M3" s="798">
        <v>65</v>
      </c>
      <c r="N3" s="799"/>
      <c r="O3" s="800">
        <v>1200</v>
      </c>
      <c r="P3" s="801"/>
      <c r="Q3" s="798">
        <v>0</v>
      </c>
      <c r="R3" s="799"/>
      <c r="S3" s="800">
        <v>1200</v>
      </c>
      <c r="T3" s="801"/>
      <c r="U3" s="798">
        <v>0</v>
      </c>
      <c r="V3" s="799"/>
      <c r="W3" s="800">
        <v>1200</v>
      </c>
      <c r="X3" s="801"/>
      <c r="Y3" s="798">
        <v>0</v>
      </c>
      <c r="Z3" s="799"/>
      <c r="AA3" s="800">
        <v>1200</v>
      </c>
      <c r="AB3" s="801"/>
      <c r="AC3" s="798">
        <v>280</v>
      </c>
      <c r="AD3" s="799"/>
      <c r="AE3" s="800">
        <v>1200</v>
      </c>
      <c r="AF3" s="801"/>
      <c r="AG3" s="798">
        <v>0</v>
      </c>
      <c r="AH3" s="799"/>
      <c r="AI3" s="800">
        <v>1200</v>
      </c>
      <c r="AJ3" s="801"/>
      <c r="AK3" s="798">
        <v>0</v>
      </c>
      <c r="AL3" s="799"/>
      <c r="AM3" s="800">
        <v>1200</v>
      </c>
      <c r="AN3" s="801"/>
      <c r="AO3" s="798">
        <v>0</v>
      </c>
      <c r="AP3" s="799"/>
      <c r="AQ3" s="800">
        <v>1200</v>
      </c>
      <c r="AR3" s="801"/>
      <c r="AS3" s="798">
        <v>0</v>
      </c>
      <c r="AT3" s="799"/>
      <c r="AU3" s="800">
        <v>1200</v>
      </c>
      <c r="AV3" s="801"/>
      <c r="AW3" s="329">
        <f>E3+I3+M3+Q3+U3+Y3+AC3+AG3+AK3+AO3+AS3</f>
        <v>690.3</v>
      </c>
      <c r="AY3" s="369">
        <f>E3/G3</f>
        <v>7.1083333333333332E-2</v>
      </c>
      <c r="AZ3" s="369">
        <f t="shared" ref="AZ3:AZ11" si="0">I3/K3</f>
        <v>0.21666666666666667</v>
      </c>
      <c r="BA3" s="369">
        <f>M3/O3</f>
        <v>5.4166666666666669E-2</v>
      </c>
      <c r="BB3" s="369">
        <f>Q3/S3</f>
        <v>0</v>
      </c>
      <c r="BC3" s="369">
        <f>U3/W3</f>
        <v>0</v>
      </c>
      <c r="BD3" s="369">
        <f>Y3/AA3</f>
        <v>0</v>
      </c>
      <c r="BE3" s="369">
        <f>AC3/AE3</f>
        <v>0.23333333333333334</v>
      </c>
      <c r="BF3" s="369">
        <f>AG3/AI3</f>
        <v>0</v>
      </c>
      <c r="BG3" s="369">
        <f>AK3/AM3</f>
        <v>0</v>
      </c>
      <c r="BH3" s="369">
        <f>AO3/AQ3</f>
        <v>0</v>
      </c>
      <c r="BI3" s="369">
        <f>AS3/AU3</f>
        <v>0</v>
      </c>
      <c r="BJ3" s="370">
        <f>SUM(AY3:BI3)</f>
        <v>0.57525000000000004</v>
      </c>
    </row>
    <row r="4" spans="1:62" ht="13">
      <c r="A4" s="795" t="s">
        <v>98</v>
      </c>
      <c r="B4" s="796"/>
      <c r="C4" s="797"/>
      <c r="D4" s="328" t="s">
        <v>305</v>
      </c>
      <c r="E4" s="798">
        <v>1905</v>
      </c>
      <c r="F4" s="799"/>
      <c r="G4" s="800">
        <v>1200</v>
      </c>
      <c r="H4" s="801"/>
      <c r="I4" s="798">
        <v>2100</v>
      </c>
      <c r="J4" s="799"/>
      <c r="K4" s="800">
        <v>1200</v>
      </c>
      <c r="L4" s="801"/>
      <c r="M4" s="798">
        <v>970</v>
      </c>
      <c r="N4" s="799"/>
      <c r="O4" s="800">
        <v>1200</v>
      </c>
      <c r="P4" s="801"/>
      <c r="Q4" s="798">
        <v>421</v>
      </c>
      <c r="R4" s="799"/>
      <c r="S4" s="800">
        <v>1200</v>
      </c>
      <c r="T4" s="801"/>
      <c r="U4" s="798">
        <v>287</v>
      </c>
      <c r="V4" s="799"/>
      <c r="W4" s="800">
        <v>1200</v>
      </c>
      <c r="X4" s="801"/>
      <c r="Y4" s="798">
        <v>350</v>
      </c>
      <c r="Z4" s="799"/>
      <c r="AA4" s="800">
        <v>1200</v>
      </c>
      <c r="AB4" s="801"/>
      <c r="AC4" s="798">
        <v>7600</v>
      </c>
      <c r="AD4" s="799"/>
      <c r="AE4" s="800">
        <v>1200</v>
      </c>
      <c r="AF4" s="801"/>
      <c r="AG4" s="798">
        <v>275</v>
      </c>
      <c r="AH4" s="799"/>
      <c r="AI4" s="800">
        <v>1200</v>
      </c>
      <c r="AJ4" s="801"/>
      <c r="AK4" s="798">
        <v>550</v>
      </c>
      <c r="AL4" s="799"/>
      <c r="AM4" s="800">
        <v>1200</v>
      </c>
      <c r="AN4" s="801"/>
      <c r="AO4" s="798">
        <v>123</v>
      </c>
      <c r="AP4" s="799"/>
      <c r="AQ4" s="800">
        <v>1200</v>
      </c>
      <c r="AR4" s="801"/>
      <c r="AS4" s="798">
        <v>550</v>
      </c>
      <c r="AT4" s="799"/>
      <c r="AU4" s="800">
        <v>1200</v>
      </c>
      <c r="AV4" s="801"/>
      <c r="AW4" s="329">
        <f t="shared" ref="AW4:AW11" si="1">E4+I4+M4+Q4+U4+Y4+AC4+AG4+AK4+AO4+AS4</f>
        <v>15131</v>
      </c>
      <c r="AY4" s="369">
        <f t="shared" ref="AY4:AY11" si="2">E4/G4</f>
        <v>1.5874999999999999</v>
      </c>
      <c r="AZ4" s="369">
        <f t="shared" si="0"/>
        <v>1.75</v>
      </c>
      <c r="BA4" s="369">
        <f>M4/O4</f>
        <v>0.80833333333333335</v>
      </c>
      <c r="BB4" s="369">
        <f t="shared" ref="BB4:BB11" si="3">Q4/S4</f>
        <v>0.35083333333333333</v>
      </c>
      <c r="BC4" s="369">
        <f t="shared" ref="BC4:BC11" si="4">U4/W4</f>
        <v>0.23916666666666667</v>
      </c>
      <c r="BD4" s="369">
        <f t="shared" ref="BD4:BD11" si="5">Y4/AA4</f>
        <v>0.29166666666666669</v>
      </c>
      <c r="BE4" s="369">
        <f t="shared" ref="BE4:BE11" si="6">AC4/AE4</f>
        <v>6.333333333333333</v>
      </c>
      <c r="BF4" s="369">
        <f t="shared" ref="BF4:BF11" si="7">AG4/AI4</f>
        <v>0.22916666666666666</v>
      </c>
      <c r="BG4" s="369">
        <f t="shared" ref="BG4:BG11" si="8">AK4/AM4</f>
        <v>0.45833333333333331</v>
      </c>
      <c r="BH4" s="369">
        <f t="shared" ref="BH4:BH11" si="9">AO4/AQ4</f>
        <v>0.10249999999999999</v>
      </c>
      <c r="BI4" s="369">
        <f t="shared" ref="BI4:BI11" si="10">AS4/AU4</f>
        <v>0.45833333333333331</v>
      </c>
      <c r="BJ4" s="370">
        <f>SUM(AY4:BI4)</f>
        <v>12.609166666666665</v>
      </c>
    </row>
    <row r="5" spans="1:62" ht="13">
      <c r="A5" s="795" t="s">
        <v>306</v>
      </c>
      <c r="B5" s="796"/>
      <c r="C5" s="797"/>
      <c r="D5" s="328" t="s">
        <v>339</v>
      </c>
      <c r="E5" s="798">
        <v>0</v>
      </c>
      <c r="F5" s="799"/>
      <c r="G5" s="800">
        <v>450</v>
      </c>
      <c r="H5" s="801"/>
      <c r="I5" s="798">
        <v>0</v>
      </c>
      <c r="J5" s="799"/>
      <c r="K5" s="800">
        <v>450</v>
      </c>
      <c r="L5" s="801"/>
      <c r="M5" s="798">
        <v>0</v>
      </c>
      <c r="N5" s="799"/>
      <c r="O5" s="800">
        <v>450</v>
      </c>
      <c r="P5" s="801"/>
      <c r="Q5" s="798">
        <v>0</v>
      </c>
      <c r="R5" s="799"/>
      <c r="S5" s="800">
        <v>450</v>
      </c>
      <c r="T5" s="801"/>
      <c r="U5" s="798">
        <v>0</v>
      </c>
      <c r="V5" s="799"/>
      <c r="W5" s="800">
        <v>450</v>
      </c>
      <c r="X5" s="801"/>
      <c r="Y5" s="798">
        <v>0</v>
      </c>
      <c r="Z5" s="799"/>
      <c r="AA5" s="800">
        <v>450</v>
      </c>
      <c r="AB5" s="801"/>
      <c r="AC5" s="798">
        <v>0</v>
      </c>
      <c r="AD5" s="799"/>
      <c r="AE5" s="800">
        <v>450</v>
      </c>
      <c r="AF5" s="801"/>
      <c r="AG5" s="798">
        <v>0</v>
      </c>
      <c r="AH5" s="799"/>
      <c r="AI5" s="800">
        <v>450</v>
      </c>
      <c r="AJ5" s="801"/>
      <c r="AK5" s="798">
        <v>0</v>
      </c>
      <c r="AL5" s="799"/>
      <c r="AM5" s="800">
        <v>450</v>
      </c>
      <c r="AN5" s="801"/>
      <c r="AO5" s="798">
        <v>0</v>
      </c>
      <c r="AP5" s="799"/>
      <c r="AQ5" s="800">
        <v>450</v>
      </c>
      <c r="AR5" s="801"/>
      <c r="AS5" s="798">
        <v>0</v>
      </c>
      <c r="AT5" s="799"/>
      <c r="AU5" s="800">
        <v>450</v>
      </c>
      <c r="AV5" s="801"/>
      <c r="AW5" s="329">
        <f t="shared" si="1"/>
        <v>0</v>
      </c>
      <c r="AY5" s="369">
        <f t="shared" si="2"/>
        <v>0</v>
      </c>
      <c r="AZ5" s="369">
        <f t="shared" si="0"/>
        <v>0</v>
      </c>
      <c r="BA5" s="369">
        <f t="shared" ref="BA5:BA11" si="11">M5/O5</f>
        <v>0</v>
      </c>
      <c r="BB5" s="369">
        <f t="shared" si="3"/>
        <v>0</v>
      </c>
      <c r="BC5" s="369">
        <f t="shared" si="4"/>
        <v>0</v>
      </c>
      <c r="BD5" s="369">
        <f t="shared" si="5"/>
        <v>0</v>
      </c>
      <c r="BE5" s="369">
        <f t="shared" si="6"/>
        <v>0</v>
      </c>
      <c r="BF5" s="369">
        <f t="shared" si="7"/>
        <v>0</v>
      </c>
      <c r="BG5" s="369">
        <f t="shared" si="8"/>
        <v>0</v>
      </c>
      <c r="BH5" s="369">
        <f t="shared" si="9"/>
        <v>0</v>
      </c>
      <c r="BI5" s="369">
        <f t="shared" si="10"/>
        <v>0</v>
      </c>
      <c r="BJ5" s="370">
        <f>SUM(AY5:BI5)</f>
        <v>0</v>
      </c>
    </row>
    <row r="6" spans="1:62" ht="13">
      <c r="A6" s="795" t="s">
        <v>99</v>
      </c>
      <c r="B6" s="796"/>
      <c r="C6" s="797"/>
      <c r="D6" s="328" t="s">
        <v>340</v>
      </c>
      <c r="E6" s="798">
        <v>195</v>
      </c>
      <c r="F6" s="799"/>
      <c r="G6" s="800">
        <v>2500</v>
      </c>
      <c r="H6" s="801"/>
      <c r="I6" s="798">
        <v>420</v>
      </c>
      <c r="J6" s="799"/>
      <c r="K6" s="800">
        <v>2500</v>
      </c>
      <c r="L6" s="801"/>
      <c r="M6" s="798">
        <v>300</v>
      </c>
      <c r="N6" s="799"/>
      <c r="O6" s="800">
        <v>2500</v>
      </c>
      <c r="P6" s="801"/>
      <c r="Q6" s="798">
        <v>112</v>
      </c>
      <c r="R6" s="799"/>
      <c r="S6" s="800">
        <v>2500</v>
      </c>
      <c r="T6" s="801"/>
      <c r="U6" s="798">
        <v>0</v>
      </c>
      <c r="V6" s="799"/>
      <c r="W6" s="800">
        <v>2500</v>
      </c>
      <c r="X6" s="801"/>
      <c r="Y6" s="798">
        <v>0</v>
      </c>
      <c r="Z6" s="799"/>
      <c r="AA6" s="800">
        <v>2500</v>
      </c>
      <c r="AB6" s="801"/>
      <c r="AC6" s="798">
        <v>0</v>
      </c>
      <c r="AD6" s="799"/>
      <c r="AE6" s="800">
        <v>2500</v>
      </c>
      <c r="AF6" s="801"/>
      <c r="AG6" s="798">
        <v>0</v>
      </c>
      <c r="AH6" s="799"/>
      <c r="AI6" s="800">
        <v>2500</v>
      </c>
      <c r="AJ6" s="801"/>
      <c r="AK6" s="798">
        <v>0</v>
      </c>
      <c r="AL6" s="799"/>
      <c r="AM6" s="800">
        <v>2500</v>
      </c>
      <c r="AN6" s="801"/>
      <c r="AO6" s="798">
        <v>0</v>
      </c>
      <c r="AP6" s="799"/>
      <c r="AQ6" s="800">
        <v>2500</v>
      </c>
      <c r="AR6" s="801"/>
      <c r="AS6" s="798">
        <v>1592</v>
      </c>
      <c r="AT6" s="799"/>
      <c r="AU6" s="800">
        <v>2500</v>
      </c>
      <c r="AV6" s="801"/>
      <c r="AW6" s="329">
        <f t="shared" si="1"/>
        <v>2619</v>
      </c>
      <c r="AY6" s="369">
        <f t="shared" si="2"/>
        <v>7.8E-2</v>
      </c>
      <c r="AZ6" s="369">
        <f t="shared" si="0"/>
        <v>0.16800000000000001</v>
      </c>
      <c r="BA6" s="369">
        <f t="shared" si="11"/>
        <v>0.12</v>
      </c>
      <c r="BB6" s="369">
        <f t="shared" si="3"/>
        <v>4.48E-2</v>
      </c>
      <c r="BC6" s="369">
        <f t="shared" si="4"/>
        <v>0</v>
      </c>
      <c r="BD6" s="369">
        <f t="shared" si="5"/>
        <v>0</v>
      </c>
      <c r="BE6" s="369">
        <f t="shared" si="6"/>
        <v>0</v>
      </c>
      <c r="BF6" s="369">
        <f t="shared" si="7"/>
        <v>0</v>
      </c>
      <c r="BG6" s="369">
        <f t="shared" si="8"/>
        <v>0</v>
      </c>
      <c r="BH6" s="369">
        <f t="shared" si="9"/>
        <v>0</v>
      </c>
      <c r="BI6" s="369">
        <f t="shared" si="10"/>
        <v>0.63680000000000003</v>
      </c>
      <c r="BJ6" s="370">
        <f t="shared" ref="BJ6:BJ11" si="12">SUM(AY6:BI6)</f>
        <v>1.0476000000000001</v>
      </c>
    </row>
    <row r="7" spans="1:62" ht="13">
      <c r="A7" s="795" t="s">
        <v>100</v>
      </c>
      <c r="B7" s="796"/>
      <c r="C7" s="797"/>
      <c r="D7" s="328" t="s">
        <v>307</v>
      </c>
      <c r="E7" s="798">
        <v>31.5</v>
      </c>
      <c r="F7" s="799"/>
      <c r="G7" s="800">
        <v>1800</v>
      </c>
      <c r="H7" s="801"/>
      <c r="I7" s="798">
        <v>0</v>
      </c>
      <c r="J7" s="799"/>
      <c r="K7" s="800">
        <v>1800</v>
      </c>
      <c r="L7" s="801"/>
      <c r="M7" s="798">
        <v>5</v>
      </c>
      <c r="N7" s="799"/>
      <c r="O7" s="800">
        <v>1800</v>
      </c>
      <c r="P7" s="801"/>
      <c r="Q7" s="798">
        <v>30</v>
      </c>
      <c r="R7" s="799"/>
      <c r="S7" s="800">
        <v>1800</v>
      </c>
      <c r="T7" s="801"/>
      <c r="U7" s="798">
        <v>0</v>
      </c>
      <c r="V7" s="799"/>
      <c r="W7" s="800">
        <v>1800</v>
      </c>
      <c r="X7" s="801"/>
      <c r="Y7" s="798">
        <v>0</v>
      </c>
      <c r="Z7" s="799"/>
      <c r="AA7" s="800">
        <v>1800</v>
      </c>
      <c r="AB7" s="801"/>
      <c r="AC7" s="798">
        <v>0</v>
      </c>
      <c r="AD7" s="799"/>
      <c r="AE7" s="800">
        <v>1800</v>
      </c>
      <c r="AF7" s="801"/>
      <c r="AG7" s="798">
        <v>0</v>
      </c>
      <c r="AH7" s="799"/>
      <c r="AI7" s="800">
        <v>1800</v>
      </c>
      <c r="AJ7" s="801"/>
      <c r="AK7" s="798">
        <v>0</v>
      </c>
      <c r="AL7" s="799"/>
      <c r="AM7" s="800">
        <v>1800</v>
      </c>
      <c r="AN7" s="801"/>
      <c r="AO7" s="798">
        <v>0</v>
      </c>
      <c r="AP7" s="799"/>
      <c r="AQ7" s="800">
        <v>1800</v>
      </c>
      <c r="AR7" s="801"/>
      <c r="AS7" s="798">
        <v>0</v>
      </c>
      <c r="AT7" s="799"/>
      <c r="AU7" s="800">
        <v>1800</v>
      </c>
      <c r="AV7" s="801"/>
      <c r="AW7" s="329">
        <f t="shared" si="1"/>
        <v>66.5</v>
      </c>
      <c r="AY7" s="369">
        <f t="shared" si="2"/>
        <v>1.7500000000000002E-2</v>
      </c>
      <c r="AZ7" s="369">
        <f t="shared" si="0"/>
        <v>0</v>
      </c>
      <c r="BA7" s="369">
        <f t="shared" si="11"/>
        <v>2.7777777777777779E-3</v>
      </c>
      <c r="BB7" s="369">
        <f t="shared" si="3"/>
        <v>1.6666666666666666E-2</v>
      </c>
      <c r="BC7" s="369">
        <f t="shared" si="4"/>
        <v>0</v>
      </c>
      <c r="BD7" s="369">
        <f t="shared" si="5"/>
        <v>0</v>
      </c>
      <c r="BE7" s="369">
        <f t="shared" si="6"/>
        <v>0</v>
      </c>
      <c r="BF7" s="369">
        <f t="shared" si="7"/>
        <v>0</v>
      </c>
      <c r="BG7" s="369">
        <f t="shared" si="8"/>
        <v>0</v>
      </c>
      <c r="BH7" s="369">
        <f t="shared" si="9"/>
        <v>0</v>
      </c>
      <c r="BI7" s="369">
        <f t="shared" si="10"/>
        <v>0</v>
      </c>
      <c r="BJ7" s="370">
        <f t="shared" si="12"/>
        <v>3.6944444444444446E-2</v>
      </c>
    </row>
    <row r="8" spans="1:62" ht="13">
      <c r="A8" s="795" t="s">
        <v>308</v>
      </c>
      <c r="B8" s="796"/>
      <c r="C8" s="797"/>
      <c r="D8" s="328" t="s">
        <v>341</v>
      </c>
      <c r="E8" s="798">
        <v>92</v>
      </c>
      <c r="F8" s="799"/>
      <c r="G8" s="800">
        <v>1500</v>
      </c>
      <c r="H8" s="801"/>
      <c r="I8" s="798">
        <v>445</v>
      </c>
      <c r="J8" s="799"/>
      <c r="K8" s="800">
        <v>1500</v>
      </c>
      <c r="L8" s="801"/>
      <c r="M8" s="798">
        <v>175</v>
      </c>
      <c r="N8" s="799"/>
      <c r="O8" s="800">
        <v>1500</v>
      </c>
      <c r="P8" s="801"/>
      <c r="Q8" s="798">
        <v>0</v>
      </c>
      <c r="R8" s="799"/>
      <c r="S8" s="800">
        <v>1500</v>
      </c>
      <c r="T8" s="801"/>
      <c r="U8" s="798">
        <v>0</v>
      </c>
      <c r="V8" s="799"/>
      <c r="W8" s="800">
        <v>1500</v>
      </c>
      <c r="X8" s="801"/>
      <c r="Y8" s="798">
        <v>0</v>
      </c>
      <c r="Z8" s="799"/>
      <c r="AA8" s="800">
        <v>1500</v>
      </c>
      <c r="AB8" s="801"/>
      <c r="AC8" s="798">
        <v>800</v>
      </c>
      <c r="AD8" s="799"/>
      <c r="AE8" s="800">
        <v>1500</v>
      </c>
      <c r="AF8" s="801"/>
      <c r="AG8" s="798">
        <v>0</v>
      </c>
      <c r="AH8" s="799"/>
      <c r="AI8" s="800">
        <v>1500</v>
      </c>
      <c r="AJ8" s="801"/>
      <c r="AK8" s="798">
        <v>0</v>
      </c>
      <c r="AL8" s="799"/>
      <c r="AM8" s="800">
        <v>1500</v>
      </c>
      <c r="AN8" s="801"/>
      <c r="AO8" s="798">
        <v>0</v>
      </c>
      <c r="AP8" s="799"/>
      <c r="AQ8" s="800">
        <v>1500</v>
      </c>
      <c r="AR8" s="801"/>
      <c r="AS8" s="798">
        <v>0</v>
      </c>
      <c r="AT8" s="799"/>
      <c r="AU8" s="800">
        <v>1500</v>
      </c>
      <c r="AV8" s="801"/>
      <c r="AW8" s="329">
        <f t="shared" si="1"/>
        <v>1512</v>
      </c>
      <c r="AY8" s="369">
        <f t="shared" si="2"/>
        <v>6.133333333333333E-2</v>
      </c>
      <c r="AZ8" s="369">
        <f t="shared" si="0"/>
        <v>0.29666666666666669</v>
      </c>
      <c r="BA8" s="369">
        <f t="shared" si="11"/>
        <v>0.11666666666666667</v>
      </c>
      <c r="BB8" s="369">
        <f t="shared" si="3"/>
        <v>0</v>
      </c>
      <c r="BC8" s="369">
        <f t="shared" si="4"/>
        <v>0</v>
      </c>
      <c r="BD8" s="369">
        <f t="shared" si="5"/>
        <v>0</v>
      </c>
      <c r="BE8" s="369">
        <f t="shared" si="6"/>
        <v>0.53333333333333333</v>
      </c>
      <c r="BF8" s="369">
        <f t="shared" si="7"/>
        <v>0</v>
      </c>
      <c r="BG8" s="369">
        <f t="shared" si="8"/>
        <v>0</v>
      </c>
      <c r="BH8" s="369">
        <f t="shared" si="9"/>
        <v>0</v>
      </c>
      <c r="BI8" s="369">
        <f t="shared" si="10"/>
        <v>0</v>
      </c>
      <c r="BJ8" s="370">
        <f t="shared" si="12"/>
        <v>1.008</v>
      </c>
    </row>
    <row r="9" spans="1:62" ht="13">
      <c r="A9" s="795" t="s">
        <v>309</v>
      </c>
      <c r="B9" s="796"/>
      <c r="C9" s="797"/>
      <c r="D9" s="328" t="s">
        <v>310</v>
      </c>
      <c r="E9" s="798">
        <v>94.6</v>
      </c>
      <c r="F9" s="799"/>
      <c r="G9" s="800">
        <v>300</v>
      </c>
      <c r="H9" s="801"/>
      <c r="I9" s="798">
        <v>210</v>
      </c>
      <c r="J9" s="799"/>
      <c r="K9" s="800">
        <v>300</v>
      </c>
      <c r="L9" s="801"/>
      <c r="M9" s="798">
        <v>40</v>
      </c>
      <c r="N9" s="799"/>
      <c r="O9" s="800">
        <v>300</v>
      </c>
      <c r="P9" s="801"/>
      <c r="Q9" s="798">
        <v>37</v>
      </c>
      <c r="R9" s="799"/>
      <c r="S9" s="800">
        <v>300</v>
      </c>
      <c r="T9" s="801"/>
      <c r="U9" s="798">
        <v>19.16</v>
      </c>
      <c r="V9" s="799"/>
      <c r="W9" s="800">
        <v>300</v>
      </c>
      <c r="X9" s="801"/>
      <c r="Y9" s="798">
        <v>16.239999999999998</v>
      </c>
      <c r="Z9" s="799"/>
      <c r="AA9" s="800">
        <v>300</v>
      </c>
      <c r="AB9" s="801"/>
      <c r="AC9" s="798">
        <v>0</v>
      </c>
      <c r="AD9" s="799"/>
      <c r="AE9" s="800">
        <v>300</v>
      </c>
      <c r="AF9" s="801"/>
      <c r="AG9" s="798">
        <v>20</v>
      </c>
      <c r="AH9" s="799"/>
      <c r="AI9" s="800">
        <v>300</v>
      </c>
      <c r="AJ9" s="801"/>
      <c r="AK9" s="798">
        <v>80</v>
      </c>
      <c r="AL9" s="799"/>
      <c r="AM9" s="800">
        <v>300</v>
      </c>
      <c r="AN9" s="801"/>
      <c r="AO9" s="798">
        <v>7.5</v>
      </c>
      <c r="AP9" s="799"/>
      <c r="AQ9" s="800">
        <v>300</v>
      </c>
      <c r="AR9" s="801"/>
      <c r="AS9" s="798">
        <v>50</v>
      </c>
      <c r="AT9" s="799"/>
      <c r="AU9" s="800">
        <v>300</v>
      </c>
      <c r="AV9" s="801"/>
      <c r="AW9" s="329">
        <f t="shared" si="1"/>
        <v>574.5</v>
      </c>
      <c r="AY9" s="369">
        <f t="shared" si="2"/>
        <v>0.3153333333333333</v>
      </c>
      <c r="AZ9" s="369">
        <f t="shared" si="0"/>
        <v>0.7</v>
      </c>
      <c r="BA9" s="369">
        <f t="shared" si="11"/>
        <v>0.13333333333333333</v>
      </c>
      <c r="BB9" s="369">
        <f t="shared" si="3"/>
        <v>0.12333333333333334</v>
      </c>
      <c r="BC9" s="369">
        <f t="shared" si="4"/>
        <v>6.3866666666666669E-2</v>
      </c>
      <c r="BD9" s="369">
        <f t="shared" si="5"/>
        <v>5.4133333333333325E-2</v>
      </c>
      <c r="BE9" s="369">
        <f t="shared" si="6"/>
        <v>0</v>
      </c>
      <c r="BF9" s="369">
        <f t="shared" si="7"/>
        <v>6.6666666666666666E-2</v>
      </c>
      <c r="BG9" s="369">
        <f t="shared" si="8"/>
        <v>0.26666666666666666</v>
      </c>
      <c r="BH9" s="369">
        <f t="shared" si="9"/>
        <v>2.5000000000000001E-2</v>
      </c>
      <c r="BI9" s="369">
        <f t="shared" si="10"/>
        <v>0.16666666666666666</v>
      </c>
      <c r="BJ9" s="370">
        <f t="shared" si="12"/>
        <v>1.9149999999999998</v>
      </c>
    </row>
    <row r="10" spans="1:62" ht="13">
      <c r="A10" s="795" t="s">
        <v>311</v>
      </c>
      <c r="B10" s="796"/>
      <c r="C10" s="797"/>
      <c r="D10" s="328" t="s">
        <v>310</v>
      </c>
      <c r="E10" s="798">
        <v>0</v>
      </c>
      <c r="F10" s="799"/>
      <c r="G10" s="800">
        <v>300</v>
      </c>
      <c r="H10" s="801"/>
      <c r="I10" s="798">
        <v>0</v>
      </c>
      <c r="J10" s="799"/>
      <c r="K10" s="800">
        <v>300</v>
      </c>
      <c r="L10" s="801"/>
      <c r="M10" s="798">
        <v>0</v>
      </c>
      <c r="N10" s="799"/>
      <c r="O10" s="800">
        <v>300</v>
      </c>
      <c r="P10" s="801"/>
      <c r="Q10" s="798">
        <v>0</v>
      </c>
      <c r="R10" s="799"/>
      <c r="S10" s="800">
        <v>300</v>
      </c>
      <c r="T10" s="801"/>
      <c r="U10" s="798">
        <v>0</v>
      </c>
      <c r="V10" s="799"/>
      <c r="W10" s="800">
        <v>300</v>
      </c>
      <c r="X10" s="801"/>
      <c r="Y10" s="798">
        <v>0</v>
      </c>
      <c r="Z10" s="799"/>
      <c r="AA10" s="800">
        <v>300</v>
      </c>
      <c r="AB10" s="801"/>
      <c r="AC10" s="798">
        <v>0</v>
      </c>
      <c r="AD10" s="799"/>
      <c r="AE10" s="800">
        <v>300</v>
      </c>
      <c r="AF10" s="801"/>
      <c r="AG10" s="798">
        <v>0</v>
      </c>
      <c r="AH10" s="799"/>
      <c r="AI10" s="800">
        <v>300</v>
      </c>
      <c r="AJ10" s="801"/>
      <c r="AK10" s="798">
        <v>0</v>
      </c>
      <c r="AL10" s="799"/>
      <c r="AM10" s="800">
        <v>300</v>
      </c>
      <c r="AN10" s="801"/>
      <c r="AO10" s="798">
        <v>0</v>
      </c>
      <c r="AP10" s="799"/>
      <c r="AQ10" s="800">
        <v>300</v>
      </c>
      <c r="AR10" s="801"/>
      <c r="AS10" s="798">
        <v>0</v>
      </c>
      <c r="AT10" s="799"/>
      <c r="AU10" s="800">
        <v>300</v>
      </c>
      <c r="AV10" s="801"/>
      <c r="AW10" s="329">
        <f t="shared" si="1"/>
        <v>0</v>
      </c>
      <c r="AY10" s="369">
        <f t="shared" si="2"/>
        <v>0</v>
      </c>
      <c r="AZ10" s="369">
        <f t="shared" si="0"/>
        <v>0</v>
      </c>
      <c r="BA10" s="369">
        <f t="shared" si="11"/>
        <v>0</v>
      </c>
      <c r="BB10" s="369">
        <f t="shared" si="3"/>
        <v>0</v>
      </c>
      <c r="BC10" s="369">
        <f t="shared" si="4"/>
        <v>0</v>
      </c>
      <c r="BD10" s="369">
        <f t="shared" si="5"/>
        <v>0</v>
      </c>
      <c r="BE10" s="369">
        <f t="shared" si="6"/>
        <v>0</v>
      </c>
      <c r="BF10" s="369">
        <f t="shared" si="7"/>
        <v>0</v>
      </c>
      <c r="BG10" s="369">
        <f t="shared" si="8"/>
        <v>0</v>
      </c>
      <c r="BH10" s="369">
        <f t="shared" si="9"/>
        <v>0</v>
      </c>
      <c r="BI10" s="369">
        <f t="shared" si="10"/>
        <v>0</v>
      </c>
      <c r="BJ10" s="370">
        <f t="shared" si="12"/>
        <v>0</v>
      </c>
    </row>
    <row r="11" spans="1:62" ht="13">
      <c r="A11" s="795" t="s">
        <v>312</v>
      </c>
      <c r="B11" s="796"/>
      <c r="C11" s="797"/>
      <c r="D11" s="328" t="s">
        <v>310</v>
      </c>
      <c r="E11" s="798">
        <v>0</v>
      </c>
      <c r="F11" s="799"/>
      <c r="G11" s="800">
        <v>300</v>
      </c>
      <c r="H11" s="801"/>
      <c r="I11" s="798">
        <v>0</v>
      </c>
      <c r="J11" s="799"/>
      <c r="K11" s="800">
        <v>300</v>
      </c>
      <c r="L11" s="801"/>
      <c r="M11" s="798">
        <v>0</v>
      </c>
      <c r="N11" s="799"/>
      <c r="O11" s="800">
        <v>300</v>
      </c>
      <c r="P11" s="801"/>
      <c r="Q11" s="798">
        <v>0</v>
      </c>
      <c r="R11" s="799"/>
      <c r="S11" s="800">
        <v>300</v>
      </c>
      <c r="T11" s="801"/>
      <c r="U11" s="798">
        <v>0</v>
      </c>
      <c r="V11" s="799"/>
      <c r="W11" s="800">
        <v>300</v>
      </c>
      <c r="X11" s="801"/>
      <c r="Y11" s="798">
        <v>0</v>
      </c>
      <c r="Z11" s="799"/>
      <c r="AA11" s="800">
        <v>300</v>
      </c>
      <c r="AB11" s="801"/>
      <c r="AC11" s="798">
        <v>314</v>
      </c>
      <c r="AD11" s="799"/>
      <c r="AE11" s="800">
        <v>300</v>
      </c>
      <c r="AF11" s="801"/>
      <c r="AG11" s="798">
        <v>0</v>
      </c>
      <c r="AH11" s="799"/>
      <c r="AI11" s="800">
        <v>300</v>
      </c>
      <c r="AJ11" s="801"/>
      <c r="AK11" s="798">
        <v>0</v>
      </c>
      <c r="AL11" s="799"/>
      <c r="AM11" s="800">
        <v>300</v>
      </c>
      <c r="AN11" s="801"/>
      <c r="AO11" s="798">
        <v>0</v>
      </c>
      <c r="AP11" s="799"/>
      <c r="AQ11" s="800">
        <v>300</v>
      </c>
      <c r="AR11" s="801"/>
      <c r="AS11" s="798">
        <v>0</v>
      </c>
      <c r="AT11" s="799"/>
      <c r="AU11" s="800">
        <v>300</v>
      </c>
      <c r="AV11" s="801"/>
      <c r="AW11" s="329">
        <f t="shared" si="1"/>
        <v>314</v>
      </c>
      <c r="AY11" s="369">
        <f t="shared" si="2"/>
        <v>0</v>
      </c>
      <c r="AZ11" s="369">
        <f t="shared" si="0"/>
        <v>0</v>
      </c>
      <c r="BA11" s="369">
        <f t="shared" si="11"/>
        <v>0</v>
      </c>
      <c r="BB11" s="369">
        <f t="shared" si="3"/>
        <v>0</v>
      </c>
      <c r="BC11" s="369">
        <f t="shared" si="4"/>
        <v>0</v>
      </c>
      <c r="BD11" s="369">
        <f t="shared" si="5"/>
        <v>0</v>
      </c>
      <c r="BE11" s="369">
        <f t="shared" si="6"/>
        <v>1.0466666666666666</v>
      </c>
      <c r="BF11" s="369">
        <f t="shared" si="7"/>
        <v>0</v>
      </c>
      <c r="BG11" s="369">
        <f t="shared" si="8"/>
        <v>0</v>
      </c>
      <c r="BH11" s="369">
        <f t="shared" si="9"/>
        <v>0</v>
      </c>
      <c r="BI11" s="369">
        <f t="shared" si="10"/>
        <v>0</v>
      </c>
      <c r="BJ11" s="370">
        <f t="shared" si="12"/>
        <v>1.0466666666666666</v>
      </c>
    </row>
    <row r="12" spans="1:62" ht="13" customHeight="1">
      <c r="A12" s="802" t="s">
        <v>313</v>
      </c>
      <c r="B12" s="803"/>
      <c r="C12" s="804"/>
      <c r="D12" s="808" t="s">
        <v>301</v>
      </c>
      <c r="E12" s="813" t="str">
        <f>E1</f>
        <v>DRF/SJC</v>
      </c>
      <c r="F12" s="814"/>
      <c r="G12" s="814"/>
      <c r="H12" s="815"/>
      <c r="I12" s="810" t="str">
        <f t="shared" ref="I12" si="13">I1</f>
        <v>DRF/GUA</v>
      </c>
      <c r="J12" s="811"/>
      <c r="K12" s="811"/>
      <c r="L12" s="812"/>
      <c r="M12" s="813" t="str">
        <f t="shared" ref="M12" si="14">M1</f>
        <v>IRF/SSO</v>
      </c>
      <c r="N12" s="814"/>
      <c r="O12" s="814"/>
      <c r="P12" s="815"/>
      <c r="Q12" s="810" t="str">
        <f t="shared" ref="Q12" si="15">Q1</f>
        <v>ARF/JAC</v>
      </c>
      <c r="R12" s="811"/>
      <c r="S12" s="811"/>
      <c r="T12" s="812"/>
      <c r="U12" s="813" t="str">
        <f>U1</f>
        <v>ARF/MCS</v>
      </c>
      <c r="V12" s="814"/>
      <c r="W12" s="814"/>
      <c r="X12" s="815"/>
      <c r="Y12" s="810" t="str">
        <f t="shared" ref="Y12" si="16">Y1</f>
        <v>ARF/SUZ</v>
      </c>
      <c r="Z12" s="811"/>
      <c r="AA12" s="811"/>
      <c r="AB12" s="812"/>
      <c r="AC12" s="813" t="str">
        <f t="shared" ref="AC12:AS12" si="17">AC1</f>
        <v>ARF/TAU</v>
      </c>
      <c r="AD12" s="814"/>
      <c r="AE12" s="814"/>
      <c r="AF12" s="815"/>
      <c r="AG12" s="810" t="str">
        <f t="shared" si="17"/>
        <v>ARF/PMB</v>
      </c>
      <c r="AH12" s="811"/>
      <c r="AI12" s="811"/>
      <c r="AJ12" s="812"/>
      <c r="AK12" s="813" t="str">
        <f t="shared" si="17"/>
        <v>ARF/GTA</v>
      </c>
      <c r="AL12" s="814"/>
      <c r="AM12" s="814"/>
      <c r="AN12" s="815"/>
      <c r="AO12" s="810" t="str">
        <f t="shared" si="17"/>
        <v>ARF/CJD</v>
      </c>
      <c r="AP12" s="811"/>
      <c r="AQ12" s="811"/>
      <c r="AR12" s="812"/>
      <c r="AS12" s="786" t="str">
        <f t="shared" si="17"/>
        <v>DMA/TAU</v>
      </c>
      <c r="AT12" s="790"/>
      <c r="AU12" s="790"/>
      <c r="AV12" s="787"/>
      <c r="AW12" s="816" t="str">
        <f>AW1</f>
        <v>Área total do contrato por tipo de área</v>
      </c>
      <c r="AY12" s="782" t="s">
        <v>324</v>
      </c>
      <c r="AZ12" s="783"/>
      <c r="BA12" s="783"/>
      <c r="BB12" s="783"/>
      <c r="BC12" s="783"/>
      <c r="BD12" s="783"/>
      <c r="BE12" s="783"/>
      <c r="BF12" s="783"/>
      <c r="BG12" s="783"/>
      <c r="BH12" s="783"/>
      <c r="BI12" s="783"/>
      <c r="BJ12" s="783"/>
    </row>
    <row r="13" spans="1:62" ht="30" customHeight="1">
      <c r="A13" s="805"/>
      <c r="B13" s="806"/>
      <c r="C13" s="807"/>
      <c r="D13" s="809"/>
      <c r="E13" s="813" t="str">
        <f>E2</f>
        <v>Área (m²)</v>
      </c>
      <c r="F13" s="815"/>
      <c r="G13" s="813" t="str">
        <f>G2</f>
        <v>Produtividade</v>
      </c>
      <c r="H13" s="815"/>
      <c r="I13" s="818" t="str">
        <f>I2</f>
        <v>Área (m2)</v>
      </c>
      <c r="J13" s="819"/>
      <c r="K13" s="818" t="str">
        <f>K2</f>
        <v>Produtividade</v>
      </c>
      <c r="L13" s="819"/>
      <c r="M13" s="813" t="str">
        <f>M2</f>
        <v>Área (m²)</v>
      </c>
      <c r="N13" s="815"/>
      <c r="O13" s="813" t="str">
        <f>$O$2</f>
        <v>Produtividade</v>
      </c>
      <c r="P13" s="815"/>
      <c r="Q13" s="818" t="str">
        <f>Q2</f>
        <v>Área (m²)</v>
      </c>
      <c r="R13" s="819"/>
      <c r="S13" s="818" t="str">
        <f>$S$2</f>
        <v>Produtividade</v>
      </c>
      <c r="T13" s="819"/>
      <c r="U13" s="813" t="str">
        <f>U2</f>
        <v>Área (m²)</v>
      </c>
      <c r="V13" s="815"/>
      <c r="W13" s="813" t="str">
        <f>$W$2</f>
        <v>Produtividade</v>
      </c>
      <c r="X13" s="815"/>
      <c r="Y13" s="818" t="str">
        <f>Y2</f>
        <v>Área (m²)</v>
      </c>
      <c r="Z13" s="819"/>
      <c r="AA13" s="818" t="str">
        <f>$AA$2</f>
        <v>Produtividade</v>
      </c>
      <c r="AB13" s="819"/>
      <c r="AC13" s="813" t="str">
        <f>AC2</f>
        <v>Área</v>
      </c>
      <c r="AD13" s="815"/>
      <c r="AE13" s="813" t="str">
        <f>$AE$2</f>
        <v>Produtividade</v>
      </c>
      <c r="AF13" s="815"/>
      <c r="AG13" s="818" t="str">
        <f>AG2</f>
        <v>Área</v>
      </c>
      <c r="AH13" s="819"/>
      <c r="AI13" s="818" t="str">
        <f>$AI$2</f>
        <v>Produtividade</v>
      </c>
      <c r="AJ13" s="819"/>
      <c r="AK13" s="813" t="str">
        <f>AK2</f>
        <v>Área</v>
      </c>
      <c r="AL13" s="815"/>
      <c r="AM13" s="813" t="str">
        <f>$AM$2</f>
        <v>Produtividade</v>
      </c>
      <c r="AN13" s="815"/>
      <c r="AO13" s="792" t="str">
        <f>AO2</f>
        <v>Área</v>
      </c>
      <c r="AP13" s="794"/>
      <c r="AQ13" s="792" t="str">
        <f>$AQ$2</f>
        <v>Produtividade</v>
      </c>
      <c r="AR13" s="794"/>
      <c r="AS13" s="786" t="str">
        <f>AS2</f>
        <v>Área</v>
      </c>
      <c r="AT13" s="787"/>
      <c r="AU13" s="786" t="str">
        <f>$AQ$2</f>
        <v>Produtividade</v>
      </c>
      <c r="AV13" s="787"/>
      <c r="AW13" s="817"/>
      <c r="AY13" s="367" t="str">
        <f>E12</f>
        <v>DRF/SJC</v>
      </c>
      <c r="AZ13" s="367" t="str">
        <f>I12</f>
        <v>DRF/GUA</v>
      </c>
      <c r="BA13" s="367" t="str">
        <f>M12</f>
        <v>IRF/SSO</v>
      </c>
      <c r="BB13" s="367" t="str">
        <f>Q12</f>
        <v>ARF/JAC</v>
      </c>
      <c r="BC13" s="367" t="str">
        <f>U12</f>
        <v>ARF/MCS</v>
      </c>
      <c r="BD13" s="367" t="str">
        <f>Y12</f>
        <v>ARF/SUZ</v>
      </c>
      <c r="BE13" s="367" t="str">
        <f>AC12</f>
        <v>ARF/TAU</v>
      </c>
      <c r="BF13" s="367" t="str">
        <f>AG12</f>
        <v>ARF/PMB</v>
      </c>
      <c r="BG13" s="367" t="str">
        <f>AK12</f>
        <v>ARF/GTA</v>
      </c>
      <c r="BH13" s="367" t="str">
        <f>AO12</f>
        <v>ARF/CJD</v>
      </c>
      <c r="BI13" s="367" t="str">
        <f>AS12</f>
        <v>DMA/TAU</v>
      </c>
      <c r="BJ13" s="368" t="s">
        <v>9</v>
      </c>
    </row>
    <row r="14" spans="1:62" ht="26.5" customHeight="1">
      <c r="A14" s="795" t="s">
        <v>314</v>
      </c>
      <c r="B14" s="796"/>
      <c r="C14" s="797"/>
      <c r="D14" s="328" t="s">
        <v>315</v>
      </c>
      <c r="E14" s="798">
        <v>401</v>
      </c>
      <c r="F14" s="799"/>
      <c r="G14" s="800">
        <v>2700</v>
      </c>
      <c r="H14" s="801"/>
      <c r="I14" s="798">
        <v>1350</v>
      </c>
      <c r="J14" s="799"/>
      <c r="K14" s="800">
        <v>2700</v>
      </c>
      <c r="L14" s="801"/>
      <c r="M14" s="798">
        <v>350</v>
      </c>
      <c r="N14" s="799"/>
      <c r="O14" s="800">
        <v>2700</v>
      </c>
      <c r="P14" s="801"/>
      <c r="Q14" s="798">
        <v>401</v>
      </c>
      <c r="R14" s="799"/>
      <c r="S14" s="800">
        <v>2700</v>
      </c>
      <c r="T14" s="801"/>
      <c r="U14" s="798">
        <v>200</v>
      </c>
      <c r="V14" s="799"/>
      <c r="W14" s="800">
        <v>2700</v>
      </c>
      <c r="X14" s="801"/>
      <c r="Y14" s="798">
        <v>0</v>
      </c>
      <c r="Z14" s="799"/>
      <c r="AA14" s="800">
        <v>2700</v>
      </c>
      <c r="AB14" s="801"/>
      <c r="AC14" s="798">
        <v>1000</v>
      </c>
      <c r="AD14" s="799"/>
      <c r="AE14" s="800">
        <v>2700</v>
      </c>
      <c r="AF14" s="801"/>
      <c r="AG14" s="798">
        <v>0</v>
      </c>
      <c r="AH14" s="799"/>
      <c r="AI14" s="800">
        <v>2700</v>
      </c>
      <c r="AJ14" s="801"/>
      <c r="AK14" s="798">
        <v>100</v>
      </c>
      <c r="AL14" s="799"/>
      <c r="AM14" s="800">
        <v>2700</v>
      </c>
      <c r="AN14" s="801"/>
      <c r="AO14" s="798">
        <v>101</v>
      </c>
      <c r="AP14" s="799"/>
      <c r="AQ14" s="800">
        <v>2700</v>
      </c>
      <c r="AR14" s="801"/>
      <c r="AS14" s="798">
        <v>0</v>
      </c>
      <c r="AT14" s="799"/>
      <c r="AU14" s="800">
        <v>2700</v>
      </c>
      <c r="AV14" s="801"/>
      <c r="AW14" s="329">
        <f>E14+I14+M14+Q14+U14+Y14+AC14+AG14+AK14+AO14+AS14</f>
        <v>3903</v>
      </c>
      <c r="AY14" s="372">
        <f>E14/G14</f>
        <v>0.14851851851851852</v>
      </c>
      <c r="AZ14" s="372">
        <f>I14/K14</f>
        <v>0.5</v>
      </c>
      <c r="BA14" s="372">
        <f>M14/O14</f>
        <v>0.12962962962962962</v>
      </c>
      <c r="BB14" s="372">
        <f>Q14/S14</f>
        <v>0.14851851851851852</v>
      </c>
      <c r="BC14" s="372">
        <f>U14/W14</f>
        <v>7.407407407407407E-2</v>
      </c>
      <c r="BD14" s="372">
        <f>Y14/AA14</f>
        <v>0</v>
      </c>
      <c r="BE14" s="372">
        <f>AC14/AE14</f>
        <v>0.37037037037037035</v>
      </c>
      <c r="BF14" s="372">
        <f>AG14/AI14</f>
        <v>0</v>
      </c>
      <c r="BG14" s="372">
        <f>AK14/AM14</f>
        <v>3.7037037037037035E-2</v>
      </c>
      <c r="BH14" s="372">
        <f>AO14/AQ14</f>
        <v>3.740740740740741E-2</v>
      </c>
      <c r="BI14" s="372">
        <f>AS14/AU14</f>
        <v>0</v>
      </c>
      <c r="BJ14" s="370">
        <f>SUM(AY14:BI14)</f>
        <v>1.4455555555555553</v>
      </c>
    </row>
    <row r="15" spans="1:62" ht="13">
      <c r="A15" s="795" t="s">
        <v>101</v>
      </c>
      <c r="B15" s="796"/>
      <c r="C15" s="797"/>
      <c r="D15" s="328" t="s">
        <v>316</v>
      </c>
      <c r="E15" s="798">
        <v>2070</v>
      </c>
      <c r="F15" s="799"/>
      <c r="G15" s="800">
        <v>9000</v>
      </c>
      <c r="H15" s="801"/>
      <c r="I15" s="798">
        <v>120</v>
      </c>
      <c r="J15" s="799"/>
      <c r="K15" s="800">
        <v>9000</v>
      </c>
      <c r="L15" s="801"/>
      <c r="M15" s="798">
        <v>330</v>
      </c>
      <c r="N15" s="799"/>
      <c r="O15" s="800">
        <v>9000</v>
      </c>
      <c r="P15" s="801"/>
      <c r="Q15" s="798">
        <v>280</v>
      </c>
      <c r="R15" s="799"/>
      <c r="S15" s="800">
        <v>9000</v>
      </c>
      <c r="T15" s="801"/>
      <c r="U15" s="798">
        <v>19.97</v>
      </c>
      <c r="V15" s="799"/>
      <c r="W15" s="800">
        <v>9000</v>
      </c>
      <c r="X15" s="801"/>
      <c r="Y15" s="798">
        <v>86.52</v>
      </c>
      <c r="Z15" s="799"/>
      <c r="AA15" s="800">
        <v>9000</v>
      </c>
      <c r="AB15" s="801"/>
      <c r="AC15" s="798">
        <v>2200</v>
      </c>
      <c r="AD15" s="799"/>
      <c r="AE15" s="800">
        <v>9000</v>
      </c>
      <c r="AF15" s="801"/>
      <c r="AG15" s="798">
        <v>20</v>
      </c>
      <c r="AH15" s="799"/>
      <c r="AI15" s="800">
        <v>9000</v>
      </c>
      <c r="AJ15" s="801"/>
      <c r="AK15" s="798">
        <v>100</v>
      </c>
      <c r="AL15" s="799"/>
      <c r="AM15" s="800">
        <v>9000</v>
      </c>
      <c r="AN15" s="801"/>
      <c r="AO15" s="798">
        <v>33</v>
      </c>
      <c r="AP15" s="799"/>
      <c r="AQ15" s="800">
        <v>9000</v>
      </c>
      <c r="AR15" s="801"/>
      <c r="AS15" s="798">
        <v>9000</v>
      </c>
      <c r="AT15" s="799"/>
      <c r="AU15" s="800">
        <v>9000</v>
      </c>
      <c r="AV15" s="801"/>
      <c r="AW15" s="329">
        <f t="shared" ref="AW15:AW19" si="18">E15+I15+M15+Q15+U15+Y15+AC15+AG15+AK15+AO15+AS15</f>
        <v>14259.49</v>
      </c>
      <c r="AY15" s="372">
        <f t="shared" ref="AY15:AY19" si="19">E15/G15</f>
        <v>0.23</v>
      </c>
      <c r="AZ15" s="372">
        <f t="shared" ref="AZ15:AZ19" si="20">I15/K15</f>
        <v>1.3333333333333334E-2</v>
      </c>
      <c r="BA15" s="372">
        <f t="shared" ref="BA15:BA19" si="21">M15/O15</f>
        <v>3.6666666666666667E-2</v>
      </c>
      <c r="BB15" s="372">
        <f t="shared" ref="BB15:BB19" si="22">Q15/S15</f>
        <v>3.111111111111111E-2</v>
      </c>
      <c r="BC15" s="372">
        <f t="shared" ref="BC15:BC19" si="23">U15/W15</f>
        <v>2.2188888888888887E-3</v>
      </c>
      <c r="BD15" s="372">
        <f t="shared" ref="BD15:BD19" si="24">Y15/AA15</f>
        <v>9.6133333333333331E-3</v>
      </c>
      <c r="BE15" s="372">
        <f t="shared" ref="BE15:BE19" si="25">AC15/AE15</f>
        <v>0.24444444444444444</v>
      </c>
      <c r="BF15" s="372">
        <f t="shared" ref="BF15:BF19" si="26">AG15/AI15</f>
        <v>2.2222222222222222E-3</v>
      </c>
      <c r="BG15" s="372">
        <f t="shared" ref="BG15:BG19" si="27">AK15/AM15</f>
        <v>1.1111111111111112E-2</v>
      </c>
      <c r="BH15" s="372">
        <f t="shared" ref="BH15:BH19" si="28">AO15/AQ15</f>
        <v>3.6666666666666666E-3</v>
      </c>
      <c r="BI15" s="372">
        <f t="shared" ref="BI15:BI19" si="29">AS15/AU15</f>
        <v>1</v>
      </c>
      <c r="BJ15" s="370">
        <f t="shared" ref="BJ15:BJ19" si="30">SUM(AY15:BI15)</f>
        <v>1.5843877777777777</v>
      </c>
    </row>
    <row r="16" spans="1:62" ht="13">
      <c r="A16" s="795" t="s">
        <v>317</v>
      </c>
      <c r="B16" s="796"/>
      <c r="C16" s="797"/>
      <c r="D16" s="328" t="s">
        <v>315</v>
      </c>
      <c r="E16" s="798">
        <v>0</v>
      </c>
      <c r="F16" s="799"/>
      <c r="G16" s="800">
        <v>2700</v>
      </c>
      <c r="H16" s="801"/>
      <c r="I16" s="798">
        <v>0</v>
      </c>
      <c r="J16" s="799"/>
      <c r="K16" s="800">
        <v>2700</v>
      </c>
      <c r="L16" s="801"/>
      <c r="M16" s="798">
        <v>30</v>
      </c>
      <c r="N16" s="799"/>
      <c r="O16" s="800">
        <v>2700</v>
      </c>
      <c r="P16" s="801"/>
      <c r="Q16" s="798">
        <v>27</v>
      </c>
      <c r="R16" s="799"/>
      <c r="S16" s="800">
        <v>2700</v>
      </c>
      <c r="T16" s="801"/>
      <c r="U16" s="798">
        <v>0</v>
      </c>
      <c r="V16" s="799"/>
      <c r="W16" s="800">
        <v>2700</v>
      </c>
      <c r="X16" s="801"/>
      <c r="Y16" s="798">
        <v>0</v>
      </c>
      <c r="Z16" s="799"/>
      <c r="AA16" s="800">
        <v>2700</v>
      </c>
      <c r="AB16" s="801"/>
      <c r="AC16" s="798">
        <v>600</v>
      </c>
      <c r="AD16" s="799"/>
      <c r="AE16" s="800">
        <v>2700</v>
      </c>
      <c r="AF16" s="801"/>
      <c r="AG16" s="798">
        <v>0</v>
      </c>
      <c r="AH16" s="799"/>
      <c r="AI16" s="800">
        <v>2700</v>
      </c>
      <c r="AJ16" s="801"/>
      <c r="AK16" s="798">
        <v>0</v>
      </c>
      <c r="AL16" s="799"/>
      <c r="AM16" s="800">
        <v>2700</v>
      </c>
      <c r="AN16" s="801"/>
      <c r="AO16" s="798">
        <v>0</v>
      </c>
      <c r="AP16" s="799"/>
      <c r="AQ16" s="800">
        <v>2700</v>
      </c>
      <c r="AR16" s="801"/>
      <c r="AS16" s="798">
        <v>0</v>
      </c>
      <c r="AT16" s="799"/>
      <c r="AU16" s="800">
        <v>2700</v>
      </c>
      <c r="AV16" s="801"/>
      <c r="AW16" s="329">
        <f t="shared" si="18"/>
        <v>657</v>
      </c>
      <c r="AY16" s="372">
        <f t="shared" si="19"/>
        <v>0</v>
      </c>
      <c r="AZ16" s="372">
        <f t="shared" si="20"/>
        <v>0</v>
      </c>
      <c r="BA16" s="372">
        <f t="shared" si="21"/>
        <v>1.1111111111111112E-2</v>
      </c>
      <c r="BB16" s="372">
        <f t="shared" si="22"/>
        <v>0.01</v>
      </c>
      <c r="BC16" s="372">
        <f t="shared" si="23"/>
        <v>0</v>
      </c>
      <c r="BD16" s="372">
        <f t="shared" si="24"/>
        <v>0</v>
      </c>
      <c r="BE16" s="372">
        <f t="shared" si="25"/>
        <v>0.22222222222222221</v>
      </c>
      <c r="BF16" s="372">
        <f t="shared" si="26"/>
        <v>0</v>
      </c>
      <c r="BG16" s="372">
        <f t="shared" si="27"/>
        <v>0</v>
      </c>
      <c r="BH16" s="372">
        <f t="shared" si="28"/>
        <v>0</v>
      </c>
      <c r="BI16" s="372">
        <f t="shared" si="29"/>
        <v>0</v>
      </c>
      <c r="BJ16" s="370">
        <f t="shared" si="30"/>
        <v>0.24333333333333332</v>
      </c>
    </row>
    <row r="17" spans="1:62" ht="13">
      <c r="A17" s="795" t="s">
        <v>318</v>
      </c>
      <c r="B17" s="796"/>
      <c r="C17" s="797"/>
      <c r="D17" s="328" t="s">
        <v>315</v>
      </c>
      <c r="E17" s="798">
        <v>0</v>
      </c>
      <c r="F17" s="799"/>
      <c r="G17" s="800">
        <v>2700</v>
      </c>
      <c r="H17" s="801"/>
      <c r="I17" s="798">
        <v>925</v>
      </c>
      <c r="J17" s="799"/>
      <c r="K17" s="800">
        <v>2700</v>
      </c>
      <c r="L17" s="801"/>
      <c r="M17" s="798">
        <v>180</v>
      </c>
      <c r="N17" s="799"/>
      <c r="O17" s="800">
        <v>2700</v>
      </c>
      <c r="P17" s="801"/>
      <c r="Q17" s="798">
        <v>0</v>
      </c>
      <c r="R17" s="799"/>
      <c r="S17" s="800">
        <v>2700</v>
      </c>
      <c r="T17" s="801"/>
      <c r="U17" s="798">
        <v>0</v>
      </c>
      <c r="V17" s="799"/>
      <c r="W17" s="800">
        <v>2700</v>
      </c>
      <c r="X17" s="801"/>
      <c r="Y17" s="798">
        <v>0</v>
      </c>
      <c r="Z17" s="799"/>
      <c r="AA17" s="800">
        <v>2700</v>
      </c>
      <c r="AB17" s="801"/>
      <c r="AC17" s="798">
        <v>0</v>
      </c>
      <c r="AD17" s="799"/>
      <c r="AE17" s="800">
        <v>2700</v>
      </c>
      <c r="AF17" s="801"/>
      <c r="AG17" s="798">
        <v>0</v>
      </c>
      <c r="AH17" s="799"/>
      <c r="AI17" s="800">
        <v>2700</v>
      </c>
      <c r="AJ17" s="801"/>
      <c r="AK17" s="798">
        <v>0</v>
      </c>
      <c r="AL17" s="799"/>
      <c r="AM17" s="800">
        <v>2700</v>
      </c>
      <c r="AN17" s="801"/>
      <c r="AO17" s="798">
        <v>0</v>
      </c>
      <c r="AP17" s="799"/>
      <c r="AQ17" s="800">
        <v>2700</v>
      </c>
      <c r="AR17" s="801"/>
      <c r="AS17" s="798">
        <v>0</v>
      </c>
      <c r="AT17" s="799"/>
      <c r="AU17" s="800">
        <v>2700</v>
      </c>
      <c r="AV17" s="801"/>
      <c r="AW17" s="329">
        <f t="shared" si="18"/>
        <v>1105</v>
      </c>
      <c r="AY17" s="372">
        <f t="shared" si="19"/>
        <v>0</v>
      </c>
      <c r="AZ17" s="372">
        <f t="shared" si="20"/>
        <v>0.34259259259259262</v>
      </c>
      <c r="BA17" s="372">
        <f t="shared" si="21"/>
        <v>6.6666666666666666E-2</v>
      </c>
      <c r="BB17" s="372">
        <f t="shared" si="22"/>
        <v>0</v>
      </c>
      <c r="BC17" s="372">
        <f t="shared" si="23"/>
        <v>0</v>
      </c>
      <c r="BD17" s="372">
        <f t="shared" si="24"/>
        <v>0</v>
      </c>
      <c r="BE17" s="372">
        <f t="shared" si="25"/>
        <v>0</v>
      </c>
      <c r="BF17" s="372">
        <f t="shared" si="26"/>
        <v>0</v>
      </c>
      <c r="BG17" s="372">
        <f t="shared" si="27"/>
        <v>0</v>
      </c>
      <c r="BH17" s="372">
        <f t="shared" si="28"/>
        <v>0</v>
      </c>
      <c r="BI17" s="372">
        <f t="shared" si="29"/>
        <v>0</v>
      </c>
      <c r="BJ17" s="370">
        <f t="shared" si="30"/>
        <v>0.40925925925925927</v>
      </c>
    </row>
    <row r="18" spans="1:62" ht="13">
      <c r="A18" s="795" t="s">
        <v>319</v>
      </c>
      <c r="B18" s="796"/>
      <c r="C18" s="797"/>
      <c r="D18" s="328" t="s">
        <v>315</v>
      </c>
      <c r="E18" s="798">
        <v>0</v>
      </c>
      <c r="F18" s="799"/>
      <c r="G18" s="800">
        <v>2700</v>
      </c>
      <c r="H18" s="801"/>
      <c r="I18" s="798">
        <v>0</v>
      </c>
      <c r="J18" s="799"/>
      <c r="K18" s="800">
        <v>2700</v>
      </c>
      <c r="L18" s="801"/>
      <c r="M18" s="798">
        <v>60</v>
      </c>
      <c r="N18" s="799"/>
      <c r="O18" s="800">
        <v>2700</v>
      </c>
      <c r="P18" s="801"/>
      <c r="Q18" s="798">
        <v>0</v>
      </c>
      <c r="R18" s="799"/>
      <c r="S18" s="800">
        <v>2700</v>
      </c>
      <c r="T18" s="801"/>
      <c r="U18" s="798">
        <v>0</v>
      </c>
      <c r="V18" s="799"/>
      <c r="W18" s="800">
        <v>2700</v>
      </c>
      <c r="X18" s="801"/>
      <c r="Y18" s="798">
        <v>0</v>
      </c>
      <c r="Z18" s="799"/>
      <c r="AA18" s="800">
        <v>2700</v>
      </c>
      <c r="AB18" s="801"/>
      <c r="AC18" s="798">
        <v>0</v>
      </c>
      <c r="AD18" s="799"/>
      <c r="AE18" s="800">
        <v>2700</v>
      </c>
      <c r="AF18" s="801"/>
      <c r="AG18" s="798">
        <v>0</v>
      </c>
      <c r="AH18" s="799"/>
      <c r="AI18" s="800">
        <v>2700</v>
      </c>
      <c r="AJ18" s="801"/>
      <c r="AK18" s="798">
        <v>0</v>
      </c>
      <c r="AL18" s="799"/>
      <c r="AM18" s="800">
        <v>2700</v>
      </c>
      <c r="AN18" s="801"/>
      <c r="AO18" s="798">
        <v>0</v>
      </c>
      <c r="AP18" s="799"/>
      <c r="AQ18" s="800">
        <v>2700</v>
      </c>
      <c r="AR18" s="801"/>
      <c r="AS18" s="798">
        <v>2000</v>
      </c>
      <c r="AT18" s="799"/>
      <c r="AU18" s="800">
        <v>2700</v>
      </c>
      <c r="AV18" s="801"/>
      <c r="AW18" s="329">
        <f t="shared" si="18"/>
        <v>2060</v>
      </c>
      <c r="AY18" s="372">
        <f t="shared" si="19"/>
        <v>0</v>
      </c>
      <c r="AZ18" s="372">
        <f t="shared" si="20"/>
        <v>0</v>
      </c>
      <c r="BA18" s="372">
        <f t="shared" si="21"/>
        <v>2.2222222222222223E-2</v>
      </c>
      <c r="BB18" s="372">
        <f t="shared" si="22"/>
        <v>0</v>
      </c>
      <c r="BC18" s="372">
        <f t="shared" si="23"/>
        <v>0</v>
      </c>
      <c r="BD18" s="372">
        <f t="shared" si="24"/>
        <v>0</v>
      </c>
      <c r="BE18" s="372">
        <f t="shared" si="25"/>
        <v>0</v>
      </c>
      <c r="BF18" s="372">
        <f t="shared" si="26"/>
        <v>0</v>
      </c>
      <c r="BG18" s="372">
        <f t="shared" si="27"/>
        <v>0</v>
      </c>
      <c r="BH18" s="372">
        <f t="shared" si="28"/>
        <v>0</v>
      </c>
      <c r="BI18" s="372">
        <f t="shared" si="29"/>
        <v>0.7407407407407407</v>
      </c>
      <c r="BJ18" s="370">
        <f t="shared" si="30"/>
        <v>0.76296296296296295</v>
      </c>
    </row>
    <row r="19" spans="1:62" ht="25" customHeight="1">
      <c r="A19" s="795" t="s">
        <v>105</v>
      </c>
      <c r="B19" s="796"/>
      <c r="C19" s="797"/>
      <c r="D19" s="330">
        <v>100000</v>
      </c>
      <c r="E19" s="798">
        <v>0</v>
      </c>
      <c r="F19" s="799"/>
      <c r="G19" s="800">
        <f>D19</f>
        <v>100000</v>
      </c>
      <c r="H19" s="801"/>
      <c r="I19" s="798">
        <v>660</v>
      </c>
      <c r="J19" s="799"/>
      <c r="K19" s="800">
        <v>100000</v>
      </c>
      <c r="L19" s="801"/>
      <c r="M19" s="798">
        <v>90</v>
      </c>
      <c r="N19" s="799"/>
      <c r="O19" s="800">
        <v>100000</v>
      </c>
      <c r="P19" s="801"/>
      <c r="Q19" s="798">
        <v>0</v>
      </c>
      <c r="R19" s="799"/>
      <c r="S19" s="800">
        <v>100000</v>
      </c>
      <c r="T19" s="801"/>
      <c r="U19" s="798">
        <v>0</v>
      </c>
      <c r="V19" s="799"/>
      <c r="W19" s="800">
        <v>100000</v>
      </c>
      <c r="X19" s="801"/>
      <c r="Y19" s="798">
        <v>0</v>
      </c>
      <c r="Z19" s="799"/>
      <c r="AA19" s="800">
        <v>100000</v>
      </c>
      <c r="AB19" s="801"/>
      <c r="AC19" s="798">
        <v>600</v>
      </c>
      <c r="AD19" s="799"/>
      <c r="AE19" s="800">
        <v>100000</v>
      </c>
      <c r="AF19" s="801"/>
      <c r="AG19" s="798">
        <v>0</v>
      </c>
      <c r="AH19" s="799"/>
      <c r="AI19" s="800">
        <v>100000</v>
      </c>
      <c r="AJ19" s="801"/>
      <c r="AK19" s="798">
        <v>0</v>
      </c>
      <c r="AL19" s="799"/>
      <c r="AM19" s="800">
        <v>100000</v>
      </c>
      <c r="AN19" s="801"/>
      <c r="AO19" s="798">
        <v>0</v>
      </c>
      <c r="AP19" s="799"/>
      <c r="AQ19" s="800">
        <v>100000</v>
      </c>
      <c r="AR19" s="801"/>
      <c r="AS19" s="798">
        <v>0</v>
      </c>
      <c r="AT19" s="799"/>
      <c r="AU19" s="800">
        <v>100000</v>
      </c>
      <c r="AV19" s="801"/>
      <c r="AW19" s="329">
        <f t="shared" si="18"/>
        <v>1350</v>
      </c>
      <c r="AY19" s="372">
        <f t="shared" si="19"/>
        <v>0</v>
      </c>
      <c r="AZ19" s="372">
        <f t="shared" si="20"/>
        <v>6.6E-3</v>
      </c>
      <c r="BA19" s="372">
        <f t="shared" si="21"/>
        <v>8.9999999999999998E-4</v>
      </c>
      <c r="BB19" s="372">
        <f t="shared" si="22"/>
        <v>0</v>
      </c>
      <c r="BC19" s="372">
        <f t="shared" si="23"/>
        <v>0</v>
      </c>
      <c r="BD19" s="372">
        <f t="shared" si="24"/>
        <v>0</v>
      </c>
      <c r="BE19" s="372">
        <f t="shared" si="25"/>
        <v>6.0000000000000001E-3</v>
      </c>
      <c r="BF19" s="372">
        <f t="shared" si="26"/>
        <v>0</v>
      </c>
      <c r="BG19" s="372">
        <f t="shared" si="27"/>
        <v>0</v>
      </c>
      <c r="BH19" s="372">
        <f t="shared" si="28"/>
        <v>0</v>
      </c>
      <c r="BI19" s="372">
        <f t="shared" si="29"/>
        <v>0</v>
      </c>
      <c r="BJ19" s="370">
        <f t="shared" si="30"/>
        <v>1.35E-2</v>
      </c>
    </row>
    <row r="20" spans="1:62" ht="19" customHeight="1">
      <c r="A20" s="802" t="s">
        <v>320</v>
      </c>
      <c r="B20" s="803"/>
      <c r="C20" s="804"/>
      <c r="D20" s="808" t="s">
        <v>301</v>
      </c>
      <c r="E20" s="813" t="str">
        <f>E12</f>
        <v>DRF/SJC</v>
      </c>
      <c r="F20" s="814"/>
      <c r="G20" s="814"/>
      <c r="H20" s="815"/>
      <c r="I20" s="818" t="str">
        <f>I1</f>
        <v>DRF/GUA</v>
      </c>
      <c r="J20" s="828"/>
      <c r="K20" s="828"/>
      <c r="L20" s="819"/>
      <c r="M20" s="813" t="str">
        <f>M12</f>
        <v>IRF/SSO</v>
      </c>
      <c r="N20" s="814"/>
      <c r="O20" s="814"/>
      <c r="P20" s="815"/>
      <c r="Q20" s="818" t="str">
        <f>Q12</f>
        <v>ARF/JAC</v>
      </c>
      <c r="R20" s="828"/>
      <c r="S20" s="828"/>
      <c r="T20" s="819"/>
      <c r="U20" s="813" t="str">
        <f>U12</f>
        <v>ARF/MCS</v>
      </c>
      <c r="V20" s="814"/>
      <c r="W20" s="814"/>
      <c r="X20" s="815"/>
      <c r="Y20" s="818" t="str">
        <f>Y12</f>
        <v>ARF/SUZ</v>
      </c>
      <c r="Z20" s="828"/>
      <c r="AA20" s="828"/>
      <c r="AB20" s="819"/>
      <c r="AC20" s="813" t="str">
        <f>AC12</f>
        <v>ARF/TAU</v>
      </c>
      <c r="AD20" s="814"/>
      <c r="AE20" s="814"/>
      <c r="AF20" s="815"/>
      <c r="AG20" s="818" t="str">
        <f>AG12</f>
        <v>ARF/PMB</v>
      </c>
      <c r="AH20" s="828"/>
      <c r="AI20" s="828"/>
      <c r="AJ20" s="819"/>
      <c r="AK20" s="813" t="str">
        <f>AK12</f>
        <v>ARF/GTA</v>
      </c>
      <c r="AL20" s="814"/>
      <c r="AM20" s="814"/>
      <c r="AN20" s="815"/>
      <c r="AO20" s="818" t="str">
        <f>AO12</f>
        <v>ARF/CJD</v>
      </c>
      <c r="AP20" s="828"/>
      <c r="AQ20" s="828"/>
      <c r="AR20" s="819"/>
      <c r="AS20" s="818" t="str">
        <f>AS12</f>
        <v>DMA/TAU</v>
      </c>
      <c r="AT20" s="828"/>
      <c r="AU20" s="828"/>
      <c r="AV20" s="819"/>
      <c r="AW20" s="816" t="str">
        <f>AW1</f>
        <v>Área total do contrato por tipo de área</v>
      </c>
      <c r="AY20" s="780" t="s">
        <v>325</v>
      </c>
      <c r="AZ20" s="781"/>
      <c r="BA20" s="781"/>
      <c r="BB20" s="781"/>
      <c r="BC20" s="781"/>
      <c r="BD20" s="781"/>
      <c r="BE20" s="781"/>
      <c r="BF20" s="781"/>
      <c r="BG20" s="781"/>
      <c r="BH20" s="781"/>
      <c r="BI20" s="781"/>
      <c r="BJ20" s="781"/>
    </row>
    <row r="21" spans="1:62" ht="50" customHeight="1">
      <c r="A21" s="805"/>
      <c r="B21" s="806"/>
      <c r="C21" s="807"/>
      <c r="D21" s="809"/>
      <c r="E21" s="341" t="str">
        <f>E13</f>
        <v>Área (m²)</v>
      </c>
      <c r="F21" s="341" t="str">
        <f>G13</f>
        <v>Produtividade</v>
      </c>
      <c r="G21" s="343" t="s">
        <v>323</v>
      </c>
      <c r="H21" s="342" t="s">
        <v>230</v>
      </c>
      <c r="I21" s="341" t="str">
        <f>I13</f>
        <v>Área (m2)</v>
      </c>
      <c r="J21" s="341" t="str">
        <f>K13</f>
        <v>Produtividade</v>
      </c>
      <c r="K21" s="343" t="s">
        <v>323</v>
      </c>
      <c r="L21" s="342" t="s">
        <v>230</v>
      </c>
      <c r="M21" s="341" t="str">
        <f>M13</f>
        <v>Área (m²)</v>
      </c>
      <c r="N21" s="341" t="str">
        <f>F21</f>
        <v>Produtividade</v>
      </c>
      <c r="O21" s="343" t="s">
        <v>323</v>
      </c>
      <c r="P21" s="342" t="s">
        <v>230</v>
      </c>
      <c r="Q21" s="341" t="str">
        <f>Q13</f>
        <v>Área (m²)</v>
      </c>
      <c r="R21" s="341" t="str">
        <f>F21</f>
        <v>Produtividade</v>
      </c>
      <c r="S21" s="343" t="s">
        <v>323</v>
      </c>
      <c r="T21" s="342" t="s">
        <v>230</v>
      </c>
      <c r="U21" s="341" t="str">
        <f>U13</f>
        <v>Área (m²)</v>
      </c>
      <c r="V21" s="341" t="str">
        <f>R21</f>
        <v>Produtividade</v>
      </c>
      <c r="W21" s="343" t="s">
        <v>323</v>
      </c>
      <c r="X21" s="342" t="s">
        <v>230</v>
      </c>
      <c r="Y21" s="341" t="str">
        <f>Y13</f>
        <v>Área (m²)</v>
      </c>
      <c r="Z21" s="341" t="str">
        <f>V21</f>
        <v>Produtividade</v>
      </c>
      <c r="AA21" s="343" t="s">
        <v>323</v>
      </c>
      <c r="AB21" s="342" t="s">
        <v>230</v>
      </c>
      <c r="AC21" s="341" t="str">
        <f>AC13</f>
        <v>Área</v>
      </c>
      <c r="AD21" s="341" t="str">
        <f>Z21</f>
        <v>Produtividade</v>
      </c>
      <c r="AE21" s="343" t="s">
        <v>323</v>
      </c>
      <c r="AF21" s="342" t="s">
        <v>230</v>
      </c>
      <c r="AG21" s="341" t="str">
        <f>AG13</f>
        <v>Área</v>
      </c>
      <c r="AH21" s="341" t="str">
        <f>AD21</f>
        <v>Produtividade</v>
      </c>
      <c r="AI21" s="343" t="s">
        <v>323</v>
      </c>
      <c r="AJ21" s="342" t="s">
        <v>230</v>
      </c>
      <c r="AK21" s="331" t="str">
        <f>AK13</f>
        <v>Área</v>
      </c>
      <c r="AL21" s="332" t="str">
        <f>AH21</f>
        <v>Produtividade</v>
      </c>
      <c r="AM21" s="333" t="s">
        <v>430</v>
      </c>
      <c r="AN21" s="333" t="s">
        <v>230</v>
      </c>
      <c r="AO21" s="334" t="str">
        <f>AO13</f>
        <v>Área</v>
      </c>
      <c r="AP21" s="335" t="str">
        <f>AL21</f>
        <v>Produtividade</v>
      </c>
      <c r="AQ21" s="336" t="s">
        <v>430</v>
      </c>
      <c r="AR21" s="336" t="s">
        <v>230</v>
      </c>
      <c r="AS21" s="334" t="str">
        <f>AS13</f>
        <v>Área</v>
      </c>
      <c r="AT21" s="335" t="str">
        <f>AP21</f>
        <v>Produtividade</v>
      </c>
      <c r="AU21" s="336" t="s">
        <v>430</v>
      </c>
      <c r="AV21" s="336" t="s">
        <v>230</v>
      </c>
      <c r="AW21" s="817"/>
      <c r="AY21" s="367" t="str">
        <f>E20</f>
        <v>DRF/SJC</v>
      </c>
      <c r="AZ21" s="367" t="str">
        <f>I20</f>
        <v>DRF/GUA</v>
      </c>
      <c r="BA21" s="367" t="str">
        <f>M20</f>
        <v>IRF/SSO</v>
      </c>
      <c r="BB21" s="367" t="str">
        <f>Q20</f>
        <v>ARF/JAC</v>
      </c>
      <c r="BC21" s="367" t="str">
        <f>U20</f>
        <v>ARF/MCS</v>
      </c>
      <c r="BD21" s="367" t="str">
        <f>Y20</f>
        <v>ARF/SUZ</v>
      </c>
      <c r="BE21" s="367" t="str">
        <f>AC20</f>
        <v>ARF/TAU</v>
      </c>
      <c r="BF21" s="367" t="str">
        <f>AG20</f>
        <v>ARF/PMB</v>
      </c>
      <c r="BG21" s="367" t="str">
        <f>AK20</f>
        <v>ARF/GTA</v>
      </c>
      <c r="BH21" s="367" t="str">
        <f>AO20</f>
        <v>ARF/CJD</v>
      </c>
      <c r="BI21" s="367" t="str">
        <f>AS20</f>
        <v>DMA/TAU</v>
      </c>
      <c r="BJ21" s="368" t="s">
        <v>9</v>
      </c>
    </row>
    <row r="22" spans="1:62" ht="50" customHeight="1">
      <c r="A22" s="829" t="s">
        <v>423</v>
      </c>
      <c r="B22" s="830"/>
      <c r="C22" s="831"/>
      <c r="D22" s="328" t="s">
        <v>427</v>
      </c>
      <c r="E22" s="344">
        <v>158.4</v>
      </c>
      <c r="F22" s="337">
        <v>160</v>
      </c>
      <c r="G22" s="338">
        <v>8</v>
      </c>
      <c r="H22" s="339">
        <f>(1/F22)*G22*(1/1132.6)</f>
        <v>4.4146212254988529E-5</v>
      </c>
      <c r="I22" s="344">
        <v>91.57</v>
      </c>
      <c r="J22" s="337">
        <v>160</v>
      </c>
      <c r="K22" s="338">
        <v>8</v>
      </c>
      <c r="L22" s="339">
        <f>(1/J22)*K22*(1/1132.6)</f>
        <v>4.4146212254988529E-5</v>
      </c>
      <c r="M22" s="344">
        <v>0</v>
      </c>
      <c r="N22" s="337">
        <v>160</v>
      </c>
      <c r="O22" s="338">
        <v>8</v>
      </c>
      <c r="P22" s="339">
        <f>(1/N22)*O22*(1/1132.6)</f>
        <v>4.4146212254988529E-5</v>
      </c>
      <c r="Q22" s="344">
        <v>0</v>
      </c>
      <c r="R22" s="337">
        <v>160</v>
      </c>
      <c r="S22" s="338">
        <v>8</v>
      </c>
      <c r="T22" s="339">
        <f>(1/R22)*S22*(1/1132.6)</f>
        <v>4.4146212254988529E-5</v>
      </c>
      <c r="U22" s="344">
        <v>0</v>
      </c>
      <c r="V22" s="337">
        <v>160</v>
      </c>
      <c r="W22" s="338">
        <v>8</v>
      </c>
      <c r="X22" s="339">
        <f>(1/V22)*W22*(1/1132.6)</f>
        <v>4.4146212254988529E-5</v>
      </c>
      <c r="Y22" s="344">
        <v>0</v>
      </c>
      <c r="Z22" s="337">
        <v>160</v>
      </c>
      <c r="AA22" s="338">
        <v>8</v>
      </c>
      <c r="AB22" s="339">
        <f>(1/Z22)*AA22*(1/1132.6)</f>
        <v>4.4146212254988529E-5</v>
      </c>
      <c r="AC22" s="344">
        <v>660</v>
      </c>
      <c r="AD22" s="337">
        <v>160</v>
      </c>
      <c r="AE22" s="338">
        <v>8</v>
      </c>
      <c r="AF22" s="339">
        <f>(1/AD22)*AE22*(1/1132.6)</f>
        <v>4.4146212254988529E-5</v>
      </c>
      <c r="AG22" s="344">
        <v>0</v>
      </c>
      <c r="AH22" s="337">
        <v>160</v>
      </c>
      <c r="AI22" s="338">
        <v>8</v>
      </c>
      <c r="AJ22" s="339">
        <f>(1/AH22)*AI22*(1/1132.6)</f>
        <v>4.4146212254988529E-5</v>
      </c>
      <c r="AK22" s="344">
        <v>0</v>
      </c>
      <c r="AL22" s="337">
        <v>160</v>
      </c>
      <c r="AM22" s="338">
        <v>8</v>
      </c>
      <c r="AN22" s="339">
        <f>(1/AL22)*AM22*(1/1132.6)</f>
        <v>4.4146212254988529E-5</v>
      </c>
      <c r="AO22" s="344">
        <v>0</v>
      </c>
      <c r="AP22" s="337">
        <v>160</v>
      </c>
      <c r="AQ22" s="338">
        <v>8</v>
      </c>
      <c r="AR22" s="339">
        <f>(1/AP22)*AQ22*(1/1132.6)</f>
        <v>4.4146212254988529E-5</v>
      </c>
      <c r="AS22" s="344">
        <v>0</v>
      </c>
      <c r="AT22" s="337">
        <v>160</v>
      </c>
      <c r="AU22" s="338">
        <v>8</v>
      </c>
      <c r="AV22" s="339">
        <f>(1/AT22)*AU22*(1/1132.6)</f>
        <v>4.4146212254988529E-5</v>
      </c>
      <c r="AW22" s="329">
        <f>E22+I22+M22+Q22+U22+Y22+AC22+AG22+AK22+AO22+AS22</f>
        <v>909.97</v>
      </c>
      <c r="AY22" s="373">
        <f>E22*H22</f>
        <v>6.9927600211901831E-3</v>
      </c>
      <c r="AZ22" s="373">
        <f>I22*L22</f>
        <v>4.0424686561892995E-3</v>
      </c>
      <c r="BA22" s="373">
        <f>M22*P22</f>
        <v>0</v>
      </c>
      <c r="BB22" s="373">
        <f>Q22*T22</f>
        <v>0</v>
      </c>
      <c r="BC22" s="373">
        <f>U22*X22</f>
        <v>0</v>
      </c>
      <c r="BD22" s="373">
        <f>Y22*AB22</f>
        <v>0</v>
      </c>
      <c r="BE22" s="373">
        <f>AC22*AF22</f>
        <v>2.9136500088292428E-2</v>
      </c>
      <c r="BF22" s="373">
        <f>AG22*AJ22</f>
        <v>0</v>
      </c>
      <c r="BG22" s="373">
        <f>AK22*AN22</f>
        <v>0</v>
      </c>
      <c r="BH22" s="373">
        <f>AO22*AR22</f>
        <v>0</v>
      </c>
      <c r="BI22" s="373">
        <f>AS22*AV22</f>
        <v>0</v>
      </c>
      <c r="BJ22" s="370">
        <f>SUM(AY22:BI22)</f>
        <v>4.0171728765671912E-2</v>
      </c>
    </row>
    <row r="23" spans="1:62" ht="50" customHeight="1">
      <c r="A23" s="795" t="s">
        <v>424</v>
      </c>
      <c r="B23" s="796"/>
      <c r="C23" s="797"/>
      <c r="D23" s="328" t="s">
        <v>428</v>
      </c>
      <c r="E23" s="344">
        <v>560</v>
      </c>
      <c r="F23" s="337">
        <v>380</v>
      </c>
      <c r="G23" s="338">
        <v>16</v>
      </c>
      <c r="H23" s="339">
        <f>(1/F23)*G23*(1/188.76)</f>
        <v>2.2306242401936183E-4</v>
      </c>
      <c r="I23" s="344">
        <v>304.18</v>
      </c>
      <c r="J23" s="337">
        <v>380</v>
      </c>
      <c r="K23" s="338">
        <v>16</v>
      </c>
      <c r="L23" s="339">
        <f>(1/J23)*K23*(1/188.76)</f>
        <v>2.2306242401936183E-4</v>
      </c>
      <c r="M23" s="344">
        <v>186</v>
      </c>
      <c r="N23" s="337">
        <v>380</v>
      </c>
      <c r="O23" s="338">
        <v>16</v>
      </c>
      <c r="P23" s="339">
        <f>(1/N23)*O23*(1/188.76)</f>
        <v>2.2306242401936183E-4</v>
      </c>
      <c r="Q23" s="344">
        <v>157</v>
      </c>
      <c r="R23" s="337">
        <v>380</v>
      </c>
      <c r="S23" s="338">
        <v>16</v>
      </c>
      <c r="T23" s="339">
        <f>(1/R23)*S23*(1/188.76)</f>
        <v>2.2306242401936183E-4</v>
      </c>
      <c r="U23" s="344">
        <v>8.77</v>
      </c>
      <c r="V23" s="337">
        <v>380</v>
      </c>
      <c r="W23" s="338">
        <v>16</v>
      </c>
      <c r="X23" s="339">
        <f>(1/V23)*W23*(1/188.76)</f>
        <v>2.2306242401936183E-4</v>
      </c>
      <c r="Y23" s="344">
        <v>34.700000000000003</v>
      </c>
      <c r="Z23" s="337">
        <v>380</v>
      </c>
      <c r="AA23" s="338">
        <v>16</v>
      </c>
      <c r="AB23" s="339">
        <f>(1/Z23)*AA23*(1/188.76)</f>
        <v>2.2306242401936183E-4</v>
      </c>
      <c r="AC23" s="344">
        <v>250</v>
      </c>
      <c r="AD23" s="337">
        <v>380</v>
      </c>
      <c r="AE23" s="338">
        <v>16</v>
      </c>
      <c r="AF23" s="339">
        <f>(1/AD23)*AE23*(1/188.76)</f>
        <v>2.2306242401936183E-4</v>
      </c>
      <c r="AG23" s="344">
        <v>25</v>
      </c>
      <c r="AH23" s="337">
        <v>380</v>
      </c>
      <c r="AI23" s="338">
        <v>16</v>
      </c>
      <c r="AJ23" s="339">
        <f>(1/AH23)*AI23*(1/188.76)</f>
        <v>2.2306242401936183E-4</v>
      </c>
      <c r="AK23" s="344">
        <v>105</v>
      </c>
      <c r="AL23" s="337">
        <v>380</v>
      </c>
      <c r="AM23" s="338">
        <v>16</v>
      </c>
      <c r="AN23" s="339">
        <f>(1/AL23)*AM23*(1/188.76)</f>
        <v>2.2306242401936183E-4</v>
      </c>
      <c r="AO23" s="344">
        <v>25</v>
      </c>
      <c r="AP23" s="337">
        <v>380</v>
      </c>
      <c r="AQ23" s="338">
        <v>16</v>
      </c>
      <c r="AR23" s="339">
        <f>(1/AP23)*AQ23*(1/188.76)</f>
        <v>2.2306242401936183E-4</v>
      </c>
      <c r="AS23" s="344">
        <v>90</v>
      </c>
      <c r="AT23" s="337">
        <v>380</v>
      </c>
      <c r="AU23" s="338">
        <v>16</v>
      </c>
      <c r="AV23" s="339">
        <f>(1/AT23)*AU23*(1/188.76)</f>
        <v>2.2306242401936183E-4</v>
      </c>
      <c r="AW23" s="329">
        <f t="shared" ref="AW23:AW25" si="31">E23+I23+M23+Q23+U23+Y23+AC23+AG23+AK23+AO23+AS23</f>
        <v>1745.65</v>
      </c>
      <c r="AY23" s="373">
        <f>E23*H23</f>
        <v>0.12491495745084262</v>
      </c>
      <c r="AZ23" s="373">
        <f>I23*L23</f>
        <v>6.7851128138209482E-2</v>
      </c>
      <c r="BA23" s="373">
        <f>M23*P23</f>
        <v>4.14896108676013E-2</v>
      </c>
      <c r="BB23" s="373">
        <f>Q23*T23</f>
        <v>3.502080057103981E-2</v>
      </c>
      <c r="BC23" s="373">
        <f>U23*X23</f>
        <v>1.9562574586498033E-3</v>
      </c>
      <c r="BD23" s="373">
        <f>Y23*AB23</f>
        <v>7.740266113471856E-3</v>
      </c>
      <c r="BE23" s="373">
        <f>AC23*AF23</f>
        <v>5.5765606004840457E-2</v>
      </c>
      <c r="BF23" s="373">
        <f>AG23*AJ23</f>
        <v>5.5765606004840457E-3</v>
      </c>
      <c r="BG23" s="373">
        <f>AK23*AN23</f>
        <v>2.3421554522032994E-2</v>
      </c>
      <c r="BH23" s="373">
        <f>AO23*AR23</f>
        <v>5.5765606004840457E-3</v>
      </c>
      <c r="BI23" s="373">
        <f>AS23*AV23</f>
        <v>2.0075618161742564E-2</v>
      </c>
      <c r="BJ23" s="370">
        <f>SUM(AY23:BI23)</f>
        <v>0.38938892048939905</v>
      </c>
    </row>
    <row r="24" spans="1:62" ht="25" customHeight="1">
      <c r="A24" s="795" t="s">
        <v>425</v>
      </c>
      <c r="B24" s="796"/>
      <c r="C24" s="797"/>
      <c r="D24" s="328" t="s">
        <v>428</v>
      </c>
      <c r="E24" s="344">
        <v>560</v>
      </c>
      <c r="F24" s="337">
        <v>380</v>
      </c>
      <c r="G24" s="338">
        <v>16</v>
      </c>
      <c r="H24" s="339">
        <f>(1/F24)*G24*(1/188.76)</f>
        <v>2.2306242401936183E-4</v>
      </c>
      <c r="I24" s="344">
        <v>395.75</v>
      </c>
      <c r="J24" s="337">
        <v>380</v>
      </c>
      <c r="K24" s="338">
        <v>16</v>
      </c>
      <c r="L24" s="339">
        <f>(1/J24)*K24*(1/188.76)</f>
        <v>2.2306242401936183E-4</v>
      </c>
      <c r="M24" s="344">
        <v>186</v>
      </c>
      <c r="N24" s="337">
        <v>380</v>
      </c>
      <c r="O24" s="338">
        <v>16</v>
      </c>
      <c r="P24" s="339">
        <f>(1/N24)*O24*(1/188.76)</f>
        <v>2.2306242401936183E-4</v>
      </c>
      <c r="Q24" s="344">
        <v>157</v>
      </c>
      <c r="R24" s="337">
        <v>380</v>
      </c>
      <c r="S24" s="338">
        <v>16</v>
      </c>
      <c r="T24" s="339">
        <f>(1/R24)*S24*(1/188.76)</f>
        <v>2.2306242401936183E-4</v>
      </c>
      <c r="U24" s="344">
        <v>8.77</v>
      </c>
      <c r="V24" s="337">
        <v>380</v>
      </c>
      <c r="W24" s="338">
        <v>16</v>
      </c>
      <c r="X24" s="339">
        <f>(1/V24)*W24*(1/188.76)</f>
        <v>2.2306242401936183E-4</v>
      </c>
      <c r="Y24" s="344">
        <v>34.700000000000003</v>
      </c>
      <c r="Z24" s="337">
        <v>380</v>
      </c>
      <c r="AA24" s="338">
        <v>16</v>
      </c>
      <c r="AB24" s="339">
        <f>(1/Z24)*AA24*(1/188.76)</f>
        <v>2.2306242401936183E-4</v>
      </c>
      <c r="AC24" s="344">
        <v>1410</v>
      </c>
      <c r="AD24" s="337">
        <v>380</v>
      </c>
      <c r="AE24" s="338">
        <v>16</v>
      </c>
      <c r="AF24" s="339">
        <f>(1/AD24)*AE24*(1/188.76)</f>
        <v>2.2306242401936183E-4</v>
      </c>
      <c r="AG24" s="344">
        <v>0</v>
      </c>
      <c r="AH24" s="337">
        <v>380</v>
      </c>
      <c r="AI24" s="338">
        <v>16</v>
      </c>
      <c r="AJ24" s="339">
        <f>(1/AH24)*AI24*(1/188.76)</f>
        <v>2.2306242401936183E-4</v>
      </c>
      <c r="AK24" s="344">
        <v>105</v>
      </c>
      <c r="AL24" s="337">
        <v>380</v>
      </c>
      <c r="AM24" s="338">
        <v>16</v>
      </c>
      <c r="AN24" s="339">
        <f>(1/AL24)*AM24*(1/188.76)</f>
        <v>2.2306242401936183E-4</v>
      </c>
      <c r="AO24" s="344">
        <v>29</v>
      </c>
      <c r="AP24" s="337">
        <v>380</v>
      </c>
      <c r="AQ24" s="338">
        <v>16</v>
      </c>
      <c r="AR24" s="339">
        <f>(1/AP24)*AQ24*(1/188.76)</f>
        <v>2.2306242401936183E-4</v>
      </c>
      <c r="AS24" s="344">
        <v>90</v>
      </c>
      <c r="AT24" s="337">
        <v>380</v>
      </c>
      <c r="AU24" s="338">
        <v>16</v>
      </c>
      <c r="AV24" s="339">
        <f>(1/AT24)*AU24*(1/188.76)</f>
        <v>2.2306242401936183E-4</v>
      </c>
      <c r="AW24" s="329">
        <f t="shared" si="31"/>
        <v>2976.2200000000003</v>
      </c>
      <c r="AY24" s="373">
        <f>E24*H24</f>
        <v>0.12491495745084262</v>
      </c>
      <c r="AZ24" s="373">
        <f>I24*L24</f>
        <v>8.8276954305662444E-2</v>
      </c>
      <c r="BA24" s="373">
        <f>M24*P24</f>
        <v>4.14896108676013E-2</v>
      </c>
      <c r="BB24" s="373">
        <f>Q24*T24</f>
        <v>3.502080057103981E-2</v>
      </c>
      <c r="BC24" s="373">
        <f>U24*X24</f>
        <v>1.9562574586498033E-3</v>
      </c>
      <c r="BD24" s="373">
        <f>Y24*AB24</f>
        <v>7.740266113471856E-3</v>
      </c>
      <c r="BE24" s="373">
        <f>AC24*AF24</f>
        <v>0.31451801786730016</v>
      </c>
      <c r="BF24" s="373">
        <f>AG24*AJ24</f>
        <v>0</v>
      </c>
      <c r="BG24" s="373">
        <f>AK24*AN24</f>
        <v>2.3421554522032994E-2</v>
      </c>
      <c r="BH24" s="373">
        <f>AO24*AR24</f>
        <v>6.4688102965614934E-3</v>
      </c>
      <c r="BI24" s="373">
        <f>AS24*AV24</f>
        <v>2.0075618161742564E-2</v>
      </c>
      <c r="BJ24" s="370">
        <f>SUM(AY24:BI24)</f>
        <v>0.66388284761490501</v>
      </c>
    </row>
    <row r="25" spans="1:62" ht="39" customHeight="1">
      <c r="A25" s="795" t="s">
        <v>426</v>
      </c>
      <c r="B25" s="796"/>
      <c r="C25" s="797"/>
      <c r="D25" s="328" t="s">
        <v>427</v>
      </c>
      <c r="E25" s="344">
        <v>500</v>
      </c>
      <c r="F25" s="337">
        <v>160</v>
      </c>
      <c r="G25" s="338">
        <v>8</v>
      </c>
      <c r="H25" s="339">
        <f>(1/F25)*G25*(1/1132.6)</f>
        <v>4.4146212254988529E-5</v>
      </c>
      <c r="I25" s="344">
        <v>0</v>
      </c>
      <c r="J25" s="337">
        <v>160</v>
      </c>
      <c r="K25" s="338">
        <v>8</v>
      </c>
      <c r="L25" s="339">
        <f>(1/J25)*K25*(1/1132.6)</f>
        <v>4.4146212254988529E-5</v>
      </c>
      <c r="M25" s="344">
        <v>0</v>
      </c>
      <c r="N25" s="337">
        <v>160</v>
      </c>
      <c r="O25" s="338">
        <v>8</v>
      </c>
      <c r="P25" s="339">
        <f>(1/N25)*O25*(1/1132.6)</f>
        <v>4.4146212254988529E-5</v>
      </c>
      <c r="Q25" s="344">
        <v>0</v>
      </c>
      <c r="R25" s="337">
        <v>160</v>
      </c>
      <c r="S25" s="338">
        <v>8</v>
      </c>
      <c r="T25" s="339">
        <f>(1/R25)*S25*(1/1132.6)</f>
        <v>4.4146212254988529E-5</v>
      </c>
      <c r="U25" s="344">
        <v>0</v>
      </c>
      <c r="V25" s="337">
        <v>160</v>
      </c>
      <c r="W25" s="338">
        <v>8</v>
      </c>
      <c r="X25" s="339">
        <f>(1/V25)*W25*(1/1132.6)</f>
        <v>4.4146212254988529E-5</v>
      </c>
      <c r="Y25" s="344">
        <v>0</v>
      </c>
      <c r="Z25" s="337">
        <v>160</v>
      </c>
      <c r="AA25" s="338">
        <v>8</v>
      </c>
      <c r="AB25" s="339">
        <f>(1/Z25)*AA25*(1/1132.6)</f>
        <v>4.4146212254988529E-5</v>
      </c>
      <c r="AC25" s="344">
        <v>500</v>
      </c>
      <c r="AD25" s="337">
        <v>160</v>
      </c>
      <c r="AE25" s="338">
        <v>8</v>
      </c>
      <c r="AF25" s="339">
        <f>(1/AD25)*AE25*(1/1132.6)</f>
        <v>4.4146212254988529E-5</v>
      </c>
      <c r="AG25" s="344">
        <v>0</v>
      </c>
      <c r="AH25" s="337">
        <v>160</v>
      </c>
      <c r="AI25" s="338">
        <v>8</v>
      </c>
      <c r="AJ25" s="339">
        <f>(1/AH25)*AI25*(1/1132.6)</f>
        <v>4.4146212254988529E-5</v>
      </c>
      <c r="AK25" s="344">
        <v>0</v>
      </c>
      <c r="AL25" s="337">
        <v>160</v>
      </c>
      <c r="AM25" s="338">
        <v>8</v>
      </c>
      <c r="AN25" s="339">
        <f>(1/AL25)*AM25*(1/1132.6)</f>
        <v>4.4146212254988529E-5</v>
      </c>
      <c r="AO25" s="344">
        <v>0</v>
      </c>
      <c r="AP25" s="337">
        <v>160</v>
      </c>
      <c r="AQ25" s="338">
        <v>8</v>
      </c>
      <c r="AR25" s="339">
        <f>(1/AP25)*AQ25*(1/1132.6)</f>
        <v>4.4146212254988529E-5</v>
      </c>
      <c r="AS25" s="344">
        <v>0</v>
      </c>
      <c r="AT25" s="337">
        <v>160</v>
      </c>
      <c r="AU25" s="338">
        <v>8</v>
      </c>
      <c r="AV25" s="339">
        <f>(1/AT25)*AU25*(1/1132.6)</f>
        <v>4.4146212254988529E-5</v>
      </c>
      <c r="AW25" s="329">
        <f t="shared" si="31"/>
        <v>1000</v>
      </c>
      <c r="AY25" s="373">
        <f>E25*H25</f>
        <v>2.2073106127494264E-2</v>
      </c>
      <c r="AZ25" s="373">
        <f>I25*L25</f>
        <v>0</v>
      </c>
      <c r="BA25" s="373">
        <f>M25*P25</f>
        <v>0</v>
      </c>
      <c r="BB25" s="373">
        <f>Q25*T25</f>
        <v>0</v>
      </c>
      <c r="BC25" s="373">
        <f>U25*X25</f>
        <v>0</v>
      </c>
      <c r="BD25" s="373">
        <f>Y25*AB25</f>
        <v>0</v>
      </c>
      <c r="BE25" s="373">
        <f>AC25*AF25</f>
        <v>2.2073106127494264E-2</v>
      </c>
      <c r="BF25" s="373">
        <f>AG25*AJ25</f>
        <v>0</v>
      </c>
      <c r="BG25" s="373">
        <f>AK25*AN25</f>
        <v>0</v>
      </c>
      <c r="BH25" s="373">
        <f>AO25*AR25</f>
        <v>0</v>
      </c>
      <c r="BI25" s="373">
        <f>AS25*AV25</f>
        <v>0</v>
      </c>
      <c r="BJ25" s="370">
        <f>SUM(AY25:BI25)</f>
        <v>4.4146212254988527E-2</v>
      </c>
    </row>
    <row r="26" spans="1:62" ht="23" customHeight="1">
      <c r="A26" s="820" t="s">
        <v>321</v>
      </c>
      <c r="B26" s="821"/>
      <c r="C26" s="821"/>
      <c r="D26" s="613"/>
      <c r="E26" s="822">
        <f>SUM(E3:E11)+SUM(E14:E19)+SUM(E22:E25)</f>
        <v>6652.7999999999993</v>
      </c>
      <c r="F26" s="822"/>
      <c r="G26" s="822"/>
      <c r="H26" s="823"/>
      <c r="I26" s="824">
        <f>SUM(I3:I11)+SUM(I14:I19)+SUM(I22:I25)</f>
        <v>7281.5</v>
      </c>
      <c r="J26" s="825"/>
      <c r="K26" s="825"/>
      <c r="L26" s="826"/>
      <c r="M26" s="827">
        <f>SUM(M3:M11)+SUM(M14:M19)+SUM(M22:M25)</f>
        <v>2967</v>
      </c>
      <c r="N26" s="822"/>
      <c r="O26" s="822"/>
      <c r="P26" s="823"/>
      <c r="Q26" s="824">
        <f>SUM(Q3:Q11)+SUM(Q14:Q19)+SUM(Q22:Q25)</f>
        <v>1622</v>
      </c>
      <c r="R26" s="825"/>
      <c r="S26" s="825"/>
      <c r="T26" s="826"/>
      <c r="U26" s="827">
        <f>SUM(U3:U11)+SUM(U14:U19)+SUM(U22:U25)</f>
        <v>543.66999999999996</v>
      </c>
      <c r="V26" s="822"/>
      <c r="W26" s="822"/>
      <c r="X26" s="823"/>
      <c r="Y26" s="824">
        <f>SUM(Y3:Y11)+SUM(Y14:Y19)+SUM(Y22:Y25)</f>
        <v>522.16</v>
      </c>
      <c r="Z26" s="825"/>
      <c r="AA26" s="825"/>
      <c r="AB26" s="826"/>
      <c r="AC26" s="827">
        <f>SUM(AC3:AC11)+SUM(AC14:AC19)+SUM(AC22:AC25)</f>
        <v>16214</v>
      </c>
      <c r="AD26" s="822"/>
      <c r="AE26" s="822"/>
      <c r="AF26" s="823"/>
      <c r="AG26" s="824">
        <f>SUM(AG3:AG11)+SUM(AG14:AG19)+SUM(AG22:AG25)</f>
        <v>340</v>
      </c>
      <c r="AH26" s="825"/>
      <c r="AI26" s="825"/>
      <c r="AJ26" s="826"/>
      <c r="AK26" s="827">
        <f>SUM(AK3:AK11)+SUM(AK14:AK19)+SUM(AK22:AK25)</f>
        <v>1040</v>
      </c>
      <c r="AL26" s="822"/>
      <c r="AM26" s="822"/>
      <c r="AN26" s="823"/>
      <c r="AO26" s="824">
        <f>SUM(AO3:AO11)+SUM(AO14:AO19)+SUM(AO22:AO25)</f>
        <v>318.5</v>
      </c>
      <c r="AP26" s="825"/>
      <c r="AQ26" s="825"/>
      <c r="AR26" s="826"/>
      <c r="AS26" s="824">
        <f>SUM(AS3:AS11)+SUM(AS14:AS19)+SUM(AS22:AS25)</f>
        <v>13372</v>
      </c>
      <c r="AT26" s="825"/>
      <c r="AU26" s="825"/>
      <c r="AV26" s="826"/>
      <c r="AW26" s="340">
        <f>SUM(E26:AS26)</f>
        <v>50873.63</v>
      </c>
    </row>
    <row r="27" spans="1:62" ht="23" customHeight="1">
      <c r="AX27" s="374"/>
      <c r="AY27" s="380" t="str">
        <f t="shared" ref="AY27:BI27" si="32">AY13</f>
        <v>DRF/SJC</v>
      </c>
      <c r="AZ27" s="380" t="str">
        <f t="shared" si="32"/>
        <v>DRF/GUA</v>
      </c>
      <c r="BA27" s="380" t="str">
        <f t="shared" si="32"/>
        <v>IRF/SSO</v>
      </c>
      <c r="BB27" s="380" t="str">
        <f t="shared" si="32"/>
        <v>ARF/JAC</v>
      </c>
      <c r="BC27" s="380" t="str">
        <f t="shared" si="32"/>
        <v>ARF/MCS</v>
      </c>
      <c r="BD27" s="380" t="str">
        <f t="shared" si="32"/>
        <v>ARF/SUZ</v>
      </c>
      <c r="BE27" s="380" t="str">
        <f t="shared" si="32"/>
        <v>ARF/TAU</v>
      </c>
      <c r="BF27" s="380" t="str">
        <f t="shared" si="32"/>
        <v>ARF/PMB</v>
      </c>
      <c r="BG27" s="380" t="str">
        <f t="shared" si="32"/>
        <v>ARF/GTA</v>
      </c>
      <c r="BH27" s="380" t="str">
        <f t="shared" si="32"/>
        <v>ARF/CJD</v>
      </c>
      <c r="BI27" s="380" t="str">
        <f t="shared" si="32"/>
        <v>DMA/TAU</v>
      </c>
      <c r="BJ27" s="375" t="s">
        <v>9</v>
      </c>
    </row>
    <row r="28" spans="1:62" ht="29" customHeight="1">
      <c r="AX28" s="371" t="s">
        <v>326</v>
      </c>
      <c r="AY28" s="377">
        <f>SUM(AY3:AY9)+SUM(AY14:AY19)</f>
        <v>2.5092685185185184</v>
      </c>
      <c r="AZ28" s="377">
        <f>SUM(AZ3:AZ9)+SUM(AZ14:AZ19)</f>
        <v>3.9938592592592599</v>
      </c>
      <c r="BA28" s="377">
        <f>SUM(BA3:BA9)+SUM(BA14:BA19)</f>
        <v>1.5024740740740739</v>
      </c>
      <c r="BB28" s="377">
        <f t="shared" ref="BB28:BI28" si="33">SUM(BB3:BB9)+SUM(BB14:BB19)</f>
        <v>0.725262962962963</v>
      </c>
      <c r="BC28" s="377">
        <f t="shared" si="33"/>
        <v>0.37932629629629627</v>
      </c>
      <c r="BD28" s="377">
        <f t="shared" si="33"/>
        <v>0.3554133333333333</v>
      </c>
      <c r="BE28" s="377">
        <f>SUM(BE3:BE9)+SUM(BE14:BE19)</f>
        <v>7.9430370370370369</v>
      </c>
      <c r="BF28" s="377">
        <f t="shared" si="33"/>
        <v>0.29805555555555557</v>
      </c>
      <c r="BG28" s="377">
        <f t="shared" si="33"/>
        <v>0.77314814814814814</v>
      </c>
      <c r="BH28" s="377">
        <f t="shared" si="33"/>
        <v>0.16857407407407407</v>
      </c>
      <c r="BI28" s="377">
        <f t="shared" si="33"/>
        <v>3.0025407407407405</v>
      </c>
      <c r="BJ28" s="384">
        <f>SUM(AY28:BI28)</f>
        <v>21.650960000000001</v>
      </c>
    </row>
    <row r="29" spans="1:62" ht="26" customHeight="1">
      <c r="AX29" s="371" t="s">
        <v>224</v>
      </c>
      <c r="AY29" s="377">
        <f>AY11</f>
        <v>0</v>
      </c>
      <c r="AZ29" s="377">
        <f t="shared" ref="AZ29:BI29" si="34">AZ11</f>
        <v>0</v>
      </c>
      <c r="BA29" s="377">
        <f t="shared" si="34"/>
        <v>0</v>
      </c>
      <c r="BB29" s="377">
        <f t="shared" si="34"/>
        <v>0</v>
      </c>
      <c r="BC29" s="377">
        <f t="shared" si="34"/>
        <v>0</v>
      </c>
      <c r="BD29" s="377">
        <f t="shared" si="34"/>
        <v>0</v>
      </c>
      <c r="BE29" s="377">
        <f t="shared" si="34"/>
        <v>1.0466666666666666</v>
      </c>
      <c r="BF29" s="377">
        <f t="shared" si="34"/>
        <v>0</v>
      </c>
      <c r="BG29" s="377">
        <f t="shared" si="34"/>
        <v>0</v>
      </c>
      <c r="BH29" s="377">
        <f t="shared" si="34"/>
        <v>0</v>
      </c>
      <c r="BI29" s="377">
        <f t="shared" si="34"/>
        <v>0</v>
      </c>
      <c r="BJ29" s="384">
        <f t="shared" ref="BJ29:BJ32" si="35">SUM(AY29:BI29)</f>
        <v>1.0466666666666666</v>
      </c>
    </row>
    <row r="30" spans="1:62" ht="22" customHeight="1">
      <c r="AX30" s="371" t="s">
        <v>327</v>
      </c>
      <c r="AY30" s="378" t="s">
        <v>331</v>
      </c>
      <c r="AZ30" s="378" t="s">
        <v>331</v>
      </c>
      <c r="BA30" s="378" t="s">
        <v>332</v>
      </c>
      <c r="BB30" s="378" t="s">
        <v>332</v>
      </c>
      <c r="BC30" s="378" t="s">
        <v>332</v>
      </c>
      <c r="BD30" s="378" t="s">
        <v>332</v>
      </c>
      <c r="BE30" s="378" t="s">
        <v>331</v>
      </c>
      <c r="BF30" s="378" t="s">
        <v>332</v>
      </c>
      <c r="BG30" s="378" t="s">
        <v>332</v>
      </c>
      <c r="BH30" s="378" t="s">
        <v>332</v>
      </c>
      <c r="BI30" s="378" t="s">
        <v>332</v>
      </c>
      <c r="BJ30" s="384"/>
    </row>
    <row r="31" spans="1:62" ht="26">
      <c r="AX31" s="371" t="s">
        <v>328</v>
      </c>
      <c r="AY31" s="377">
        <f>AY23+AY24</f>
        <v>0.24982991490168524</v>
      </c>
      <c r="AZ31" s="377">
        <f t="shared" ref="AZ31:BI31" si="36">AZ23+AZ24</f>
        <v>0.15612808244387194</v>
      </c>
      <c r="BA31" s="377">
        <f t="shared" si="36"/>
        <v>8.2979221735202599E-2</v>
      </c>
      <c r="BB31" s="377">
        <f t="shared" si="36"/>
        <v>7.0041601142079621E-2</v>
      </c>
      <c r="BC31" s="377">
        <f t="shared" si="36"/>
        <v>3.9125149172996067E-3</v>
      </c>
      <c r="BD31" s="377">
        <f t="shared" si="36"/>
        <v>1.5480532226943712E-2</v>
      </c>
      <c r="BE31" s="377">
        <f t="shared" si="36"/>
        <v>0.37028362387214064</v>
      </c>
      <c r="BF31" s="377">
        <f t="shared" si="36"/>
        <v>5.5765606004840457E-3</v>
      </c>
      <c r="BG31" s="377">
        <f t="shared" si="36"/>
        <v>4.6843109044065988E-2</v>
      </c>
      <c r="BH31" s="377">
        <f t="shared" si="36"/>
        <v>1.2045370897045538E-2</v>
      </c>
      <c r="BI31" s="377">
        <f t="shared" si="36"/>
        <v>4.0151236323485127E-2</v>
      </c>
      <c r="BJ31" s="384">
        <f t="shared" si="35"/>
        <v>1.053271768104304</v>
      </c>
    </row>
    <row r="32" spans="1:62" ht="26">
      <c r="AX32" s="371" t="s">
        <v>329</v>
      </c>
      <c r="AY32" s="377">
        <f>AY22+AY25</f>
        <v>2.9065866148684446E-2</v>
      </c>
      <c r="AZ32" s="377">
        <f t="shared" ref="AZ32:BI32" si="37">AZ22+AZ25</f>
        <v>4.0424686561892995E-3</v>
      </c>
      <c r="BA32" s="377">
        <f t="shared" si="37"/>
        <v>0</v>
      </c>
      <c r="BB32" s="377">
        <f t="shared" si="37"/>
        <v>0</v>
      </c>
      <c r="BC32" s="377">
        <f t="shared" si="37"/>
        <v>0</v>
      </c>
      <c r="BD32" s="377">
        <f t="shared" si="37"/>
        <v>0</v>
      </c>
      <c r="BE32" s="377">
        <f t="shared" si="37"/>
        <v>5.1209606215786692E-2</v>
      </c>
      <c r="BF32" s="377">
        <f t="shared" si="37"/>
        <v>0</v>
      </c>
      <c r="BG32" s="377">
        <f t="shared" si="37"/>
        <v>0</v>
      </c>
      <c r="BH32" s="377">
        <f t="shared" si="37"/>
        <v>0</v>
      </c>
      <c r="BI32" s="377">
        <f t="shared" si="37"/>
        <v>0</v>
      </c>
      <c r="BJ32" s="384">
        <f t="shared" si="35"/>
        <v>8.4317941020660439E-2</v>
      </c>
    </row>
    <row r="33" spans="50:62" ht="26">
      <c r="AX33" s="379" t="s">
        <v>330</v>
      </c>
      <c r="AY33" s="381">
        <f>AY28+AY29</f>
        <v>2.5092685185185184</v>
      </c>
      <c r="AZ33" s="382">
        <f t="shared" ref="AZ33:BI33" si="38">AZ28+AZ29</f>
        <v>3.9938592592592599</v>
      </c>
      <c r="BA33" s="382">
        <f t="shared" si="38"/>
        <v>1.5024740740740739</v>
      </c>
      <c r="BB33" s="376">
        <f t="shared" si="38"/>
        <v>0.725262962962963</v>
      </c>
      <c r="BC33" s="381">
        <f>IF(BC28+BC29&gt;0.5,BC28+BC29,0.5)</f>
        <v>0.5</v>
      </c>
      <c r="BD33" s="381">
        <f>IF(BD28+BD29&gt;0.5,BD28+BD29,0.5)</f>
        <v>0.5</v>
      </c>
      <c r="BE33" s="382">
        <f t="shared" si="38"/>
        <v>8.9897037037037038</v>
      </c>
      <c r="BF33" s="382">
        <f>IF(BF28+BF29&gt;0.5,BF28+BF29,0.5)</f>
        <v>0.5</v>
      </c>
      <c r="BG33" s="376">
        <f t="shared" si="38"/>
        <v>0.77314814814814814</v>
      </c>
      <c r="BH33" s="382">
        <f>IF(BH28+BH29&gt;0.5,BH28+BH29,0.5)</f>
        <v>0.5</v>
      </c>
      <c r="BI33" s="382">
        <f t="shared" si="38"/>
        <v>3.0025407407407405</v>
      </c>
      <c r="BJ33" s="385">
        <f>SUM(AY33:BI33)</f>
        <v>23.496257407407409</v>
      </c>
    </row>
    <row r="35" spans="50:62" ht="25">
      <c r="AX35" s="383" t="s">
        <v>333</v>
      </c>
      <c r="AY35" s="272">
        <v>2</v>
      </c>
      <c r="AZ35" s="272">
        <v>4</v>
      </c>
      <c r="BA35" s="272">
        <v>1</v>
      </c>
      <c r="BB35" s="272"/>
      <c r="BC35" s="272"/>
      <c r="BD35" s="272"/>
      <c r="BE35" s="272">
        <v>9</v>
      </c>
      <c r="BF35" s="272"/>
      <c r="BG35" s="272"/>
      <c r="BH35" s="272"/>
      <c r="BI35" s="272">
        <v>3</v>
      </c>
      <c r="BJ35" s="386">
        <f>SUM(AY35:BI35)</f>
        <v>19</v>
      </c>
    </row>
    <row r="36" spans="50:62" ht="25">
      <c r="AX36" s="383" t="s">
        <v>334</v>
      </c>
      <c r="AY36" s="272">
        <v>1</v>
      </c>
      <c r="AZ36" s="272"/>
      <c r="BA36" s="272">
        <v>1</v>
      </c>
      <c r="BB36" s="272">
        <v>1</v>
      </c>
      <c r="BC36" s="272">
        <v>1</v>
      </c>
      <c r="BD36" s="272">
        <v>1</v>
      </c>
      <c r="BE36" s="272"/>
      <c r="BF36" s="272">
        <v>1</v>
      </c>
      <c r="BG36" s="272">
        <v>1</v>
      </c>
      <c r="BH36" s="272">
        <v>1</v>
      </c>
      <c r="BI36" s="272"/>
      <c r="BJ36" s="387">
        <f>SUM(AY36:BI36)</f>
        <v>8</v>
      </c>
    </row>
    <row r="62" spans="4:4">
      <c r="D62" s="498" t="e">
        <f>'Áreas, Produt. e Postos'!AK9:AL9</f>
        <v>#VALUE!</v>
      </c>
    </row>
  </sheetData>
  <mergeCells count="450">
    <mergeCell ref="AS1:AV1"/>
    <mergeCell ref="AS2:AT2"/>
    <mergeCell ref="AU2:AV2"/>
    <mergeCell ref="AS12:AV12"/>
    <mergeCell ref="AS13:AT13"/>
    <mergeCell ref="AU13:AV13"/>
    <mergeCell ref="AS20:AV20"/>
    <mergeCell ref="AS19:AT19"/>
    <mergeCell ref="AU19:AV19"/>
    <mergeCell ref="AS16:AT16"/>
    <mergeCell ref="AU16:AV16"/>
    <mergeCell ref="AS17:AT17"/>
    <mergeCell ref="AU17:AV17"/>
    <mergeCell ref="AS18:AT18"/>
    <mergeCell ref="AU18:AV18"/>
    <mergeCell ref="AS14:AT14"/>
    <mergeCell ref="AU14:AV14"/>
    <mergeCell ref="AS15:AT15"/>
    <mergeCell ref="AU15:AV15"/>
    <mergeCell ref="AS10:AT10"/>
    <mergeCell ref="AU10:AV10"/>
    <mergeCell ref="AS11:AT11"/>
    <mergeCell ref="AU11:AV11"/>
    <mergeCell ref="AS3:AT3"/>
    <mergeCell ref="AU3:AV3"/>
    <mergeCell ref="AS4:AT4"/>
    <mergeCell ref="AU4:AV4"/>
    <mergeCell ref="AS5:AT5"/>
    <mergeCell ref="AU5:AV5"/>
    <mergeCell ref="AS6:AT6"/>
    <mergeCell ref="AU6:AV6"/>
    <mergeCell ref="AQ19:AR19"/>
    <mergeCell ref="AQ18:AR18"/>
    <mergeCell ref="AQ16:AR16"/>
    <mergeCell ref="AQ15:AR15"/>
    <mergeCell ref="AQ14:AR14"/>
    <mergeCell ref="AQ10:AR10"/>
    <mergeCell ref="AC26:AF26"/>
    <mergeCell ref="AG26:AJ26"/>
    <mergeCell ref="AK26:AN26"/>
    <mergeCell ref="AS7:AT7"/>
    <mergeCell ref="AU7:AV7"/>
    <mergeCell ref="AS8:AT8"/>
    <mergeCell ref="AU8:AV8"/>
    <mergeCell ref="AS9:AT9"/>
    <mergeCell ref="AU9:AV9"/>
    <mergeCell ref="AO26:AR26"/>
    <mergeCell ref="AO18:AP18"/>
    <mergeCell ref="AO14:AP14"/>
    <mergeCell ref="AO9:AP9"/>
    <mergeCell ref="AS26:AV26"/>
    <mergeCell ref="A26:C26"/>
    <mergeCell ref="E26:H26"/>
    <mergeCell ref="I26:L26"/>
    <mergeCell ref="M26:P26"/>
    <mergeCell ref="A23:C23"/>
    <mergeCell ref="A24:C24"/>
    <mergeCell ref="A25:C25"/>
    <mergeCell ref="AW20:AW21"/>
    <mergeCell ref="A20:C21"/>
    <mergeCell ref="D20:D21"/>
    <mergeCell ref="E20:H20"/>
    <mergeCell ref="I20:L20"/>
    <mergeCell ref="M20:P20"/>
    <mergeCell ref="Q20:T20"/>
    <mergeCell ref="U20:X20"/>
    <mergeCell ref="A22:C22"/>
    <mergeCell ref="Y20:AB20"/>
    <mergeCell ref="AC20:AF20"/>
    <mergeCell ref="AG20:AJ20"/>
    <mergeCell ref="AK20:AN20"/>
    <mergeCell ref="AO20:AR20"/>
    <mergeCell ref="Q26:T26"/>
    <mergeCell ref="U26:X26"/>
    <mergeCell ref="Y26:AB26"/>
    <mergeCell ref="AE19:AF19"/>
    <mergeCell ref="AG19:AH19"/>
    <mergeCell ref="AI19:AJ19"/>
    <mergeCell ref="AK19:AL19"/>
    <mergeCell ref="AM19:AN19"/>
    <mergeCell ref="AO19:AP19"/>
    <mergeCell ref="S19:T19"/>
    <mergeCell ref="U19:V19"/>
    <mergeCell ref="W19:X19"/>
    <mergeCell ref="Y19:Z19"/>
    <mergeCell ref="AA19:AB19"/>
    <mergeCell ref="AC19:AD19"/>
    <mergeCell ref="A19:C19"/>
    <mergeCell ref="E19:F19"/>
    <mergeCell ref="G19:H19"/>
    <mergeCell ref="I19:J19"/>
    <mergeCell ref="K19:L19"/>
    <mergeCell ref="M19:N19"/>
    <mergeCell ref="O19:P19"/>
    <mergeCell ref="Q19:R19"/>
    <mergeCell ref="AC18:AD18"/>
    <mergeCell ref="AI18:AJ18"/>
    <mergeCell ref="AK18:AL18"/>
    <mergeCell ref="AM18:AN18"/>
    <mergeCell ref="Q18:R18"/>
    <mergeCell ref="S18:T18"/>
    <mergeCell ref="U18:V18"/>
    <mergeCell ref="W18:X18"/>
    <mergeCell ref="Y18:Z18"/>
    <mergeCell ref="AA18:AB18"/>
    <mergeCell ref="AQ17:AR17"/>
    <mergeCell ref="A18:C18"/>
    <mergeCell ref="E18:F18"/>
    <mergeCell ref="G18:H18"/>
    <mergeCell ref="I18:J18"/>
    <mergeCell ref="K18:L18"/>
    <mergeCell ref="M18:N18"/>
    <mergeCell ref="O18:P18"/>
    <mergeCell ref="AA17:AB17"/>
    <mergeCell ref="AC17:AD17"/>
    <mergeCell ref="AE17:AF17"/>
    <mergeCell ref="AG17:AH17"/>
    <mergeCell ref="AI17:AJ17"/>
    <mergeCell ref="AK17:AL17"/>
    <mergeCell ref="O17:P17"/>
    <mergeCell ref="Q17:R17"/>
    <mergeCell ref="S17:T17"/>
    <mergeCell ref="U17:V17"/>
    <mergeCell ref="W17:X17"/>
    <mergeCell ref="Y17:Z17"/>
    <mergeCell ref="A17:C17"/>
    <mergeCell ref="E17:F17"/>
    <mergeCell ref="AE18:AF18"/>
    <mergeCell ref="AG18:AH18"/>
    <mergeCell ref="G17:H17"/>
    <mergeCell ref="I17:J17"/>
    <mergeCell ref="K17:L17"/>
    <mergeCell ref="M17:N17"/>
    <mergeCell ref="AG16:AH16"/>
    <mergeCell ref="AI16:AJ16"/>
    <mergeCell ref="AK16:AL16"/>
    <mergeCell ref="AM16:AN16"/>
    <mergeCell ref="AO16:AP16"/>
    <mergeCell ref="U16:V16"/>
    <mergeCell ref="W16:X16"/>
    <mergeCell ref="Y16:Z16"/>
    <mergeCell ref="AA16:AB16"/>
    <mergeCell ref="AC16:AD16"/>
    <mergeCell ref="AE16:AF16"/>
    <mergeCell ref="AM17:AN17"/>
    <mergeCell ref="AO17:AP17"/>
    <mergeCell ref="A16:C16"/>
    <mergeCell ref="E16:F16"/>
    <mergeCell ref="G16:H16"/>
    <mergeCell ref="I16:J16"/>
    <mergeCell ref="K16:L16"/>
    <mergeCell ref="M16:N16"/>
    <mergeCell ref="O16:P16"/>
    <mergeCell ref="Q16:R16"/>
    <mergeCell ref="S16:T16"/>
    <mergeCell ref="AE15:AF15"/>
    <mergeCell ref="AG15:AH15"/>
    <mergeCell ref="AI15:AJ15"/>
    <mergeCell ref="AK15:AL15"/>
    <mergeCell ref="AM15:AN15"/>
    <mergeCell ref="AO15:AP15"/>
    <mergeCell ref="S15:T15"/>
    <mergeCell ref="U15:V15"/>
    <mergeCell ref="W15:X15"/>
    <mergeCell ref="Y15:Z15"/>
    <mergeCell ref="AA15:AB15"/>
    <mergeCell ref="AC15:AD15"/>
    <mergeCell ref="A15:C15"/>
    <mergeCell ref="E15:F15"/>
    <mergeCell ref="G15:H15"/>
    <mergeCell ref="I15:J15"/>
    <mergeCell ref="K15:L15"/>
    <mergeCell ref="M15:N15"/>
    <mergeCell ref="O15:P15"/>
    <mergeCell ref="Q15:R15"/>
    <mergeCell ref="AC14:AD14"/>
    <mergeCell ref="A14:C14"/>
    <mergeCell ref="E14:F14"/>
    <mergeCell ref="G14:H14"/>
    <mergeCell ref="I14:J14"/>
    <mergeCell ref="K14:L14"/>
    <mergeCell ref="M14:N14"/>
    <mergeCell ref="O14:P14"/>
    <mergeCell ref="AE14:AF14"/>
    <mergeCell ref="AG14:AH14"/>
    <mergeCell ref="AI14:AJ14"/>
    <mergeCell ref="AK14:AL14"/>
    <mergeCell ref="AM14:AN14"/>
    <mergeCell ref="Q14:R14"/>
    <mergeCell ref="S14:T14"/>
    <mergeCell ref="U14:V14"/>
    <mergeCell ref="W14:X14"/>
    <mergeCell ref="Y14:Z14"/>
    <mergeCell ref="AA14:AB14"/>
    <mergeCell ref="O13:P13"/>
    <mergeCell ref="Q13:R13"/>
    <mergeCell ref="S13:T13"/>
    <mergeCell ref="U13:V13"/>
    <mergeCell ref="W13:X13"/>
    <mergeCell ref="Y13:Z13"/>
    <mergeCell ref="A12:C13"/>
    <mergeCell ref="D12:D13"/>
    <mergeCell ref="AC12:AF12"/>
    <mergeCell ref="AG12:AJ12"/>
    <mergeCell ref="AK12:AN12"/>
    <mergeCell ref="AO12:AR12"/>
    <mergeCell ref="AW12:AW13"/>
    <mergeCell ref="E13:F13"/>
    <mergeCell ref="G13:H13"/>
    <mergeCell ref="I13:J13"/>
    <mergeCell ref="K13:L13"/>
    <mergeCell ref="M13:N13"/>
    <mergeCell ref="E12:H12"/>
    <mergeCell ref="I12:L12"/>
    <mergeCell ref="M12:P12"/>
    <mergeCell ref="Q12:T12"/>
    <mergeCell ref="U12:X12"/>
    <mergeCell ref="Y12:AB12"/>
    <mergeCell ref="AM13:AN13"/>
    <mergeCell ref="AO13:AP13"/>
    <mergeCell ref="AQ13:AR13"/>
    <mergeCell ref="AE13:AF13"/>
    <mergeCell ref="AG13:AH13"/>
    <mergeCell ref="AI13:AJ13"/>
    <mergeCell ref="AK13:AL13"/>
    <mergeCell ref="AA13:AB13"/>
    <mergeCell ref="AC13:AD13"/>
    <mergeCell ref="AG11:AH11"/>
    <mergeCell ref="AI11:AJ11"/>
    <mergeCell ref="AK11:AL11"/>
    <mergeCell ref="AM11:AN11"/>
    <mergeCell ref="AO11:AP11"/>
    <mergeCell ref="AQ11:AR11"/>
    <mergeCell ref="U11:V11"/>
    <mergeCell ref="W11:X11"/>
    <mergeCell ref="Y11:Z11"/>
    <mergeCell ref="AA11:AB11"/>
    <mergeCell ref="AC11:AD11"/>
    <mergeCell ref="AE11:AF11"/>
    <mergeCell ref="A11:C11"/>
    <mergeCell ref="E11:F11"/>
    <mergeCell ref="G11:H11"/>
    <mergeCell ref="I11:J11"/>
    <mergeCell ref="K11:L11"/>
    <mergeCell ref="M11:N11"/>
    <mergeCell ref="O11:P11"/>
    <mergeCell ref="Q11:R11"/>
    <mergeCell ref="S11:T11"/>
    <mergeCell ref="AE10:AF10"/>
    <mergeCell ref="AG10:AH10"/>
    <mergeCell ref="AI10:AJ10"/>
    <mergeCell ref="AK10:AL10"/>
    <mergeCell ref="AM10:AN10"/>
    <mergeCell ref="AO10:AP10"/>
    <mergeCell ref="S10:T10"/>
    <mergeCell ref="U10:V10"/>
    <mergeCell ref="W10:X10"/>
    <mergeCell ref="Y10:Z10"/>
    <mergeCell ref="AA10:AB10"/>
    <mergeCell ref="AC10:AD10"/>
    <mergeCell ref="AG9:AH9"/>
    <mergeCell ref="AI9:AJ9"/>
    <mergeCell ref="AK9:AL9"/>
    <mergeCell ref="AM9:AN9"/>
    <mergeCell ref="Q9:R9"/>
    <mergeCell ref="S9:T9"/>
    <mergeCell ref="U9:V9"/>
    <mergeCell ref="W9:X9"/>
    <mergeCell ref="Y9:Z9"/>
    <mergeCell ref="AA9:AB9"/>
    <mergeCell ref="A10:C10"/>
    <mergeCell ref="E10:F10"/>
    <mergeCell ref="G10:H10"/>
    <mergeCell ref="I10:J10"/>
    <mergeCell ref="K10:L10"/>
    <mergeCell ref="M10:N10"/>
    <mergeCell ref="O10:P10"/>
    <mergeCell ref="Q10:R10"/>
    <mergeCell ref="AC9:AD9"/>
    <mergeCell ref="AQ8:AR8"/>
    <mergeCell ref="A9:C9"/>
    <mergeCell ref="E9:F9"/>
    <mergeCell ref="G9:H9"/>
    <mergeCell ref="I9:J9"/>
    <mergeCell ref="K9:L9"/>
    <mergeCell ref="M9:N9"/>
    <mergeCell ref="O9:P9"/>
    <mergeCell ref="AA8:AB8"/>
    <mergeCell ref="AC8:AD8"/>
    <mergeCell ref="AE8:AF8"/>
    <mergeCell ref="AG8:AH8"/>
    <mergeCell ref="AI8:AJ8"/>
    <mergeCell ref="AK8:AL8"/>
    <mergeCell ref="O8:P8"/>
    <mergeCell ref="Q8:R8"/>
    <mergeCell ref="S8:T8"/>
    <mergeCell ref="U8:V8"/>
    <mergeCell ref="W8:X8"/>
    <mergeCell ref="Y8:Z8"/>
    <mergeCell ref="A8:C8"/>
    <mergeCell ref="E8:F8"/>
    <mergeCell ref="AQ9:AR9"/>
    <mergeCell ref="AE9:AF9"/>
    <mergeCell ref="G8:H8"/>
    <mergeCell ref="I8:J8"/>
    <mergeCell ref="K8:L8"/>
    <mergeCell ref="M8:N8"/>
    <mergeCell ref="AG7:AH7"/>
    <mergeCell ref="AI7:AJ7"/>
    <mergeCell ref="AK7:AL7"/>
    <mergeCell ref="AM7:AN7"/>
    <mergeCell ref="AO7:AP7"/>
    <mergeCell ref="AM8:AN8"/>
    <mergeCell ref="AO8:AP8"/>
    <mergeCell ref="AQ7:AR7"/>
    <mergeCell ref="U7:V7"/>
    <mergeCell ref="W7:X7"/>
    <mergeCell ref="Y7:Z7"/>
    <mergeCell ref="AA7:AB7"/>
    <mergeCell ref="AC7:AD7"/>
    <mergeCell ref="AE7:AF7"/>
    <mergeCell ref="AQ6:AR6"/>
    <mergeCell ref="A7:C7"/>
    <mergeCell ref="E7:F7"/>
    <mergeCell ref="G7:H7"/>
    <mergeCell ref="I7:J7"/>
    <mergeCell ref="K7:L7"/>
    <mergeCell ref="M7:N7"/>
    <mergeCell ref="O7:P7"/>
    <mergeCell ref="Q7:R7"/>
    <mergeCell ref="S7:T7"/>
    <mergeCell ref="AE6:AF6"/>
    <mergeCell ref="AG6:AH6"/>
    <mergeCell ref="AI6:AJ6"/>
    <mergeCell ref="AK6:AL6"/>
    <mergeCell ref="AM6:AN6"/>
    <mergeCell ref="AO6:AP6"/>
    <mergeCell ref="S6:T6"/>
    <mergeCell ref="U6:V6"/>
    <mergeCell ref="W6:X6"/>
    <mergeCell ref="Y6:Z6"/>
    <mergeCell ref="AA6:AB6"/>
    <mergeCell ref="AC6:AD6"/>
    <mergeCell ref="AO5:AP5"/>
    <mergeCell ref="AQ5:AR5"/>
    <mergeCell ref="A6:C6"/>
    <mergeCell ref="E6:F6"/>
    <mergeCell ref="G6:H6"/>
    <mergeCell ref="I6:J6"/>
    <mergeCell ref="K6:L6"/>
    <mergeCell ref="M6:N6"/>
    <mergeCell ref="O6:P6"/>
    <mergeCell ref="Q6:R6"/>
    <mergeCell ref="AC5:AD5"/>
    <mergeCell ref="AE5:AF5"/>
    <mergeCell ref="AG5:AH5"/>
    <mergeCell ref="AI5:AJ5"/>
    <mergeCell ref="AK5:AL5"/>
    <mergeCell ref="AM5:AN5"/>
    <mergeCell ref="Q5:R5"/>
    <mergeCell ref="S5:T5"/>
    <mergeCell ref="U5:V5"/>
    <mergeCell ref="W5:X5"/>
    <mergeCell ref="Y5:Z5"/>
    <mergeCell ref="AA5:AB5"/>
    <mergeCell ref="AM4:AN4"/>
    <mergeCell ref="AO4:AP4"/>
    <mergeCell ref="AQ4:AR4"/>
    <mergeCell ref="A5:C5"/>
    <mergeCell ref="E5:F5"/>
    <mergeCell ref="G5:H5"/>
    <mergeCell ref="I5:J5"/>
    <mergeCell ref="K5:L5"/>
    <mergeCell ref="M5:N5"/>
    <mergeCell ref="O5:P5"/>
    <mergeCell ref="AA4:AB4"/>
    <mergeCell ref="AC4:AD4"/>
    <mergeCell ref="AE4:AF4"/>
    <mergeCell ref="AG4:AH4"/>
    <mergeCell ref="AI4:AJ4"/>
    <mergeCell ref="AK4:AL4"/>
    <mergeCell ref="O4:P4"/>
    <mergeCell ref="Q4:R4"/>
    <mergeCell ref="S4:T4"/>
    <mergeCell ref="U4:V4"/>
    <mergeCell ref="W4:X4"/>
    <mergeCell ref="Y4:Z4"/>
    <mergeCell ref="AK3:AL3"/>
    <mergeCell ref="AM3:AN3"/>
    <mergeCell ref="AO3:AP3"/>
    <mergeCell ref="AQ3:AR3"/>
    <mergeCell ref="A4:C4"/>
    <mergeCell ref="E4:F4"/>
    <mergeCell ref="G4:H4"/>
    <mergeCell ref="I4:J4"/>
    <mergeCell ref="K4:L4"/>
    <mergeCell ref="M4:N4"/>
    <mergeCell ref="Y3:Z3"/>
    <mergeCell ref="AA3:AB3"/>
    <mergeCell ref="AC3:AD3"/>
    <mergeCell ref="AE3:AF3"/>
    <mergeCell ref="AG3:AH3"/>
    <mergeCell ref="AI3:AJ3"/>
    <mergeCell ref="M3:N3"/>
    <mergeCell ref="O3:P3"/>
    <mergeCell ref="Q3:R3"/>
    <mergeCell ref="S3:T3"/>
    <mergeCell ref="U3:V3"/>
    <mergeCell ref="W3:X3"/>
    <mergeCell ref="AK2:AL2"/>
    <mergeCell ref="AM2:AN2"/>
    <mergeCell ref="AO2:AP2"/>
    <mergeCell ref="AQ2:AR2"/>
    <mergeCell ref="A3:C3"/>
    <mergeCell ref="E3:F3"/>
    <mergeCell ref="G3:H3"/>
    <mergeCell ref="I3:J3"/>
    <mergeCell ref="K3:L3"/>
    <mergeCell ref="W2:X2"/>
    <mergeCell ref="Y2:Z2"/>
    <mergeCell ref="AA2:AB2"/>
    <mergeCell ref="AC2:AD2"/>
    <mergeCell ref="AE2:AF2"/>
    <mergeCell ref="AG2:AH2"/>
    <mergeCell ref="A1:C2"/>
    <mergeCell ref="D1:D2"/>
    <mergeCell ref="AY20:BJ20"/>
    <mergeCell ref="AY12:BJ12"/>
    <mergeCell ref="AY1:BJ1"/>
    <mergeCell ref="AW1:AW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U1:X1"/>
    <mergeCell ref="Y1:AB1"/>
    <mergeCell ref="AC1:AF1"/>
    <mergeCell ref="AG1:AJ1"/>
    <mergeCell ref="AK1:AN1"/>
    <mergeCell ref="AO1:AR1"/>
    <mergeCell ref="E1:H1"/>
    <mergeCell ref="I1:L1"/>
    <mergeCell ref="M1:P1"/>
    <mergeCell ref="Q1:T1"/>
    <mergeCell ref="AI2:AJ2"/>
  </mergeCells>
  <conditionalFormatting sqref="AY30:BH30">
    <cfRule type="cellIs" dxfId="1" priority="2" operator="equal">
      <formula>"Sim"</formula>
    </cfRule>
  </conditionalFormatting>
  <conditionalFormatting sqref="BI30">
    <cfRule type="cellIs" dxfId="0" priority="1" operator="equal">
      <formula>"Sim"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9752" r:id="rId4" name="Group Box 56">
              <controlPr defaultSize="0" autoFill="0" autoPict="0">
                <anchor moveWithCells="1">
                  <from>
                    <xdr:col>3</xdr:col>
                    <xdr:colOff>0</xdr:colOff>
                    <xdr:row>24</xdr:row>
                    <xdr:rowOff>0</xdr:rowOff>
                  </from>
                  <to>
                    <xdr:col>4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56" r:id="rId5" name="Group Box 60">
              <controlPr defaultSize="0" autoFill="0" autoPict="0">
                <anchor moveWithCells="1">
                  <from>
                    <xdr:col>3</xdr:col>
                    <xdr:colOff>0</xdr:colOff>
                    <xdr:row>21</xdr:row>
                    <xdr:rowOff>0</xdr:rowOff>
                  </from>
                  <to>
                    <xdr:col>4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62" r:id="rId6" name="Group Box 66">
              <controlPr defaultSize="0" autoFill="0" autoPict="0">
                <anchor moveWithCells="1">
                  <from>
                    <xdr:col>3</xdr:col>
                    <xdr:colOff>0</xdr:colOff>
                    <xdr:row>22</xdr:row>
                    <xdr:rowOff>0</xdr:rowOff>
                  </from>
                  <to>
                    <xdr:col>4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72" r:id="rId7" name="Group Box 76">
              <controlPr defaultSize="0" autoFill="0" autoPict="0">
                <anchor moveWithCells="1">
                  <from>
                    <xdr:col>3</xdr:col>
                    <xdr:colOff>0</xdr:colOff>
                    <xdr:row>23</xdr:row>
                    <xdr:rowOff>0</xdr:rowOff>
                  </from>
                  <to>
                    <xdr:col>4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74" r:id="rId8" name="Group Box 78">
              <controlPr defaultSize="0" autoFill="0" autoPict="0">
                <anchor moveWithCells="1">
                  <from>
                    <xdr:col>3</xdr:col>
                    <xdr:colOff>0</xdr:colOff>
                    <xdr:row>24</xdr:row>
                    <xdr:rowOff>0</xdr:rowOff>
                  </from>
                  <to>
                    <xdr:col>4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76" r:id="rId9" name="Group Box 80">
              <controlPr defaultSize="0" autoFill="0" autoPict="0">
                <anchor moveWithCells="1">
                  <from>
                    <xdr:col>3</xdr:col>
                    <xdr:colOff>0</xdr:colOff>
                    <xdr:row>24</xdr:row>
                    <xdr:rowOff>0</xdr:rowOff>
                  </from>
                  <to>
                    <xdr:col>4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08" r:id="rId10" name="Group Box 112">
              <controlPr defaultSize="0" autoFill="0" autoPict="0">
                <anchor moveWithCells="1">
                  <from>
                    <xdr:col>3</xdr:col>
                    <xdr:colOff>0</xdr:colOff>
                    <xdr:row>23</xdr:row>
                    <xdr:rowOff>0</xdr:rowOff>
                  </from>
                  <to>
                    <xdr:col>4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13" r:id="rId11" name="Group Box 117">
              <controlPr defaultSize="0" autoFill="0" autoPict="0">
                <anchor moveWithCells="1">
                  <from>
                    <xdr:col>3</xdr:col>
                    <xdr:colOff>0</xdr:colOff>
                    <xdr:row>23</xdr:row>
                    <xdr:rowOff>0</xdr:rowOff>
                  </from>
                  <to>
                    <xdr:col>4</xdr:col>
                    <xdr:colOff>0</xdr:colOff>
                    <xdr:row>24</xdr:row>
                    <xdr:rowOff>317500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14" r:id="rId12" name="Group Box 118">
              <controlPr defaultSize="0" autoFill="0" autoPict="0">
                <anchor moveWithCells="1">
                  <from>
                    <xdr:col>3</xdr:col>
                    <xdr:colOff>0</xdr:colOff>
                    <xdr:row>24</xdr:row>
                    <xdr:rowOff>0</xdr:rowOff>
                  </from>
                  <to>
                    <xdr:col>4</xdr:col>
                    <xdr:colOff>0</xdr:colOff>
                    <xdr:row>25</xdr:row>
                    <xdr:rowOff>139700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/>
  <dimension ref="A1:J124"/>
  <sheetViews>
    <sheetView showGridLines="0" zoomScaleNormal="100" workbookViewId="0">
      <selection activeCell="G90" sqref="G90"/>
    </sheetView>
  </sheetViews>
  <sheetFormatPr defaultRowHeight="12.5"/>
  <cols>
    <col min="2" max="2" width="23.1796875" customWidth="1"/>
    <col min="3" max="3" width="17.1796875" customWidth="1"/>
    <col min="4" max="4" width="22.81640625" customWidth="1"/>
    <col min="5" max="5" width="13.81640625" customWidth="1"/>
    <col min="6" max="6" width="17.81640625" customWidth="1"/>
    <col min="7" max="9" width="15.1796875" customWidth="1"/>
    <col min="10" max="10" width="10.81640625" bestFit="1" customWidth="1"/>
  </cols>
  <sheetData>
    <row r="1" spans="1:9" ht="13">
      <c r="A1" s="834" t="s">
        <v>107</v>
      </c>
      <c r="B1" s="834"/>
      <c r="C1" s="834"/>
      <c r="D1" s="834"/>
      <c r="E1" s="834"/>
      <c r="F1" s="834"/>
      <c r="G1" s="834"/>
      <c r="H1" s="8"/>
      <c r="I1" s="8"/>
    </row>
    <row r="2" spans="1:9" ht="13">
      <c r="A2" s="835" t="s">
        <v>108</v>
      </c>
      <c r="B2" s="835"/>
      <c r="C2" s="835"/>
      <c r="D2" s="835"/>
      <c r="E2" s="835"/>
      <c r="F2" s="835"/>
      <c r="G2" s="835"/>
      <c r="H2" s="8"/>
      <c r="I2" s="8"/>
    </row>
    <row r="3" spans="1:9">
      <c r="A3" s="29"/>
      <c r="B3" s="836" t="s">
        <v>109</v>
      </c>
      <c r="C3" s="836"/>
      <c r="D3" s="836"/>
      <c r="E3" s="837" t="str">
        <f>'DADOS DO LICITANTE'!H3</f>
        <v>13843.720002/2024-24</v>
      </c>
      <c r="F3" s="837"/>
      <c r="G3" s="838"/>
      <c r="H3" s="8"/>
      <c r="I3" s="8"/>
    </row>
    <row r="4" spans="1:9">
      <c r="A4" s="837" t="s">
        <v>110</v>
      </c>
      <c r="B4" s="837"/>
      <c r="C4" s="837" t="str">
        <f>'DADOS DO LICITANTE'!A1</f>
        <v>PREGÃO DRF/SJC Nº 01/2024</v>
      </c>
      <c r="D4" s="837"/>
      <c r="E4" s="31"/>
      <c r="F4" s="70">
        <f>'DADOS DO LICITANTE'!D3</f>
        <v>45428</v>
      </c>
      <c r="G4" s="71" t="str">
        <f>'DADOS DO LICITANTE'!F3</f>
        <v>09h30min</v>
      </c>
      <c r="H4" s="8"/>
      <c r="I4" s="8"/>
    </row>
    <row r="5" spans="1:9">
      <c r="A5" s="837" t="s">
        <v>111</v>
      </c>
      <c r="B5" s="837"/>
      <c r="C5" s="846">
        <f>'DADOS DO LICITANTE'!C4</f>
        <v>0</v>
      </c>
      <c r="D5" s="846"/>
      <c r="E5" s="29" t="s">
        <v>112</v>
      </c>
      <c r="F5" s="847">
        <f>'DADOS DO LICITANTE'!B5</f>
        <v>0</v>
      </c>
      <c r="G5" s="848"/>
      <c r="H5" s="8"/>
      <c r="I5" s="8"/>
    </row>
    <row r="6" spans="1:9" ht="13">
      <c r="A6" s="849"/>
      <c r="B6" s="849"/>
      <c r="C6" s="849"/>
      <c r="D6" s="849"/>
      <c r="E6" s="849"/>
      <c r="F6" s="849"/>
      <c r="G6" s="849"/>
      <c r="H6" s="8"/>
      <c r="I6" s="8"/>
    </row>
    <row r="7" spans="1:9" ht="13">
      <c r="A7" s="850" t="s">
        <v>113</v>
      </c>
      <c r="B7" s="850"/>
      <c r="C7" s="850"/>
      <c r="D7" s="850"/>
      <c r="E7" s="850"/>
      <c r="F7" s="850"/>
      <c r="G7" s="850"/>
      <c r="H7" s="8"/>
      <c r="I7" s="8"/>
    </row>
    <row r="8" spans="1:9">
      <c r="A8" s="606" t="s">
        <v>0</v>
      </c>
      <c r="B8" s="839" t="s">
        <v>114</v>
      </c>
      <c r="C8" s="839"/>
      <c r="D8" s="839"/>
      <c r="E8" s="839"/>
      <c r="F8" s="840" t="str">
        <f>'DADOS DO LICITANTE'!H13</f>
        <v>xx/xx/2024</v>
      </c>
      <c r="G8" s="840"/>
      <c r="H8" s="8"/>
      <c r="I8" s="8"/>
    </row>
    <row r="9" spans="1:9">
      <c r="A9" s="607" t="s">
        <v>1</v>
      </c>
      <c r="B9" s="837" t="s">
        <v>115</v>
      </c>
      <c r="C9" s="837"/>
      <c r="D9" s="837"/>
      <c r="E9" s="837"/>
      <c r="F9" s="837" t="s">
        <v>228</v>
      </c>
      <c r="G9" s="837"/>
      <c r="H9" s="8"/>
      <c r="I9" s="8"/>
    </row>
    <row r="10" spans="1:9">
      <c r="A10" s="843" t="s">
        <v>2</v>
      </c>
      <c r="B10" s="844" t="s">
        <v>116</v>
      </c>
      <c r="C10" s="844"/>
      <c r="D10" s="844"/>
      <c r="E10" s="844"/>
      <c r="F10" s="845">
        <v>45292</v>
      </c>
      <c r="G10" s="845"/>
      <c r="H10" s="8"/>
      <c r="I10" s="8"/>
    </row>
    <row r="11" spans="1:9">
      <c r="A11" s="843"/>
      <c r="B11" s="844"/>
      <c r="C11" s="844"/>
      <c r="D11" s="844"/>
      <c r="E11" s="844"/>
      <c r="F11" s="845"/>
      <c r="G11" s="845"/>
      <c r="H11" s="8"/>
      <c r="I11" s="8"/>
    </row>
    <row r="12" spans="1:9">
      <c r="A12" s="607" t="s">
        <v>3</v>
      </c>
      <c r="B12" s="837" t="s">
        <v>117</v>
      </c>
      <c r="C12" s="837"/>
      <c r="D12" s="837"/>
      <c r="E12" s="837"/>
      <c r="F12" s="837">
        <v>12</v>
      </c>
      <c r="G12" s="837"/>
      <c r="H12" s="8"/>
      <c r="I12" s="8"/>
    </row>
    <row r="13" spans="1:9">
      <c r="A13" s="854"/>
      <c r="B13" s="854"/>
      <c r="C13" s="854"/>
      <c r="D13" s="854"/>
      <c r="E13" s="854"/>
      <c r="F13" s="854"/>
      <c r="G13" s="854"/>
      <c r="H13" s="8"/>
      <c r="I13" s="8"/>
    </row>
    <row r="14" spans="1:9">
      <c r="A14" s="855" t="s">
        <v>118</v>
      </c>
      <c r="B14" s="855"/>
      <c r="C14" s="855"/>
      <c r="D14" s="855"/>
      <c r="E14" s="855"/>
      <c r="F14" s="855"/>
      <c r="G14" s="855"/>
      <c r="H14" s="8"/>
      <c r="I14" s="8"/>
    </row>
    <row r="15" spans="1:9" ht="13">
      <c r="A15" s="835" t="s">
        <v>119</v>
      </c>
      <c r="B15" s="835"/>
      <c r="C15" s="835"/>
      <c r="D15" s="835"/>
      <c r="E15" s="835"/>
      <c r="F15" s="835"/>
      <c r="G15" s="835"/>
      <c r="H15" s="8"/>
      <c r="I15" s="8"/>
    </row>
    <row r="16" spans="1:9">
      <c r="A16" s="607">
        <v>1</v>
      </c>
      <c r="B16" s="851" t="s">
        <v>120</v>
      </c>
      <c r="C16" s="851"/>
      <c r="D16" s="851"/>
      <c r="E16" s="851"/>
      <c r="F16" s="852" t="s">
        <v>190</v>
      </c>
      <c r="G16" s="852"/>
      <c r="H16" s="8"/>
      <c r="I16" s="8"/>
    </row>
    <row r="17" spans="1:9" ht="13">
      <c r="A17" s="608">
        <v>2</v>
      </c>
      <c r="B17" s="841" t="s">
        <v>121</v>
      </c>
      <c r="C17" s="841"/>
      <c r="D17" s="841"/>
      <c r="E17" s="841"/>
      <c r="F17" s="853">
        <f>'DADOS DO LICITANTE'!D13</f>
        <v>1734.08</v>
      </c>
      <c r="G17" s="853"/>
      <c r="H17" s="8"/>
      <c r="I17" s="8"/>
    </row>
    <row r="18" spans="1:9">
      <c r="A18" s="610">
        <v>3</v>
      </c>
      <c r="B18" s="841" t="s">
        <v>4</v>
      </c>
      <c r="C18" s="841"/>
      <c r="D18" s="841"/>
      <c r="E18" s="841"/>
      <c r="F18" s="842" t="s">
        <v>186</v>
      </c>
      <c r="G18" s="842"/>
      <c r="H18" s="8"/>
      <c r="I18" s="8"/>
    </row>
    <row r="19" spans="1:9">
      <c r="A19" s="611">
        <v>4</v>
      </c>
      <c r="B19" s="841" t="s">
        <v>122</v>
      </c>
      <c r="C19" s="841"/>
      <c r="D19" s="841"/>
      <c r="E19" s="841"/>
      <c r="F19" s="859">
        <f>'DADOS DO LICITANTE'!E11</f>
        <v>45292</v>
      </c>
      <c r="G19" s="859"/>
      <c r="H19" s="8"/>
      <c r="I19" s="8"/>
    </row>
    <row r="20" spans="1:9">
      <c r="A20" s="702"/>
      <c r="B20" s="702"/>
      <c r="C20" s="702"/>
      <c r="D20" s="702"/>
      <c r="E20" s="702"/>
      <c r="F20" s="702"/>
      <c r="G20" s="702"/>
      <c r="H20" s="8"/>
      <c r="I20" s="8"/>
    </row>
    <row r="21" spans="1:9" ht="13">
      <c r="A21" s="835" t="s">
        <v>123</v>
      </c>
      <c r="B21" s="835"/>
      <c r="C21" s="835"/>
      <c r="D21" s="835"/>
      <c r="E21" s="835"/>
      <c r="F21" s="835"/>
      <c r="G21" s="835"/>
      <c r="H21" s="8"/>
      <c r="I21" s="8"/>
    </row>
    <row r="22" spans="1:9" ht="13">
      <c r="A22" s="589">
        <v>1</v>
      </c>
      <c r="B22" s="857" t="s">
        <v>124</v>
      </c>
      <c r="C22" s="857"/>
      <c r="D22" s="857"/>
      <c r="E22" s="857"/>
      <c r="F22" s="857"/>
      <c r="G22" s="589" t="s">
        <v>8</v>
      </c>
      <c r="H22" s="8"/>
      <c r="I22" s="8"/>
    </row>
    <row r="23" spans="1:9" ht="13">
      <c r="A23" s="589" t="s">
        <v>0</v>
      </c>
      <c r="B23" s="846" t="s">
        <v>121</v>
      </c>
      <c r="C23" s="846"/>
      <c r="D23" s="846"/>
      <c r="E23" s="29"/>
      <c r="F23" s="29"/>
      <c r="G23" s="39">
        <f>F17</f>
        <v>1734.08</v>
      </c>
      <c r="H23" s="8"/>
      <c r="I23" s="8"/>
    </row>
    <row r="24" spans="1:9" ht="13">
      <c r="A24" s="589" t="s">
        <v>125</v>
      </c>
      <c r="B24" s="846" t="s">
        <v>126</v>
      </c>
      <c r="C24" s="846"/>
      <c r="D24" s="846"/>
      <c r="E24" s="846"/>
      <c r="F24" s="846"/>
      <c r="G24" s="39"/>
      <c r="H24" s="8"/>
      <c r="I24" s="8"/>
    </row>
    <row r="25" spans="1:9" ht="13">
      <c r="A25" s="589" t="s">
        <v>1</v>
      </c>
      <c r="B25" s="846" t="s">
        <v>415</v>
      </c>
      <c r="C25" s="846"/>
      <c r="D25" s="846"/>
      <c r="E25" s="846"/>
      <c r="F25" s="40">
        <v>0</v>
      </c>
      <c r="G25" s="39">
        <f>ROUND(G23*F25,2)</f>
        <v>0</v>
      </c>
      <c r="H25" s="8"/>
      <c r="I25" s="8"/>
    </row>
    <row r="26" spans="1:9" ht="13">
      <c r="A26" s="589" t="s">
        <v>2</v>
      </c>
      <c r="B26" s="856" t="s">
        <v>128</v>
      </c>
      <c r="C26" s="856"/>
      <c r="D26" s="856"/>
      <c r="E26" s="856"/>
      <c r="F26" s="856"/>
      <c r="G26" s="39"/>
      <c r="H26" s="8"/>
      <c r="I26" s="8"/>
    </row>
    <row r="27" spans="1:9" ht="13">
      <c r="A27" s="589"/>
      <c r="B27" s="857" t="s">
        <v>129</v>
      </c>
      <c r="C27" s="857"/>
      <c r="D27" s="857"/>
      <c r="E27" s="857"/>
      <c r="F27" s="857"/>
      <c r="G27" s="589">
        <f>SUM(G23:G26)</f>
        <v>1734.08</v>
      </c>
      <c r="H27" s="8"/>
      <c r="I27" s="8"/>
    </row>
    <row r="28" spans="1:9">
      <c r="A28" s="687"/>
      <c r="B28" s="687"/>
      <c r="C28" s="687"/>
      <c r="D28" s="687"/>
      <c r="E28" s="687"/>
      <c r="F28" s="687"/>
      <c r="G28" s="687"/>
      <c r="H28" s="8"/>
      <c r="I28" s="8"/>
    </row>
    <row r="29" spans="1:9" ht="13">
      <c r="A29" s="858" t="s">
        <v>130</v>
      </c>
      <c r="B29" s="858"/>
      <c r="C29" s="858"/>
      <c r="D29" s="858"/>
      <c r="E29" s="858"/>
      <c r="F29" s="858"/>
      <c r="G29" s="858"/>
      <c r="H29" s="8"/>
      <c r="I29" s="8"/>
    </row>
    <row r="30" spans="1:9">
      <c r="A30" s="860" t="s">
        <v>131</v>
      </c>
      <c r="B30" s="860"/>
      <c r="C30" s="860"/>
      <c r="D30" s="860"/>
      <c r="E30" s="860"/>
      <c r="F30" s="860"/>
      <c r="G30" s="860"/>
      <c r="H30" s="8"/>
      <c r="I30" s="8"/>
    </row>
    <row r="31" spans="1:9" ht="13">
      <c r="A31" s="589" t="s">
        <v>7</v>
      </c>
      <c r="B31" s="857" t="s">
        <v>132</v>
      </c>
      <c r="C31" s="857"/>
      <c r="D31" s="857"/>
      <c r="E31" s="857"/>
      <c r="F31" s="857"/>
      <c r="G31" s="37" t="s">
        <v>8</v>
      </c>
      <c r="H31" s="8"/>
      <c r="I31" s="8"/>
    </row>
    <row r="32" spans="1:9">
      <c r="A32" s="591" t="s">
        <v>0</v>
      </c>
      <c r="B32" s="846" t="s">
        <v>132</v>
      </c>
      <c r="C32" s="846"/>
      <c r="D32" s="846"/>
      <c r="E32" s="846"/>
      <c r="F32" s="10">
        <f>0.0833333333333333</f>
        <v>8.3333333333333301E-2</v>
      </c>
      <c r="G32" s="15">
        <f>ROUND(F32*$G$27,2)</f>
        <v>144.51</v>
      </c>
      <c r="H32" s="8"/>
      <c r="I32" s="8"/>
    </row>
    <row r="33" spans="1:9">
      <c r="A33" s="591" t="s">
        <v>1</v>
      </c>
      <c r="B33" s="846" t="s">
        <v>133</v>
      </c>
      <c r="C33" s="846"/>
      <c r="D33" s="846"/>
      <c r="E33" s="846"/>
      <c r="F33" s="152">
        <v>3.0249999999999999E-2</v>
      </c>
      <c r="G33" s="15">
        <f>ROUND(F33*$G$27,2)</f>
        <v>52.46</v>
      </c>
      <c r="H33" s="8"/>
      <c r="I33" s="8"/>
    </row>
    <row r="34" spans="1:9" ht="13">
      <c r="A34" s="591"/>
      <c r="B34" s="857" t="s">
        <v>9</v>
      </c>
      <c r="C34" s="857"/>
      <c r="D34" s="857"/>
      <c r="E34" s="857"/>
      <c r="F34" s="43">
        <f>F32+F33</f>
        <v>0.1135833333333333</v>
      </c>
      <c r="G34" s="18">
        <f>SUM(G32:G33)</f>
        <v>196.97</v>
      </c>
      <c r="H34" s="8"/>
      <c r="I34" s="8"/>
    </row>
    <row r="35" spans="1:9">
      <c r="A35" s="33"/>
      <c r="B35" s="33"/>
      <c r="C35" s="33"/>
      <c r="D35" s="33"/>
      <c r="E35" s="33"/>
      <c r="F35" s="33"/>
      <c r="G35" s="33"/>
      <c r="H35" s="8"/>
      <c r="I35" s="8"/>
    </row>
    <row r="36" spans="1:9">
      <c r="A36" s="861" t="s">
        <v>284</v>
      </c>
      <c r="B36" s="861"/>
      <c r="C36" s="861"/>
      <c r="D36" s="861"/>
      <c r="E36" s="861"/>
      <c r="F36" s="861"/>
      <c r="G36" s="861"/>
      <c r="H36" s="8"/>
      <c r="I36" s="8"/>
    </row>
    <row r="37" spans="1:9" ht="13">
      <c r="A37" s="589" t="s">
        <v>10</v>
      </c>
      <c r="B37" s="857" t="s">
        <v>135</v>
      </c>
      <c r="C37" s="857"/>
      <c r="D37" s="857"/>
      <c r="E37" s="857"/>
      <c r="F37" s="589" t="s">
        <v>136</v>
      </c>
      <c r="G37" s="37" t="s">
        <v>137</v>
      </c>
      <c r="H37" s="8"/>
      <c r="I37" s="8"/>
    </row>
    <row r="38" spans="1:9">
      <c r="A38" s="591" t="s">
        <v>0</v>
      </c>
      <c r="B38" s="846" t="s">
        <v>12</v>
      </c>
      <c r="C38" s="846"/>
      <c r="D38" s="846"/>
      <c r="E38" s="846"/>
      <c r="F38" s="40">
        <v>0.2</v>
      </c>
      <c r="G38" s="67">
        <f t="shared" ref="G38:G46" si="0">ROUND(F38*($G$27+$G$34),2)</f>
        <v>386.21</v>
      </c>
      <c r="H38" s="8"/>
      <c r="I38" s="8"/>
    </row>
    <row r="39" spans="1:9">
      <c r="A39" s="591" t="s">
        <v>1</v>
      </c>
      <c r="B39" s="846" t="s">
        <v>13</v>
      </c>
      <c r="C39" s="846"/>
      <c r="D39" s="846"/>
      <c r="E39" s="846"/>
      <c r="F39" s="40">
        <v>2.5000000000000001E-2</v>
      </c>
      <c r="G39" s="67">
        <f t="shared" si="0"/>
        <v>48.28</v>
      </c>
      <c r="H39" s="8"/>
      <c r="I39" s="8"/>
    </row>
    <row r="40" spans="1:9">
      <c r="A40" s="591" t="s">
        <v>2</v>
      </c>
      <c r="B40" s="846" t="s">
        <v>14</v>
      </c>
      <c r="C40" s="846"/>
      <c r="D40" s="846"/>
      <c r="E40" s="846"/>
      <c r="F40" s="281">
        <v>1.4999999999999999E-2</v>
      </c>
      <c r="G40" s="67">
        <f t="shared" si="0"/>
        <v>28.97</v>
      </c>
      <c r="H40" s="8"/>
      <c r="I40" s="8"/>
    </row>
    <row r="41" spans="1:9">
      <c r="A41" s="591" t="s">
        <v>3</v>
      </c>
      <c r="B41" s="846" t="s">
        <v>15</v>
      </c>
      <c r="C41" s="846"/>
      <c r="D41" s="846"/>
      <c r="E41" s="846"/>
      <c r="F41" s="281">
        <v>0.01</v>
      </c>
      <c r="G41" s="67">
        <f t="shared" si="0"/>
        <v>19.309999999999999</v>
      </c>
      <c r="H41" s="8"/>
      <c r="I41" s="8"/>
    </row>
    <row r="42" spans="1:9">
      <c r="A42" s="591" t="s">
        <v>5</v>
      </c>
      <c r="B42" s="846" t="s">
        <v>16</v>
      </c>
      <c r="C42" s="846"/>
      <c r="D42" s="846"/>
      <c r="E42" s="846"/>
      <c r="F42" s="281">
        <v>6.000000000000001E-3</v>
      </c>
      <c r="G42" s="67">
        <f t="shared" si="0"/>
        <v>11.59</v>
      </c>
      <c r="H42" s="8"/>
      <c r="I42" s="8"/>
    </row>
    <row r="43" spans="1:9">
      <c r="A43" s="591" t="s">
        <v>6</v>
      </c>
      <c r="B43" s="846" t="s">
        <v>18</v>
      </c>
      <c r="C43" s="846"/>
      <c r="D43" s="846"/>
      <c r="E43" s="846"/>
      <c r="F43" s="40">
        <v>2E-3</v>
      </c>
      <c r="G43" s="67">
        <f t="shared" si="0"/>
        <v>3.86</v>
      </c>
      <c r="H43" s="8"/>
      <c r="I43" s="8"/>
    </row>
    <row r="44" spans="1:9">
      <c r="A44" s="591" t="s">
        <v>17</v>
      </c>
      <c r="B44" s="285" t="s">
        <v>40</v>
      </c>
      <c r="C44" s="28">
        <f>'DADOS DO LICITANTE'!B22</f>
        <v>0.03</v>
      </c>
      <c r="D44" s="30" t="s">
        <v>139</v>
      </c>
      <c r="E44" s="44">
        <f>'DADOS DO LICITANTE'!F22</f>
        <v>1</v>
      </c>
      <c r="F44" s="40">
        <f>C44*E44</f>
        <v>0.03</v>
      </c>
      <c r="G44" s="67">
        <f t="shared" si="0"/>
        <v>57.93</v>
      </c>
      <c r="H44" s="8"/>
      <c r="I44" s="8"/>
    </row>
    <row r="45" spans="1:9">
      <c r="A45" s="591" t="s">
        <v>19</v>
      </c>
      <c r="B45" s="846" t="s">
        <v>20</v>
      </c>
      <c r="C45" s="846"/>
      <c r="D45" s="846"/>
      <c r="E45" s="846"/>
      <c r="F45" s="40">
        <v>0.08</v>
      </c>
      <c r="G45" s="67">
        <f t="shared" si="0"/>
        <v>154.47999999999999</v>
      </c>
      <c r="H45" s="8"/>
      <c r="I45" s="8"/>
    </row>
    <row r="46" spans="1:9" ht="13">
      <c r="A46" s="591"/>
      <c r="B46" s="857" t="s">
        <v>9</v>
      </c>
      <c r="C46" s="857"/>
      <c r="D46" s="857"/>
      <c r="E46" s="857"/>
      <c r="F46" s="43">
        <f>SUM(F38:F45)</f>
        <v>0.36800000000000005</v>
      </c>
      <c r="G46" s="154">
        <f t="shared" si="0"/>
        <v>710.63</v>
      </c>
      <c r="H46" s="8"/>
      <c r="I46" s="8"/>
    </row>
    <row r="47" spans="1:9">
      <c r="A47" s="8" t="s">
        <v>140</v>
      </c>
      <c r="B47" s="863" t="s">
        <v>141</v>
      </c>
      <c r="C47" s="863"/>
      <c r="D47" s="863"/>
      <c r="E47" s="863"/>
      <c r="F47" s="863"/>
      <c r="G47" s="863"/>
      <c r="H47" s="8"/>
      <c r="I47" s="8"/>
    </row>
    <row r="48" spans="1:9">
      <c r="A48" s="8"/>
      <c r="B48" s="45"/>
      <c r="C48" s="8"/>
      <c r="D48" s="8"/>
      <c r="E48" s="8"/>
      <c r="F48" s="8"/>
      <c r="G48" s="8"/>
      <c r="H48" s="8"/>
      <c r="I48" s="8"/>
    </row>
    <row r="49" spans="1:10">
      <c r="A49" s="42"/>
      <c r="B49" s="42"/>
      <c r="C49" s="42"/>
      <c r="D49" s="42"/>
      <c r="E49" s="42"/>
      <c r="F49" s="42"/>
      <c r="G49" s="46" t="s">
        <v>271</v>
      </c>
      <c r="H49" s="47" t="s">
        <v>272</v>
      </c>
      <c r="I49" s="47" t="s">
        <v>276</v>
      </c>
    </row>
    <row r="50" spans="1:10" ht="13">
      <c r="A50" s="864" t="s">
        <v>21</v>
      </c>
      <c r="B50" s="864"/>
      <c r="C50" s="864"/>
      <c r="D50" s="864"/>
      <c r="E50" s="864"/>
      <c r="F50" s="864"/>
      <c r="G50" s="864"/>
      <c r="H50" s="864"/>
      <c r="I50" s="864"/>
    </row>
    <row r="51" spans="1:10" ht="13">
      <c r="A51" s="594" t="s">
        <v>22</v>
      </c>
      <c r="B51" s="865" t="s">
        <v>142</v>
      </c>
      <c r="C51" s="865"/>
      <c r="D51" s="865"/>
      <c r="E51" s="865"/>
      <c r="F51" s="865"/>
      <c r="G51" s="258" t="s">
        <v>137</v>
      </c>
      <c r="H51" s="258" t="s">
        <v>137</v>
      </c>
      <c r="I51" s="258" t="s">
        <v>137</v>
      </c>
    </row>
    <row r="52" spans="1:10">
      <c r="A52" s="49" t="s">
        <v>0</v>
      </c>
      <c r="B52" s="846" t="s">
        <v>143</v>
      </c>
      <c r="C52" s="846"/>
      <c r="D52" s="846"/>
      <c r="E52" s="846"/>
      <c r="F52" s="862"/>
      <c r="G52" s="255">
        <f>'DADOS DO LICITANTE'!M40</f>
        <v>121.90560000000001</v>
      </c>
      <c r="H52" s="255">
        <f>'DADOS DO LICITANTE'!M41</f>
        <v>165.35759999999999</v>
      </c>
      <c r="I52" s="255">
        <f>'DADOS DO LICITANTE'!M46</f>
        <v>100.17960000000001</v>
      </c>
    </row>
    <row r="53" spans="1:10">
      <c r="A53" s="49" t="s">
        <v>1</v>
      </c>
      <c r="B53" s="846" t="s">
        <v>43</v>
      </c>
      <c r="C53" s="846"/>
      <c r="D53" s="846"/>
      <c r="E53" s="846"/>
      <c r="F53" s="862"/>
      <c r="G53" s="255">
        <f>'DADOS DO LICITANTE'!I26</f>
        <v>400.84</v>
      </c>
      <c r="H53" s="255">
        <f>'DADOS DO LICITANTE'!$I26</f>
        <v>400.84</v>
      </c>
      <c r="I53" s="255">
        <f>'DADOS DO LICITANTE'!$I26</f>
        <v>400.84</v>
      </c>
    </row>
    <row r="54" spans="1:10">
      <c r="A54" s="49" t="s">
        <v>2</v>
      </c>
      <c r="B54" s="846" t="s">
        <v>53</v>
      </c>
      <c r="C54" s="846"/>
      <c r="D54" s="846"/>
      <c r="E54" s="846"/>
      <c r="F54" s="846"/>
      <c r="G54" s="254">
        <f>'DADOS DO LICITANTE'!$I33</f>
        <v>137.79</v>
      </c>
      <c r="H54" s="254">
        <f>'DADOS DO LICITANTE'!$I33</f>
        <v>137.79</v>
      </c>
      <c r="I54" s="254">
        <f>'DADOS DO LICITANTE'!$I33</f>
        <v>137.79</v>
      </c>
    </row>
    <row r="55" spans="1:10">
      <c r="A55" s="49" t="s">
        <v>3</v>
      </c>
      <c r="B55" s="846" t="s">
        <v>48</v>
      </c>
      <c r="C55" s="846"/>
      <c r="D55" s="846"/>
      <c r="E55" s="846"/>
      <c r="F55" s="846"/>
      <c r="G55" s="13">
        <f>'DADOS DO LICITANTE'!$I28</f>
        <v>0</v>
      </c>
      <c r="H55" s="13">
        <f>'DADOS DO LICITANTE'!$I28</f>
        <v>0</v>
      </c>
      <c r="I55" s="13">
        <f>'DADOS DO LICITANTE'!$I28</f>
        <v>0</v>
      </c>
    </row>
    <row r="56" spans="1:10">
      <c r="A56" s="49" t="s">
        <v>5</v>
      </c>
      <c r="B56" s="846" t="s">
        <v>50</v>
      </c>
      <c r="C56" s="846"/>
      <c r="D56" s="846"/>
      <c r="E56" s="846"/>
      <c r="F56" s="846"/>
      <c r="G56" s="13">
        <f>'DADOS DO LICITANTE'!$I30</f>
        <v>4.9419999999999999E-2</v>
      </c>
      <c r="H56" s="13">
        <f>'DADOS DO LICITANTE'!$I30</f>
        <v>4.9419999999999999E-2</v>
      </c>
      <c r="I56" s="13">
        <f>'DADOS DO LICITANTE'!$I30</f>
        <v>4.9419999999999999E-2</v>
      </c>
    </row>
    <row r="57" spans="1:10">
      <c r="A57" s="49" t="s">
        <v>6</v>
      </c>
      <c r="B57" s="846" t="s">
        <v>191</v>
      </c>
      <c r="C57" s="846"/>
      <c r="D57" s="846"/>
      <c r="E57" s="846"/>
      <c r="F57" s="846"/>
      <c r="G57" s="13">
        <f>'DADOS DO LICITANTE'!$I32</f>
        <v>33.65</v>
      </c>
      <c r="H57" s="13">
        <f>'DADOS DO LICITANTE'!$I32</f>
        <v>33.65</v>
      </c>
      <c r="I57" s="13">
        <f>'DADOS DO LICITANTE'!$I32</f>
        <v>33.65</v>
      </c>
    </row>
    <row r="58" spans="1:10">
      <c r="A58" s="49" t="s">
        <v>17</v>
      </c>
      <c r="B58" s="872" t="str">
        <f>'DADOS DO LICITANTE'!A34</f>
        <v>Benefício Social Sindical</v>
      </c>
      <c r="C58" s="873"/>
      <c r="D58" s="873"/>
      <c r="E58" s="873"/>
      <c r="F58" s="874"/>
      <c r="G58" s="14">
        <f>'DADOS DO LICITANTE'!$I35</f>
        <v>15.2</v>
      </c>
      <c r="H58" s="14">
        <f>'DADOS DO LICITANTE'!$I35</f>
        <v>15.2</v>
      </c>
      <c r="I58" s="14">
        <f>'DADOS DO LICITANTE'!$I35</f>
        <v>15.2</v>
      </c>
    </row>
    <row r="59" spans="1:10" ht="13">
      <c r="A59" s="591"/>
      <c r="B59" s="857" t="s">
        <v>144</v>
      </c>
      <c r="C59" s="857"/>
      <c r="D59" s="857"/>
      <c r="E59" s="857"/>
      <c r="F59" s="857"/>
      <c r="G59" s="262">
        <f>ROUND(SUM(G52:G58),2)</f>
        <v>709.44</v>
      </c>
      <c r="H59" s="262">
        <f>ROUND(SUM(H52:H58),2)</f>
        <v>752.89</v>
      </c>
      <c r="I59" s="262">
        <f>ROUND(SUM(I52:I58),2)</f>
        <v>687.71</v>
      </c>
    </row>
    <row r="60" spans="1:10">
      <c r="A60" s="8"/>
      <c r="B60" s="687"/>
      <c r="C60" s="687"/>
      <c r="D60" s="687"/>
      <c r="E60" s="687"/>
      <c r="F60" s="687"/>
      <c r="G60" s="687"/>
      <c r="H60" s="8"/>
      <c r="I60" s="8"/>
    </row>
    <row r="61" spans="1:10" ht="13">
      <c r="A61" s="867" t="s">
        <v>145</v>
      </c>
      <c r="B61" s="867"/>
      <c r="C61" s="867"/>
      <c r="D61" s="867"/>
      <c r="E61" s="867"/>
      <c r="F61" s="867"/>
      <c r="G61" s="867"/>
      <c r="H61" s="867"/>
      <c r="I61" s="867"/>
    </row>
    <row r="62" spans="1:10">
      <c r="A62" s="875" t="s">
        <v>0</v>
      </c>
      <c r="B62" s="876" t="s">
        <v>146</v>
      </c>
      <c r="C62" s="876"/>
      <c r="D62" s="876"/>
      <c r="E62" s="50" t="s">
        <v>147</v>
      </c>
      <c r="F62" s="877">
        <f>E63/30/12*D63</f>
        <v>4.1666666666666666E-3</v>
      </c>
      <c r="G62" s="879">
        <f>($G$27+$G$34)*$F$62</f>
        <v>8.0460416666666656</v>
      </c>
      <c r="H62" s="879">
        <f t="shared" ref="H62:I62" si="1">($G$27+$G$34)*$F$62</f>
        <v>8.0460416666666656</v>
      </c>
      <c r="I62" s="879">
        <f t="shared" si="1"/>
        <v>8.0460416666666656</v>
      </c>
      <c r="J62" s="25"/>
    </row>
    <row r="63" spans="1:10">
      <c r="A63" s="833"/>
      <c r="B63" s="837" t="s">
        <v>148</v>
      </c>
      <c r="C63" s="837"/>
      <c r="D63" s="28">
        <f>'DADOS DO LICITANTE'!E52</f>
        <v>0.05</v>
      </c>
      <c r="E63" s="32">
        <v>30</v>
      </c>
      <c r="F63" s="878"/>
      <c r="G63" s="880"/>
      <c r="H63" s="880"/>
      <c r="I63" s="880"/>
    </row>
    <row r="64" spans="1:10">
      <c r="A64" s="49" t="s">
        <v>1</v>
      </c>
      <c r="B64" s="881" t="s">
        <v>149</v>
      </c>
      <c r="C64" s="882"/>
      <c r="D64" s="882"/>
      <c r="E64" s="882"/>
      <c r="F64" s="883"/>
      <c r="G64" s="39">
        <f>G62*0.08</f>
        <v>0.64368333333333327</v>
      </c>
      <c r="H64" s="39">
        <f t="shared" ref="H64:I64" si="2">H62*0.08</f>
        <v>0.64368333333333327</v>
      </c>
      <c r="I64" s="39">
        <f t="shared" si="2"/>
        <v>0.64368333333333327</v>
      </c>
      <c r="J64" s="25"/>
    </row>
    <row r="65" spans="1:10">
      <c r="A65" s="49" t="s">
        <v>2</v>
      </c>
      <c r="B65" s="862" t="s">
        <v>416</v>
      </c>
      <c r="C65" s="884"/>
      <c r="D65" s="577">
        <f>'DADOS DO LICITANTE'!E53</f>
        <v>1</v>
      </c>
      <c r="E65" s="576"/>
      <c r="F65" s="10">
        <f>7/30/12</f>
        <v>1.9444444444444445E-2</v>
      </c>
      <c r="G65" s="39">
        <f>ROUND($G$27*$F$65*$D$65,2)</f>
        <v>33.72</v>
      </c>
      <c r="H65" s="574">
        <f t="shared" ref="H65:I65" si="3">ROUND($G$27*$F$65*$D$65,2)</f>
        <v>33.72</v>
      </c>
      <c r="I65" s="574">
        <f t="shared" si="3"/>
        <v>33.72</v>
      </c>
    </row>
    <row r="66" spans="1:10">
      <c r="A66" s="49" t="s">
        <v>3</v>
      </c>
      <c r="B66" s="885" t="s">
        <v>150</v>
      </c>
      <c r="C66" s="886"/>
      <c r="D66" s="886"/>
      <c r="E66" s="886"/>
      <c r="F66" s="883"/>
      <c r="G66" s="574">
        <f>ROUND(G65*$F$46,2)</f>
        <v>12.41</v>
      </c>
      <c r="H66" s="574">
        <f t="shared" ref="H66:I66" si="4">ROUND(H65*$F$46,2)</f>
        <v>12.41</v>
      </c>
      <c r="I66" s="574">
        <f t="shared" si="4"/>
        <v>12.41</v>
      </c>
    </row>
    <row r="67" spans="1:10">
      <c r="A67" s="49" t="s">
        <v>5</v>
      </c>
      <c r="B67" s="841" t="s">
        <v>413</v>
      </c>
      <c r="C67" s="841"/>
      <c r="D67" s="841"/>
      <c r="E67" s="841"/>
      <c r="F67" s="575">
        <v>0.04</v>
      </c>
      <c r="G67" s="39">
        <f>ROUND($G$27*$F$67,2)</f>
        <v>69.36</v>
      </c>
      <c r="H67" s="574">
        <f t="shared" ref="H67:I67" si="5">ROUND($G$27*$F$67,2)</f>
        <v>69.36</v>
      </c>
      <c r="I67" s="574">
        <f t="shared" si="5"/>
        <v>69.36</v>
      </c>
      <c r="J67" s="27"/>
    </row>
    <row r="68" spans="1:10" ht="13">
      <c r="A68" s="591"/>
      <c r="B68" s="887" t="s">
        <v>9</v>
      </c>
      <c r="C68" s="888"/>
      <c r="D68" s="888"/>
      <c r="E68" s="888"/>
      <c r="F68" s="889"/>
      <c r="G68" s="41">
        <f>ROUND(SUM(G62:G67),2)</f>
        <v>124.18</v>
      </c>
      <c r="H68" s="41">
        <f>ROUND(SUM(H62:H67),2)</f>
        <v>124.18</v>
      </c>
      <c r="I68" s="41">
        <f>ROUND(SUM(I62:I67),2)</f>
        <v>124.18</v>
      </c>
    </row>
    <row r="69" spans="1:10">
      <c r="A69" s="863" t="s">
        <v>414</v>
      </c>
      <c r="B69" s="863"/>
      <c r="C69" s="863"/>
      <c r="D69" s="863"/>
      <c r="E69" s="863"/>
      <c r="F69" s="863"/>
      <c r="G69" s="863"/>
      <c r="H69" s="863"/>
      <c r="I69" s="863"/>
    </row>
    <row r="70" spans="1:10">
      <c r="A70" s="680"/>
      <c r="B70" s="680"/>
      <c r="C70" s="680"/>
      <c r="D70" s="680"/>
      <c r="E70" s="680"/>
      <c r="F70" s="680"/>
      <c r="G70" s="680"/>
      <c r="H70" s="8"/>
      <c r="I70" s="8"/>
    </row>
    <row r="71" spans="1:10" ht="13">
      <c r="A71" s="867" t="s">
        <v>151</v>
      </c>
      <c r="B71" s="867"/>
      <c r="C71" s="867"/>
      <c r="D71" s="867"/>
      <c r="E71" s="867"/>
      <c r="F71" s="867"/>
      <c r="G71" s="867"/>
      <c r="H71" s="867"/>
      <c r="I71" s="867"/>
    </row>
    <row r="72" spans="1:10" ht="13">
      <c r="A72" s="867" t="s">
        <v>152</v>
      </c>
      <c r="B72" s="867"/>
      <c r="C72" s="867"/>
      <c r="D72" s="867"/>
      <c r="E72" s="867"/>
      <c r="F72" s="867"/>
      <c r="G72" s="867"/>
      <c r="H72" s="867"/>
      <c r="I72" s="867"/>
    </row>
    <row r="73" spans="1:10" ht="13">
      <c r="A73" s="590"/>
      <c r="B73" s="871" t="s">
        <v>153</v>
      </c>
      <c r="C73" s="871"/>
      <c r="D73" s="871"/>
      <c r="E73" s="871"/>
      <c r="F73" s="871"/>
      <c r="G73" s="51" t="s">
        <v>137</v>
      </c>
      <c r="H73" s="51" t="s">
        <v>137</v>
      </c>
      <c r="I73" s="51" t="s">
        <v>137</v>
      </c>
    </row>
    <row r="74" spans="1:10" ht="12.5" customHeight="1">
      <c r="A74" s="591" t="s">
        <v>0</v>
      </c>
      <c r="B74" s="868" t="s">
        <v>154</v>
      </c>
      <c r="C74" s="869"/>
      <c r="D74" s="869"/>
      <c r="E74" s="870"/>
      <c r="F74" s="153">
        <v>9.0749999999999997E-2</v>
      </c>
      <c r="G74" s="15">
        <f>ROUND(($G$27*$F$74)+(($G$27*$F$74)*$F$46),2)</f>
        <v>215.28</v>
      </c>
      <c r="H74" s="578">
        <f t="shared" ref="H74:I74" si="6">ROUND(($G$27*$F$74)+(($G$27*$F$74)*$F$46),2)</f>
        <v>215.28</v>
      </c>
      <c r="I74" s="578">
        <f t="shared" si="6"/>
        <v>215.28</v>
      </c>
    </row>
    <row r="75" spans="1:10">
      <c r="A75" s="832" t="s">
        <v>1</v>
      </c>
      <c r="B75" s="846" t="s">
        <v>155</v>
      </c>
      <c r="C75" s="846"/>
      <c r="D75" s="846"/>
      <c r="E75" s="846"/>
      <c r="F75" s="878">
        <f>'DADOS DO LICITANTE'!G58</f>
        <v>2.7378507871321013E-3</v>
      </c>
      <c r="G75" s="866">
        <f>ROUND($F$75*($G$27+$G$34+$G$46+G59+G68-G52-G53+G74),2)</f>
        <v>8.67</v>
      </c>
      <c r="H75" s="866">
        <f t="shared" ref="H75:I75" si="7">ROUND($F$75*($G$27+$G$34+$G$46+H59+H68-H52-H53+H74),2)</f>
        <v>8.67</v>
      </c>
      <c r="I75" s="866">
        <f t="shared" si="7"/>
        <v>8.67</v>
      </c>
      <c r="J75" s="25"/>
    </row>
    <row r="76" spans="1:10">
      <c r="A76" s="833"/>
      <c r="B76" s="836" t="s">
        <v>156</v>
      </c>
      <c r="C76" s="836"/>
      <c r="D76" s="836"/>
      <c r="E76" s="32">
        <f>'DADOS DO LICITANTE'!E58</f>
        <v>1</v>
      </c>
      <c r="F76" s="878"/>
      <c r="G76" s="866"/>
      <c r="H76" s="866"/>
      <c r="I76" s="866"/>
    </row>
    <row r="77" spans="1:10">
      <c r="A77" s="832" t="s">
        <v>2</v>
      </c>
      <c r="B77" s="846" t="s">
        <v>157</v>
      </c>
      <c r="C77" s="846"/>
      <c r="D77" s="29" t="s">
        <v>158</v>
      </c>
      <c r="E77" s="32">
        <f>'DADOS DO LICITANTE'!E59</f>
        <v>5</v>
      </c>
      <c r="F77" s="878">
        <f>'DADOS DO LICITANTE'!G59</f>
        <v>2.0533880903490757E-4</v>
      </c>
      <c r="G77" s="866">
        <f>ROUND($F$77*($G$27+$G$34+$G$46+G59-G52-G53+G68+G74),2)</f>
        <v>0.65</v>
      </c>
      <c r="H77" s="866">
        <f t="shared" ref="H77:I77" si="8">ROUND($F$77*($G$27+$G$34+$G$46+H59-H52-H53+H68+H74),2)</f>
        <v>0.65</v>
      </c>
      <c r="I77" s="866">
        <f t="shared" si="8"/>
        <v>0.65</v>
      </c>
      <c r="J77" s="25"/>
    </row>
    <row r="78" spans="1:10">
      <c r="A78" s="833"/>
      <c r="B78" s="836" t="s">
        <v>148</v>
      </c>
      <c r="C78" s="836"/>
      <c r="D78" s="836"/>
      <c r="E78" s="28">
        <f>'DADOS DO LICITANTE'!F59</f>
        <v>1.4999999999999999E-2</v>
      </c>
      <c r="F78" s="878">
        <v>0.121</v>
      </c>
      <c r="G78" s="866"/>
      <c r="H78" s="866"/>
      <c r="I78" s="866"/>
    </row>
    <row r="79" spans="1:10">
      <c r="A79" s="832" t="s">
        <v>3</v>
      </c>
      <c r="B79" s="846" t="s">
        <v>159</v>
      </c>
      <c r="C79" s="846"/>
      <c r="D79" s="29" t="s">
        <v>160</v>
      </c>
      <c r="E79" s="32">
        <f>'DADOS DO LICITANTE'!E60</f>
        <v>0.97</v>
      </c>
      <c r="F79" s="878">
        <f>'DADOS DO LICITANTE'!G60</f>
        <v>2.6557152635181382E-3</v>
      </c>
      <c r="G79" s="866">
        <f>ROUND($F$79*($G$27+$G$34+$G$46+G59-G52-G53+G68+G74),2)</f>
        <v>8.41</v>
      </c>
      <c r="H79" s="866">
        <f t="shared" ref="H79:I79" si="9">ROUND($F$79*($G$27+$G$34+$G$46+H59-H52-H53+H68+H74),2)</f>
        <v>8.41</v>
      </c>
      <c r="I79" s="866">
        <f t="shared" si="9"/>
        <v>8.41</v>
      </c>
    </row>
    <row r="80" spans="1:10">
      <c r="A80" s="833"/>
      <c r="B80" s="846" t="s">
        <v>148</v>
      </c>
      <c r="C80" s="846"/>
      <c r="D80" s="846"/>
      <c r="E80" s="28">
        <f>'DADOS DO LICITANTE'!F60</f>
        <v>1</v>
      </c>
      <c r="F80" s="878"/>
      <c r="G80" s="866"/>
      <c r="H80" s="866"/>
      <c r="I80" s="866"/>
    </row>
    <row r="81" spans="1:9">
      <c r="A81" s="832" t="s">
        <v>5</v>
      </c>
      <c r="B81" s="846" t="s">
        <v>161</v>
      </c>
      <c r="C81" s="846"/>
      <c r="D81" s="29" t="s">
        <v>162</v>
      </c>
      <c r="E81" s="28">
        <f>'DADOS DO LICITANTE'!F61</f>
        <v>0.02</v>
      </c>
      <c r="F81" s="878">
        <f>'DADOS DO LICITANTE'!G61</f>
        <v>6.570841889117043E-3</v>
      </c>
      <c r="G81" s="866">
        <f>ROUND((($G$27*0.121)+($G$27*0.121)*$F$46)*$F$81+(($G$27*$F$45+$F$46*$G$32+G59+G68-G52-G53)*$F$81),2)</f>
        <v>5.19</v>
      </c>
      <c r="H81" s="866">
        <f t="shared" ref="H81:I81" si="10">ROUND((($G$27*0.121)+($G$27*0.121)*$F$46)*$F$81+(($G$27*$F$45+$F$46*$G$32+H59+H68-H52-H53)*$F$81),2)</f>
        <v>5.19</v>
      </c>
      <c r="I81" s="866">
        <f t="shared" si="10"/>
        <v>5.19</v>
      </c>
    </row>
    <row r="82" spans="1:9">
      <c r="A82" s="833"/>
      <c r="B82" s="890"/>
      <c r="C82" s="890"/>
      <c r="D82" s="581" t="s">
        <v>163</v>
      </c>
      <c r="E82" s="598">
        <v>4</v>
      </c>
      <c r="F82" s="878"/>
      <c r="G82" s="866"/>
      <c r="H82" s="866"/>
      <c r="I82" s="866"/>
    </row>
    <row r="83" spans="1:9">
      <c r="A83" s="96" t="s">
        <v>6</v>
      </c>
      <c r="B83" s="905" t="s">
        <v>236</v>
      </c>
      <c r="C83" s="906"/>
      <c r="D83" s="584" t="s">
        <v>158</v>
      </c>
      <c r="E83" s="584">
        <f>'DADOS DO LICITANTE'!E62</f>
        <v>3</v>
      </c>
      <c r="F83" s="597">
        <f>'DADOS DO LICITANTE'!G62</f>
        <v>8.2135523613963042E-3</v>
      </c>
      <c r="G83" s="98">
        <f>ROUND(($G$27+$G$34+$G$46+G59+G68-G52-G53+G74)*$F$83,2)</f>
        <v>26.02</v>
      </c>
      <c r="H83" s="98">
        <f t="shared" ref="H83:I83" si="11">ROUND(($G$27+$G$34+$G$46+H59+H68-H52-H53+H74)*$F$83,2)</f>
        <v>26.02</v>
      </c>
      <c r="I83" s="98">
        <f t="shared" si="11"/>
        <v>26.02</v>
      </c>
    </row>
    <row r="84" spans="1:9">
      <c r="A84" s="591" t="s">
        <v>17</v>
      </c>
      <c r="B84" s="907" t="str">
        <f>'DADOS DO LICITANTE'!C63</f>
        <v>Outros</v>
      </c>
      <c r="C84" s="907"/>
      <c r="D84" s="907"/>
      <c r="E84" s="907"/>
      <c r="F84" s="10">
        <f>'DADOS DO LICITANTE'!G63</f>
        <v>0</v>
      </c>
      <c r="G84" s="15">
        <f>ROUND(($G$27+$G$34+$G$46+G59+G68-G52-G53+G74)*$F$84,2)</f>
        <v>0</v>
      </c>
      <c r="H84" s="587">
        <f t="shared" ref="H84:I84" si="12">ROUND(($G$27+$G$34+$G$46+H59+H68-H52-H53+H74)*$F$84,2)</f>
        <v>0</v>
      </c>
      <c r="I84" s="587">
        <f t="shared" si="12"/>
        <v>0</v>
      </c>
    </row>
    <row r="85" spans="1:9" ht="13">
      <c r="A85" s="898" t="s">
        <v>9</v>
      </c>
      <c r="B85" s="898"/>
      <c r="C85" s="898"/>
      <c r="D85" s="898"/>
      <c r="E85" s="898"/>
      <c r="F85" s="898"/>
      <c r="G85" s="18">
        <f>ROUND(SUM(G74:G84),2)</f>
        <v>264.22000000000003</v>
      </c>
      <c r="H85" s="18">
        <f>ROUND(SUM(H74:H84),2)</f>
        <v>264.22000000000003</v>
      </c>
      <c r="I85" s="18">
        <f>ROUND(SUM(I74:I84),2)</f>
        <v>264.22000000000003</v>
      </c>
    </row>
    <row r="86" spans="1:9">
      <c r="A86" s="687"/>
      <c r="B86" s="687"/>
      <c r="C86" s="687"/>
      <c r="D86" s="687"/>
      <c r="E86" s="687"/>
      <c r="F86" s="687"/>
      <c r="G86" s="687"/>
      <c r="H86" s="8"/>
      <c r="I86" s="8"/>
    </row>
    <row r="87" spans="1:9" ht="13">
      <c r="A87" s="867" t="s">
        <v>164</v>
      </c>
      <c r="B87" s="867"/>
      <c r="C87" s="867"/>
      <c r="D87" s="867"/>
      <c r="E87" s="867"/>
      <c r="F87" s="867"/>
      <c r="G87" s="867"/>
      <c r="H87" s="867"/>
      <c r="I87" s="867"/>
    </row>
    <row r="88" spans="1:9" ht="13">
      <c r="A88" s="590"/>
      <c r="B88" s="871" t="s">
        <v>165</v>
      </c>
      <c r="C88" s="871"/>
      <c r="D88" s="871"/>
      <c r="E88" s="871"/>
      <c r="F88" s="871"/>
      <c r="G88" s="263" t="s">
        <v>8</v>
      </c>
      <c r="H88" s="263" t="s">
        <v>8</v>
      </c>
      <c r="I88" s="263" t="s">
        <v>8</v>
      </c>
    </row>
    <row r="89" spans="1:9">
      <c r="A89" s="591" t="s">
        <v>0</v>
      </c>
      <c r="B89" s="846" t="s">
        <v>166</v>
      </c>
      <c r="C89" s="846"/>
      <c r="D89" s="846"/>
      <c r="E89" s="846"/>
      <c r="F89" s="846"/>
      <c r="G89" s="39">
        <f>UNIFORMES!E11</f>
        <v>116.11416666666666</v>
      </c>
      <c r="H89" s="39">
        <f>UNIFORMES!E11</f>
        <v>116.11416666666666</v>
      </c>
      <c r="I89" s="39">
        <f>UNIFORMES!E11</f>
        <v>116.11416666666666</v>
      </c>
    </row>
    <row r="90" spans="1:9">
      <c r="A90" s="591" t="s">
        <v>1</v>
      </c>
      <c r="B90" s="846" t="s">
        <v>285</v>
      </c>
      <c r="C90" s="846"/>
      <c r="D90" s="846"/>
      <c r="E90" s="846"/>
      <c r="F90" s="846"/>
      <c r="G90" s="39">
        <f>ROUND(($G$27+$G$34+$G$46+G59+G68+G85+G89)*0.07,2)</f>
        <v>269.89</v>
      </c>
      <c r="H90" s="289">
        <f>ROUND(($G$27+$G$34+$G$46+H59+H68+H85+H89)*0.07,2)</f>
        <v>272.94</v>
      </c>
      <c r="I90" s="289">
        <f>ROUND(($G$27+$G$34+$G$46+I59+I68+I85+I89)*0.07,2)</f>
        <v>268.37</v>
      </c>
    </row>
    <row r="91" spans="1:9">
      <c r="A91" s="591" t="s">
        <v>2</v>
      </c>
      <c r="B91" s="903" t="s">
        <v>229</v>
      </c>
      <c r="C91" s="903"/>
      <c r="D91" s="903"/>
      <c r="E91" s="903"/>
      <c r="F91" s="903"/>
      <c r="G91" s="150">
        <f>'DADOS DO LICITANTE'!G69</f>
        <v>0</v>
      </c>
      <c r="H91" s="150">
        <f>'DADOS DO LICITANTE'!G69</f>
        <v>0</v>
      </c>
      <c r="I91" s="150">
        <f>'DADOS DO LICITANTE'!G69</f>
        <v>0</v>
      </c>
    </row>
    <row r="92" spans="1:9" ht="13">
      <c r="A92" s="591"/>
      <c r="B92" s="857" t="s">
        <v>167</v>
      </c>
      <c r="C92" s="857"/>
      <c r="D92" s="857"/>
      <c r="E92" s="857"/>
      <c r="F92" s="904"/>
      <c r="G92" s="265">
        <f t="shared" ref="G92:I92" si="13">G89+G90+G91</f>
        <v>386.00416666666666</v>
      </c>
      <c r="H92" s="265">
        <f t="shared" si="13"/>
        <v>389.05416666666667</v>
      </c>
      <c r="I92" s="265">
        <f t="shared" si="13"/>
        <v>384.48416666666668</v>
      </c>
    </row>
    <row r="93" spans="1:9">
      <c r="A93" s="8" t="s">
        <v>168</v>
      </c>
      <c r="B93" s="901" t="s">
        <v>169</v>
      </c>
      <c r="C93" s="901"/>
      <c r="D93" s="901"/>
      <c r="E93" s="901"/>
      <c r="F93" s="901"/>
      <c r="G93" s="901"/>
      <c r="H93" s="901"/>
      <c r="I93" s="901"/>
    </row>
    <row r="94" spans="1:9">
      <c r="A94" s="900"/>
      <c r="B94" s="900"/>
      <c r="C94" s="900"/>
      <c r="D94" s="900"/>
      <c r="E94" s="900"/>
      <c r="F94" s="900"/>
      <c r="G94" s="900"/>
      <c r="H94" s="900"/>
      <c r="I94" s="900"/>
    </row>
    <row r="95" spans="1:9" ht="13">
      <c r="A95" s="867" t="s">
        <v>170</v>
      </c>
      <c r="B95" s="867"/>
      <c r="C95" s="867"/>
      <c r="D95" s="867"/>
      <c r="E95" s="867"/>
      <c r="F95" s="867"/>
      <c r="G95" s="867"/>
      <c r="H95" s="867"/>
      <c r="I95" s="867"/>
    </row>
    <row r="96" spans="1:9" ht="13">
      <c r="A96" s="303" t="s">
        <v>0</v>
      </c>
      <c r="B96" s="902" t="s">
        <v>123</v>
      </c>
      <c r="C96" s="902"/>
      <c r="D96" s="902"/>
      <c r="E96" s="902"/>
      <c r="F96" s="902"/>
      <c r="G96" s="54">
        <f>$G$27</f>
        <v>1734.08</v>
      </c>
      <c r="H96" s="54">
        <f t="shared" ref="H96:I96" si="14">$G$27</f>
        <v>1734.08</v>
      </c>
      <c r="I96" s="54">
        <f t="shared" si="14"/>
        <v>1734.08</v>
      </c>
    </row>
    <row r="97" spans="1:9" ht="13">
      <c r="A97" s="304" t="s">
        <v>1</v>
      </c>
      <c r="B97" s="895" t="s">
        <v>130</v>
      </c>
      <c r="C97" s="895"/>
      <c r="D97" s="895"/>
      <c r="E97" s="895"/>
      <c r="F97" s="895"/>
      <c r="G97" s="56">
        <f>$G$34+$G$46+G59</f>
        <v>1617.04</v>
      </c>
      <c r="H97" s="56">
        <f>$G$34+$G$46+H59</f>
        <v>1660.49</v>
      </c>
      <c r="I97" s="56">
        <f>$G$34+$G$46+I59</f>
        <v>1595.31</v>
      </c>
    </row>
    <row r="98" spans="1:9" ht="13">
      <c r="A98" s="304" t="s">
        <v>2</v>
      </c>
      <c r="B98" s="891" t="s">
        <v>145</v>
      </c>
      <c r="C98" s="891"/>
      <c r="D98" s="891"/>
      <c r="E98" s="891"/>
      <c r="F98" s="891"/>
      <c r="G98" s="56">
        <f>G68</f>
        <v>124.18</v>
      </c>
      <c r="H98" s="56">
        <f>H68</f>
        <v>124.18</v>
      </c>
      <c r="I98" s="56">
        <f>I68</f>
        <v>124.18</v>
      </c>
    </row>
    <row r="99" spans="1:9" ht="13">
      <c r="A99" s="304" t="s">
        <v>3</v>
      </c>
      <c r="B99" s="891" t="s">
        <v>151</v>
      </c>
      <c r="C99" s="891"/>
      <c r="D99" s="891"/>
      <c r="E99" s="891"/>
      <c r="F99" s="891"/>
      <c r="G99" s="56">
        <f t="shared" ref="G99:I99" si="15">G85</f>
        <v>264.22000000000003</v>
      </c>
      <c r="H99" s="56">
        <f t="shared" si="15"/>
        <v>264.22000000000003</v>
      </c>
      <c r="I99" s="56">
        <f t="shared" si="15"/>
        <v>264.22000000000003</v>
      </c>
    </row>
    <row r="100" spans="1:9" ht="13">
      <c r="A100" s="304" t="s">
        <v>5</v>
      </c>
      <c r="B100" s="891" t="s">
        <v>164</v>
      </c>
      <c r="C100" s="891"/>
      <c r="D100" s="891"/>
      <c r="E100" s="891"/>
      <c r="F100" s="891"/>
      <c r="G100" s="56">
        <f t="shared" ref="G100:I100" si="16">G92</f>
        <v>386.00416666666666</v>
      </c>
      <c r="H100" s="56">
        <f t="shared" si="16"/>
        <v>389.05416666666667</v>
      </c>
      <c r="I100" s="56">
        <f t="shared" si="16"/>
        <v>384.48416666666668</v>
      </c>
    </row>
    <row r="101" spans="1:9" ht="13">
      <c r="A101" s="898" t="s">
        <v>9</v>
      </c>
      <c r="B101" s="898"/>
      <c r="C101" s="898"/>
      <c r="D101" s="898"/>
      <c r="E101" s="898"/>
      <c r="F101" s="899"/>
      <c r="G101" s="267">
        <f t="shared" ref="G101:I101" si="17">SUM(G96:G100)</f>
        <v>4125.5241666666661</v>
      </c>
      <c r="H101" s="267">
        <f t="shared" si="17"/>
        <v>4172.0241666666661</v>
      </c>
      <c r="I101" s="267">
        <f t="shared" si="17"/>
        <v>4102.274166666667</v>
      </c>
    </row>
    <row r="102" spans="1:9">
      <c r="A102" s="58"/>
      <c r="B102" s="900"/>
      <c r="C102" s="900"/>
      <c r="D102" s="900"/>
      <c r="E102" s="900"/>
      <c r="F102" s="900"/>
      <c r="G102" s="900"/>
      <c r="H102" s="900"/>
      <c r="I102" s="900"/>
    </row>
    <row r="103" spans="1:9" ht="13">
      <c r="A103" s="867" t="s">
        <v>171</v>
      </c>
      <c r="B103" s="867"/>
      <c r="C103" s="867"/>
      <c r="D103" s="867"/>
      <c r="E103" s="867"/>
      <c r="F103" s="867"/>
      <c r="G103" s="867"/>
      <c r="H103" s="867"/>
      <c r="I103" s="867"/>
    </row>
    <row r="104" spans="1:9" ht="13">
      <c r="A104" s="590" t="s">
        <v>418</v>
      </c>
      <c r="B104" s="871" t="s">
        <v>172</v>
      </c>
      <c r="C104" s="871"/>
      <c r="D104" s="871"/>
      <c r="E104" s="871"/>
      <c r="F104" s="590" t="s">
        <v>11</v>
      </c>
      <c r="G104" s="590" t="s">
        <v>8</v>
      </c>
      <c r="H104" s="590" t="s">
        <v>8</v>
      </c>
      <c r="I104" s="590" t="s">
        <v>8</v>
      </c>
    </row>
    <row r="105" spans="1:9">
      <c r="A105" s="591" t="s">
        <v>0</v>
      </c>
      <c r="B105" s="846" t="s">
        <v>173</v>
      </c>
      <c r="C105" s="846"/>
      <c r="D105" s="846"/>
      <c r="E105" s="846"/>
      <c r="F105" s="59">
        <f>'DADOS DO LICITANTE'!D74</f>
        <v>0.05</v>
      </c>
      <c r="G105" s="15">
        <f t="shared" ref="G105:I105" si="18">ROUND(G101*$F$105,2)</f>
        <v>206.28</v>
      </c>
      <c r="H105" s="15">
        <f t="shared" si="18"/>
        <v>208.6</v>
      </c>
      <c r="I105" s="15">
        <f t="shared" si="18"/>
        <v>205.11</v>
      </c>
    </row>
    <row r="106" spans="1:9">
      <c r="A106" s="591" t="s">
        <v>1</v>
      </c>
      <c r="B106" s="846" t="s">
        <v>25</v>
      </c>
      <c r="C106" s="846"/>
      <c r="D106" s="846"/>
      <c r="E106" s="846"/>
      <c r="F106" s="59">
        <f>'DADOS DO LICITANTE'!D75</f>
        <v>0.1</v>
      </c>
      <c r="G106" s="15">
        <f t="shared" ref="G106:I106" si="19">ROUND((G101+G105)*$F$106,2)</f>
        <v>433.18</v>
      </c>
      <c r="H106" s="15">
        <f t="shared" si="19"/>
        <v>438.06</v>
      </c>
      <c r="I106" s="15">
        <f t="shared" si="19"/>
        <v>430.74</v>
      </c>
    </row>
    <row r="107" spans="1:9">
      <c r="A107" s="591" t="s">
        <v>2</v>
      </c>
      <c r="B107" s="846" t="s">
        <v>26</v>
      </c>
      <c r="C107" s="846"/>
      <c r="D107" s="846"/>
      <c r="E107" s="846"/>
      <c r="F107" s="896">
        <f>SUM(E108:E111)</f>
        <v>8.6499999999999994E-2</v>
      </c>
      <c r="G107" s="866" t="s">
        <v>23</v>
      </c>
      <c r="H107" s="866">
        <f>((H101+H105+H106)/(1-$F$107))*$F$107</f>
        <v>456.28481709542052</v>
      </c>
      <c r="I107" s="866">
        <f>((I101+I105+I106)/(1-$F$107))*$F$107</f>
        <v>448.65653028644402</v>
      </c>
    </row>
    <row r="108" spans="1:9">
      <c r="A108" s="897" t="s">
        <v>174</v>
      </c>
      <c r="B108" s="846" t="s">
        <v>175</v>
      </c>
      <c r="C108" s="846"/>
      <c r="D108" s="60" t="s">
        <v>176</v>
      </c>
      <c r="E108" s="61">
        <f>'DADOS DO LICITANTE'!D78</f>
        <v>6.4999999999999997E-3</v>
      </c>
      <c r="F108" s="896"/>
      <c r="G108" s="866"/>
      <c r="H108" s="866"/>
      <c r="I108" s="866"/>
    </row>
    <row r="109" spans="1:9">
      <c r="A109" s="833"/>
      <c r="B109" s="846"/>
      <c r="C109" s="846"/>
      <c r="D109" s="60" t="s">
        <v>177</v>
      </c>
      <c r="E109" s="61">
        <f>'DADOS DO LICITANTE'!D79</f>
        <v>0.03</v>
      </c>
      <c r="F109" s="896"/>
      <c r="G109" s="866"/>
      <c r="H109" s="866"/>
      <c r="I109" s="866"/>
    </row>
    <row r="110" spans="1:9">
      <c r="A110" s="591" t="s">
        <v>178</v>
      </c>
      <c r="B110" s="846" t="s">
        <v>179</v>
      </c>
      <c r="C110" s="846"/>
      <c r="D110" s="846"/>
      <c r="E110" s="28">
        <f>'DADOS DO LICITANTE'!D84</f>
        <v>0</v>
      </c>
      <c r="F110" s="896"/>
      <c r="G110" s="866"/>
      <c r="H110" s="866"/>
      <c r="I110" s="866"/>
    </row>
    <row r="111" spans="1:9">
      <c r="A111" s="897" t="s">
        <v>180</v>
      </c>
      <c r="B111" s="846" t="s">
        <v>181</v>
      </c>
      <c r="C111" s="846"/>
      <c r="D111" s="62" t="s">
        <v>286</v>
      </c>
      <c r="E111" s="63">
        <f>'DADOS DO LICITANTE'!D80</f>
        <v>0.05</v>
      </c>
      <c r="F111" s="896"/>
      <c r="G111" s="866"/>
      <c r="H111" s="866"/>
      <c r="I111" s="866"/>
    </row>
    <row r="112" spans="1:9">
      <c r="A112" s="833"/>
      <c r="B112" s="846"/>
      <c r="C112" s="846"/>
      <c r="D112" s="62" t="s">
        <v>287</v>
      </c>
      <c r="E112" s="63">
        <f>'DADOS DO LICITANTE'!D83</f>
        <v>0.03</v>
      </c>
      <c r="F112" s="40">
        <f>E108+E109+E110+E112</f>
        <v>6.6500000000000004E-2</v>
      </c>
      <c r="G112" s="15">
        <f>((G101+G105+G106)/(1-$F$112))*$F$112</f>
        <v>339.44450678450272</v>
      </c>
      <c r="H112" s="15" t="s">
        <v>23</v>
      </c>
      <c r="I112" s="16" t="s">
        <v>23</v>
      </c>
    </row>
    <row r="113" spans="1:9" ht="13">
      <c r="A113" s="591"/>
      <c r="B113" s="892" t="s">
        <v>9</v>
      </c>
      <c r="C113" s="893"/>
      <c r="D113" s="893"/>
      <c r="E113" s="893"/>
      <c r="F113" s="894"/>
      <c r="G113" s="269">
        <f>SUM(G105:G112)</f>
        <v>978.9045067845027</v>
      </c>
      <c r="H113" s="269">
        <f>SUM(H105:H112)</f>
        <v>1102.9448170954206</v>
      </c>
      <c r="I113" s="269">
        <f>SUM(I105:I112)</f>
        <v>1084.5065302864441</v>
      </c>
    </row>
    <row r="114" spans="1:9">
      <c r="A114" s="687"/>
      <c r="B114" s="687"/>
      <c r="C114" s="687"/>
      <c r="D114" s="687"/>
      <c r="E114" s="687"/>
      <c r="F114" s="687"/>
      <c r="G114" s="687"/>
      <c r="H114" s="8"/>
      <c r="I114" s="8"/>
    </row>
    <row r="115" spans="1:9" ht="13">
      <c r="A115" s="867" t="s">
        <v>288</v>
      </c>
      <c r="B115" s="867"/>
      <c r="C115" s="867"/>
      <c r="D115" s="867"/>
      <c r="E115" s="867"/>
      <c r="F115" s="867"/>
      <c r="G115" s="867"/>
      <c r="H115" s="867"/>
      <c r="I115" s="867"/>
    </row>
    <row r="116" spans="1:9" ht="13">
      <c r="A116" s="871" t="s">
        <v>182</v>
      </c>
      <c r="B116" s="871"/>
      <c r="C116" s="871"/>
      <c r="D116" s="871"/>
      <c r="E116" s="871"/>
      <c r="F116" s="871"/>
      <c r="G116" s="51" t="s">
        <v>183</v>
      </c>
      <c r="H116" s="51" t="s">
        <v>183</v>
      </c>
      <c r="I116" s="51" t="s">
        <v>183</v>
      </c>
    </row>
    <row r="117" spans="1:9" ht="13">
      <c r="A117" s="591" t="s">
        <v>0</v>
      </c>
      <c r="B117" s="891" t="s">
        <v>123</v>
      </c>
      <c r="C117" s="891"/>
      <c r="D117" s="891"/>
      <c r="E117" s="891"/>
      <c r="F117" s="891"/>
      <c r="G117" s="39">
        <f t="shared" ref="G117:I121" si="20">G96</f>
        <v>1734.08</v>
      </c>
      <c r="H117" s="39">
        <f t="shared" si="20"/>
        <v>1734.08</v>
      </c>
      <c r="I117" s="39">
        <f t="shared" si="20"/>
        <v>1734.08</v>
      </c>
    </row>
    <row r="118" spans="1:9" ht="13">
      <c r="A118" s="591" t="s">
        <v>1</v>
      </c>
      <c r="B118" s="895" t="s">
        <v>130</v>
      </c>
      <c r="C118" s="895"/>
      <c r="D118" s="895"/>
      <c r="E118" s="895"/>
      <c r="F118" s="895"/>
      <c r="G118" s="39">
        <f t="shared" si="20"/>
        <v>1617.04</v>
      </c>
      <c r="H118" s="39">
        <f t="shared" si="20"/>
        <v>1660.49</v>
      </c>
      <c r="I118" s="39">
        <f t="shared" si="20"/>
        <v>1595.31</v>
      </c>
    </row>
    <row r="119" spans="1:9" ht="13">
      <c r="A119" s="591" t="s">
        <v>2</v>
      </c>
      <c r="B119" s="891" t="s">
        <v>145</v>
      </c>
      <c r="C119" s="891"/>
      <c r="D119" s="891"/>
      <c r="E119" s="891"/>
      <c r="F119" s="891"/>
      <c r="G119" s="39">
        <f t="shared" si="20"/>
        <v>124.18</v>
      </c>
      <c r="H119" s="39">
        <f t="shared" si="20"/>
        <v>124.18</v>
      </c>
      <c r="I119" s="39">
        <f t="shared" si="20"/>
        <v>124.18</v>
      </c>
    </row>
    <row r="120" spans="1:9" ht="13">
      <c r="A120" s="591" t="s">
        <v>3</v>
      </c>
      <c r="B120" s="891" t="s">
        <v>151</v>
      </c>
      <c r="C120" s="891"/>
      <c r="D120" s="891"/>
      <c r="E120" s="891"/>
      <c r="F120" s="891"/>
      <c r="G120" s="39">
        <f t="shared" si="20"/>
        <v>264.22000000000003</v>
      </c>
      <c r="H120" s="39">
        <f t="shared" si="20"/>
        <v>264.22000000000003</v>
      </c>
      <c r="I120" s="39">
        <f t="shared" si="20"/>
        <v>264.22000000000003</v>
      </c>
    </row>
    <row r="121" spans="1:9" ht="13">
      <c r="A121" s="591" t="s">
        <v>5</v>
      </c>
      <c r="B121" s="891" t="s">
        <v>164</v>
      </c>
      <c r="C121" s="891"/>
      <c r="D121" s="891"/>
      <c r="E121" s="891"/>
      <c r="F121" s="891"/>
      <c r="G121" s="39">
        <f t="shared" si="20"/>
        <v>386.00416666666666</v>
      </c>
      <c r="H121" s="39">
        <f t="shared" si="20"/>
        <v>389.05416666666667</v>
      </c>
      <c r="I121" s="39">
        <f t="shared" si="20"/>
        <v>384.48416666666668</v>
      </c>
    </row>
    <row r="122" spans="1:9" ht="13">
      <c r="A122" s="591" t="s">
        <v>6</v>
      </c>
      <c r="B122" s="891" t="s">
        <v>184</v>
      </c>
      <c r="C122" s="891"/>
      <c r="D122" s="891"/>
      <c r="E122" s="891"/>
      <c r="F122" s="891"/>
      <c r="G122" s="39">
        <f t="shared" ref="G122:I122" si="21">G113</f>
        <v>978.9045067845027</v>
      </c>
      <c r="H122" s="39">
        <f t="shared" si="21"/>
        <v>1102.9448170954206</v>
      </c>
      <c r="I122" s="39">
        <f t="shared" si="21"/>
        <v>1084.5065302864441</v>
      </c>
    </row>
    <row r="123" spans="1:9" ht="13">
      <c r="A123" s="591"/>
      <c r="B123" s="857" t="s">
        <v>185</v>
      </c>
      <c r="C123" s="857"/>
      <c r="D123" s="857"/>
      <c r="E123" s="857"/>
      <c r="F123" s="857"/>
      <c r="G123" s="64">
        <f t="shared" ref="G123:I123" si="22">SUM(G117:G122)</f>
        <v>5104.4286734511688</v>
      </c>
      <c r="H123" s="64">
        <f t="shared" si="22"/>
        <v>5274.9689837620863</v>
      </c>
      <c r="I123" s="64">
        <f t="shared" si="22"/>
        <v>5186.7806969531111</v>
      </c>
    </row>
    <row r="124" spans="1:9">
      <c r="A124" s="8"/>
      <c r="B124" s="8"/>
      <c r="C124" s="8"/>
      <c r="D124" s="8"/>
      <c r="E124" s="8"/>
      <c r="F124" s="8"/>
      <c r="G124" s="65" t="s">
        <v>271</v>
      </c>
      <c r="H124" s="66" t="s">
        <v>272</v>
      </c>
      <c r="I124" s="66" t="s">
        <v>276</v>
      </c>
    </row>
  </sheetData>
  <mergeCells count="160">
    <mergeCell ref="A87:I87"/>
    <mergeCell ref="B88:F88"/>
    <mergeCell ref="B89:F89"/>
    <mergeCell ref="B90:F90"/>
    <mergeCell ref="B91:F91"/>
    <mergeCell ref="B92:F92"/>
    <mergeCell ref="B83:C83"/>
    <mergeCell ref="B99:F99"/>
    <mergeCell ref="B100:F100"/>
    <mergeCell ref="B84:E84"/>
    <mergeCell ref="A85:F85"/>
    <mergeCell ref="A86:G86"/>
    <mergeCell ref="A101:F101"/>
    <mergeCell ref="B102:I102"/>
    <mergeCell ref="A103:I103"/>
    <mergeCell ref="B104:E104"/>
    <mergeCell ref="B93:I93"/>
    <mergeCell ref="A94:I94"/>
    <mergeCell ref="A95:I95"/>
    <mergeCell ref="B96:F96"/>
    <mergeCell ref="B97:F97"/>
    <mergeCell ref="B98:F98"/>
    <mergeCell ref="B122:F122"/>
    <mergeCell ref="B123:F123"/>
    <mergeCell ref="B113:F113"/>
    <mergeCell ref="A114:G114"/>
    <mergeCell ref="A115:I115"/>
    <mergeCell ref="A116:F116"/>
    <mergeCell ref="B117:F117"/>
    <mergeCell ref="B118:F118"/>
    <mergeCell ref="B105:E105"/>
    <mergeCell ref="B106:E106"/>
    <mergeCell ref="B107:E107"/>
    <mergeCell ref="F107:F111"/>
    <mergeCell ref="G107:G111"/>
    <mergeCell ref="H107:H111"/>
    <mergeCell ref="A108:A109"/>
    <mergeCell ref="B108:C109"/>
    <mergeCell ref="B110:D110"/>
    <mergeCell ref="A111:A112"/>
    <mergeCell ref="B111:C112"/>
    <mergeCell ref="I107:I111"/>
    <mergeCell ref="B119:F119"/>
    <mergeCell ref="B120:F120"/>
    <mergeCell ref="B121:F121"/>
    <mergeCell ref="B81:C81"/>
    <mergeCell ref="F81:F82"/>
    <mergeCell ref="G81:G82"/>
    <mergeCell ref="H81:H82"/>
    <mergeCell ref="I81:I82"/>
    <mergeCell ref="B80:D80"/>
    <mergeCell ref="A79:A80"/>
    <mergeCell ref="B76:D76"/>
    <mergeCell ref="B77:C77"/>
    <mergeCell ref="F77:F78"/>
    <mergeCell ref="G77:G78"/>
    <mergeCell ref="H77:H78"/>
    <mergeCell ref="I75:I76"/>
    <mergeCell ref="B82:C82"/>
    <mergeCell ref="B78:D78"/>
    <mergeCell ref="B79:C79"/>
    <mergeCell ref="F79:F80"/>
    <mergeCell ref="G79:G80"/>
    <mergeCell ref="H79:H80"/>
    <mergeCell ref="I79:I80"/>
    <mergeCell ref="I77:I78"/>
    <mergeCell ref="B75:E75"/>
    <mergeCell ref="F75:F76"/>
    <mergeCell ref="G75:G76"/>
    <mergeCell ref="H75:H76"/>
    <mergeCell ref="A69:I69"/>
    <mergeCell ref="A70:G70"/>
    <mergeCell ref="A71:I71"/>
    <mergeCell ref="A72:I72"/>
    <mergeCell ref="B74:E74"/>
    <mergeCell ref="B73:F73"/>
    <mergeCell ref="B63:C63"/>
    <mergeCell ref="B58:F58"/>
    <mergeCell ref="B59:F59"/>
    <mergeCell ref="B60:G60"/>
    <mergeCell ref="A61:I61"/>
    <mergeCell ref="A62:A63"/>
    <mergeCell ref="B62:D62"/>
    <mergeCell ref="F62:F63"/>
    <mergeCell ref="G62:G63"/>
    <mergeCell ref="H62:H63"/>
    <mergeCell ref="I62:I63"/>
    <mergeCell ref="B64:F64"/>
    <mergeCell ref="B65:C65"/>
    <mergeCell ref="B66:F66"/>
    <mergeCell ref="B67:E67"/>
    <mergeCell ref="B68:F68"/>
    <mergeCell ref="A75:A76"/>
    <mergeCell ref="B52:F52"/>
    <mergeCell ref="B53:F53"/>
    <mergeCell ref="B54:F54"/>
    <mergeCell ref="B55:F55"/>
    <mergeCell ref="B56:F56"/>
    <mergeCell ref="B57:F57"/>
    <mergeCell ref="B43:E43"/>
    <mergeCell ref="B45:E45"/>
    <mergeCell ref="B46:E46"/>
    <mergeCell ref="B47:G47"/>
    <mergeCell ref="A50:I50"/>
    <mergeCell ref="B51:F51"/>
    <mergeCell ref="B37:E37"/>
    <mergeCell ref="B38:E38"/>
    <mergeCell ref="B39:E39"/>
    <mergeCell ref="B40:E40"/>
    <mergeCell ref="B41:E41"/>
    <mergeCell ref="B42:E42"/>
    <mergeCell ref="A30:G30"/>
    <mergeCell ref="B31:F31"/>
    <mergeCell ref="B32:E32"/>
    <mergeCell ref="B33:E33"/>
    <mergeCell ref="B34:E34"/>
    <mergeCell ref="A36:G36"/>
    <mergeCell ref="B26:F26"/>
    <mergeCell ref="B27:F27"/>
    <mergeCell ref="A28:G28"/>
    <mergeCell ref="A29:G29"/>
    <mergeCell ref="B19:E19"/>
    <mergeCell ref="F19:G19"/>
    <mergeCell ref="A20:G20"/>
    <mergeCell ref="A21:G21"/>
    <mergeCell ref="B22:F22"/>
    <mergeCell ref="B23:D23"/>
    <mergeCell ref="F16:G16"/>
    <mergeCell ref="B17:E17"/>
    <mergeCell ref="F17:G17"/>
    <mergeCell ref="B12:E12"/>
    <mergeCell ref="F12:G12"/>
    <mergeCell ref="A13:G13"/>
    <mergeCell ref="A14:G14"/>
    <mergeCell ref="B24:F24"/>
    <mergeCell ref="B25:E25"/>
    <mergeCell ref="A77:A78"/>
    <mergeCell ref="A81:A82"/>
    <mergeCell ref="A1:G1"/>
    <mergeCell ref="A2:G2"/>
    <mergeCell ref="B3:D3"/>
    <mergeCell ref="E3:G3"/>
    <mergeCell ref="A4:B4"/>
    <mergeCell ref="C4:D4"/>
    <mergeCell ref="B8:E8"/>
    <mergeCell ref="F8:G8"/>
    <mergeCell ref="B9:E9"/>
    <mergeCell ref="F9:G9"/>
    <mergeCell ref="B18:E18"/>
    <mergeCell ref="F18:G18"/>
    <mergeCell ref="A10:A11"/>
    <mergeCell ref="B10:E11"/>
    <mergeCell ref="F10:G11"/>
    <mergeCell ref="A5:B5"/>
    <mergeCell ref="C5:D5"/>
    <mergeCell ref="F5:G5"/>
    <mergeCell ref="A6:G6"/>
    <mergeCell ref="A7:G7"/>
    <mergeCell ref="A15:G15"/>
    <mergeCell ref="B16:E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/>
  <dimension ref="A1:K134"/>
  <sheetViews>
    <sheetView showGridLines="0" zoomScale="91" zoomScaleNormal="91" workbookViewId="0">
      <selection activeCell="C4" sqref="C4:D4"/>
    </sheetView>
  </sheetViews>
  <sheetFormatPr defaultRowHeight="12.5"/>
  <cols>
    <col min="2" max="2" width="23.1796875" customWidth="1"/>
    <col min="3" max="3" width="17.1796875" customWidth="1"/>
    <col min="4" max="4" width="22.81640625" customWidth="1"/>
    <col min="5" max="5" width="13.81640625" customWidth="1"/>
    <col min="6" max="6" width="17.81640625" customWidth="1"/>
    <col min="7" max="10" width="16.54296875" customWidth="1"/>
    <col min="11" max="11" width="16.453125" customWidth="1"/>
  </cols>
  <sheetData>
    <row r="1" spans="1:11" ht="13">
      <c r="A1" s="834" t="s">
        <v>107</v>
      </c>
      <c r="B1" s="834"/>
      <c r="C1" s="834"/>
      <c r="D1" s="834"/>
      <c r="E1" s="834"/>
      <c r="F1" s="834"/>
      <c r="G1" s="834"/>
      <c r="H1" s="8"/>
      <c r="I1" s="8"/>
      <c r="J1" s="8"/>
      <c r="K1" s="8"/>
    </row>
    <row r="2" spans="1:11" ht="13">
      <c r="A2" s="835" t="s">
        <v>108</v>
      </c>
      <c r="B2" s="835"/>
      <c r="C2" s="835"/>
      <c r="D2" s="835"/>
      <c r="E2" s="835"/>
      <c r="F2" s="835"/>
      <c r="G2" s="835"/>
      <c r="H2" s="8"/>
      <c r="I2" s="8"/>
      <c r="J2" s="8"/>
      <c r="K2" s="8"/>
    </row>
    <row r="3" spans="1:11">
      <c r="A3" s="29"/>
      <c r="B3" s="836" t="s">
        <v>109</v>
      </c>
      <c r="C3" s="836"/>
      <c r="D3" s="836"/>
      <c r="E3" s="837" t="str">
        <f>'DADOS DO LICITANTE'!H3</f>
        <v>13843.720002/2024-24</v>
      </c>
      <c r="F3" s="837"/>
      <c r="G3" s="890"/>
      <c r="H3" s="8"/>
      <c r="I3" s="8"/>
      <c r="J3" s="8"/>
      <c r="K3" s="8"/>
    </row>
    <row r="4" spans="1:11">
      <c r="A4" s="837" t="s">
        <v>110</v>
      </c>
      <c r="B4" s="837"/>
      <c r="C4" s="837" t="str">
        <f>'DADOS DO LICITANTE'!A1</f>
        <v>PREGÃO DRF/SJC Nº 01/2024</v>
      </c>
      <c r="D4" s="837"/>
      <c r="E4" s="31"/>
      <c r="F4" s="256">
        <f>'DADOS DO LICITANTE'!D3</f>
        <v>45428</v>
      </c>
      <c r="G4" s="71" t="str">
        <f>'DADOS DO LICITANTE'!F3</f>
        <v>09h30min</v>
      </c>
      <c r="H4" s="8"/>
      <c r="I4" s="8"/>
      <c r="J4" s="8"/>
      <c r="K4" s="8"/>
    </row>
    <row r="5" spans="1:11">
      <c r="A5" s="837" t="s">
        <v>111</v>
      </c>
      <c r="B5" s="837"/>
      <c r="C5" s="846">
        <f>'DADOS DO LICITANTE'!C4</f>
        <v>0</v>
      </c>
      <c r="D5" s="846"/>
      <c r="E5" s="29" t="s">
        <v>112</v>
      </c>
      <c r="F5" s="847">
        <f>'DADOS DO LICITANTE'!B5</f>
        <v>0</v>
      </c>
      <c r="G5" s="911"/>
      <c r="H5" s="8"/>
      <c r="I5" s="8"/>
      <c r="J5" s="8"/>
      <c r="K5" s="8"/>
    </row>
    <row r="6" spans="1:11" ht="13">
      <c r="A6" s="849"/>
      <c r="B6" s="849"/>
      <c r="C6" s="849"/>
      <c r="D6" s="849"/>
      <c r="E6" s="849"/>
      <c r="F6" s="849"/>
      <c r="G6" s="849"/>
      <c r="H6" s="8"/>
      <c r="I6" s="8"/>
      <c r="J6" s="8"/>
      <c r="K6" s="8"/>
    </row>
    <row r="7" spans="1:11" ht="13">
      <c r="A7" s="850" t="s">
        <v>113</v>
      </c>
      <c r="B7" s="850"/>
      <c r="C7" s="850"/>
      <c r="D7" s="850"/>
      <c r="E7" s="850"/>
      <c r="F7" s="850"/>
      <c r="G7" s="850"/>
      <c r="H7" s="8"/>
      <c r="I7" s="8"/>
      <c r="J7" s="8"/>
      <c r="K7" s="8"/>
    </row>
    <row r="8" spans="1:11">
      <c r="A8" s="29" t="s">
        <v>0</v>
      </c>
      <c r="B8" s="837" t="s">
        <v>114</v>
      </c>
      <c r="C8" s="837"/>
      <c r="D8" s="837"/>
      <c r="E8" s="837"/>
      <c r="F8" s="910" t="str">
        <f>'DADOS DO LICITANTE'!H13</f>
        <v>xx/xx/2024</v>
      </c>
      <c r="G8" s="910"/>
      <c r="H8" s="8"/>
      <c r="I8" s="8"/>
      <c r="J8" s="8"/>
      <c r="K8" s="8"/>
    </row>
    <row r="9" spans="1:11">
      <c r="A9" s="29" t="s">
        <v>1</v>
      </c>
      <c r="B9" s="837" t="s">
        <v>115</v>
      </c>
      <c r="C9" s="837"/>
      <c r="D9" s="837"/>
      <c r="E9" s="837"/>
      <c r="F9" s="837" t="s">
        <v>228</v>
      </c>
      <c r="G9" s="837"/>
      <c r="H9" s="8"/>
      <c r="I9" s="8"/>
      <c r="J9" s="8"/>
      <c r="K9" s="8"/>
    </row>
    <row r="10" spans="1:11">
      <c r="A10" s="837" t="s">
        <v>2</v>
      </c>
      <c r="B10" s="844" t="s">
        <v>116</v>
      </c>
      <c r="C10" s="844"/>
      <c r="D10" s="844"/>
      <c r="E10" s="844"/>
      <c r="F10" s="845">
        <v>45292</v>
      </c>
      <c r="G10" s="845"/>
      <c r="H10" s="8"/>
      <c r="I10" s="8"/>
      <c r="J10" s="8"/>
      <c r="K10" s="8"/>
    </row>
    <row r="11" spans="1:11">
      <c r="A11" s="837"/>
      <c r="B11" s="844"/>
      <c r="C11" s="844"/>
      <c r="D11" s="844"/>
      <c r="E11" s="844"/>
      <c r="F11" s="845"/>
      <c r="G11" s="845"/>
      <c r="H11" s="8"/>
      <c r="I11" s="8"/>
      <c r="J11" s="8"/>
      <c r="K11" s="8"/>
    </row>
    <row r="12" spans="1:11">
      <c r="A12" s="29" t="s">
        <v>3</v>
      </c>
      <c r="B12" s="837" t="s">
        <v>117</v>
      </c>
      <c r="C12" s="837"/>
      <c r="D12" s="837"/>
      <c r="E12" s="837"/>
      <c r="F12" s="837">
        <v>12</v>
      </c>
      <c r="G12" s="837"/>
      <c r="H12" s="8"/>
      <c r="I12" s="8"/>
      <c r="J12" s="8"/>
      <c r="K12" s="8"/>
    </row>
    <row r="13" spans="1:11">
      <c r="A13" s="854"/>
      <c r="B13" s="854"/>
      <c r="C13" s="854"/>
      <c r="D13" s="854"/>
      <c r="E13" s="854"/>
      <c r="F13" s="854"/>
      <c r="G13" s="854"/>
      <c r="H13" s="8"/>
      <c r="I13" s="8"/>
      <c r="J13" s="8"/>
      <c r="K13" s="8"/>
    </row>
    <row r="14" spans="1:11">
      <c r="A14" s="855" t="s">
        <v>118</v>
      </c>
      <c r="B14" s="855"/>
      <c r="C14" s="855"/>
      <c r="D14" s="855"/>
      <c r="E14" s="855"/>
      <c r="F14" s="855"/>
      <c r="G14" s="855"/>
      <c r="H14" s="8"/>
      <c r="I14" s="8"/>
      <c r="J14" s="8"/>
      <c r="K14" s="8"/>
    </row>
    <row r="15" spans="1:11" ht="13">
      <c r="A15" s="835" t="s">
        <v>119</v>
      </c>
      <c r="B15" s="835"/>
      <c r="C15" s="835"/>
      <c r="D15" s="835"/>
      <c r="E15" s="835"/>
      <c r="F15" s="835"/>
      <c r="G15" s="835"/>
      <c r="H15" s="8"/>
      <c r="I15" s="8"/>
      <c r="J15" s="8"/>
      <c r="K15" s="8"/>
    </row>
    <row r="16" spans="1:11">
      <c r="A16" s="29">
        <v>1</v>
      </c>
      <c r="B16" s="846" t="s">
        <v>120</v>
      </c>
      <c r="C16" s="846"/>
      <c r="D16" s="846"/>
      <c r="E16" s="846"/>
      <c r="F16" s="844" t="s">
        <v>27</v>
      </c>
      <c r="G16" s="844"/>
      <c r="H16" s="8"/>
      <c r="I16" s="8"/>
      <c r="J16" s="8"/>
      <c r="K16" s="8"/>
    </row>
    <row r="17" spans="1:11" ht="13">
      <c r="A17" s="29">
        <v>2</v>
      </c>
      <c r="B17" s="846" t="s">
        <v>121</v>
      </c>
      <c r="C17" s="846"/>
      <c r="D17" s="846"/>
      <c r="E17" s="846"/>
      <c r="F17" s="912">
        <f>'DADOS DO LICITANTE'!D14</f>
        <v>1590</v>
      </c>
      <c r="G17" s="912"/>
      <c r="H17" s="8"/>
      <c r="I17" s="8"/>
      <c r="J17" s="8"/>
      <c r="K17" s="8"/>
    </row>
    <row r="18" spans="1:11">
      <c r="A18" s="609">
        <v>3</v>
      </c>
      <c r="B18" s="841" t="s">
        <v>4</v>
      </c>
      <c r="C18" s="841"/>
      <c r="D18" s="841"/>
      <c r="E18" s="841"/>
      <c r="F18" s="842" t="s">
        <v>186</v>
      </c>
      <c r="G18" s="842"/>
      <c r="H18" s="8"/>
      <c r="I18" s="8"/>
      <c r="J18" s="8"/>
      <c r="K18" s="8"/>
    </row>
    <row r="19" spans="1:11">
      <c r="A19" s="593">
        <v>4</v>
      </c>
      <c r="B19" s="884" t="s">
        <v>122</v>
      </c>
      <c r="C19" s="846"/>
      <c r="D19" s="846"/>
      <c r="E19" s="846"/>
      <c r="F19" s="913">
        <f>'DADOS DO LICITANTE'!E11</f>
        <v>45292</v>
      </c>
      <c r="G19" s="913"/>
      <c r="H19" s="8"/>
      <c r="I19" s="8"/>
      <c r="J19" s="8"/>
      <c r="K19" s="8"/>
    </row>
    <row r="20" spans="1:11">
      <c r="A20" s="680"/>
      <c r="B20" s="680"/>
      <c r="C20" s="680"/>
      <c r="D20" s="680"/>
      <c r="E20" s="680"/>
      <c r="F20" s="680"/>
      <c r="G20" s="680"/>
      <c r="H20" s="8"/>
      <c r="I20" s="8"/>
      <c r="J20" s="8"/>
      <c r="K20" s="8"/>
    </row>
    <row r="21" spans="1:11" ht="13">
      <c r="A21" s="914" t="s">
        <v>123</v>
      </c>
      <c r="B21" s="915"/>
      <c r="C21" s="915"/>
      <c r="D21" s="915"/>
      <c r="E21" s="915"/>
      <c r="F21" s="915"/>
      <c r="G21" s="916"/>
      <c r="H21" s="8"/>
      <c r="I21" s="8"/>
      <c r="J21" s="8"/>
    </row>
    <row r="22" spans="1:11" ht="13">
      <c r="A22" s="48">
        <v>1</v>
      </c>
      <c r="B22" s="871" t="s">
        <v>124</v>
      </c>
      <c r="C22" s="871"/>
      <c r="D22" s="871"/>
      <c r="E22" s="871"/>
      <c r="F22" s="871"/>
      <c r="G22" s="51" t="s">
        <v>289</v>
      </c>
      <c r="H22" s="8"/>
      <c r="I22" s="8"/>
      <c r="J22" s="8"/>
    </row>
    <row r="23" spans="1:11">
      <c r="A23" s="38" t="s">
        <v>0</v>
      </c>
      <c r="B23" s="846" t="s">
        <v>121</v>
      </c>
      <c r="C23" s="846"/>
      <c r="D23" s="846"/>
      <c r="E23" s="29"/>
      <c r="F23" s="29"/>
      <c r="G23" s="39">
        <f>F17</f>
        <v>1590</v>
      </c>
      <c r="H23" s="8"/>
      <c r="I23" s="8"/>
      <c r="J23" s="8"/>
    </row>
    <row r="24" spans="1:11">
      <c r="A24" s="38" t="s">
        <v>125</v>
      </c>
      <c r="B24" s="846" t="s">
        <v>126</v>
      </c>
      <c r="C24" s="846"/>
      <c r="D24" s="846"/>
      <c r="E24" s="846"/>
      <c r="F24" s="846"/>
      <c r="G24" s="39"/>
      <c r="H24" s="8"/>
      <c r="I24" s="8"/>
      <c r="J24" s="8"/>
    </row>
    <row r="25" spans="1:11">
      <c r="A25" s="38" t="s">
        <v>1</v>
      </c>
      <c r="B25" s="846" t="s">
        <v>415</v>
      </c>
      <c r="C25" s="846"/>
      <c r="D25" s="846"/>
      <c r="E25" s="846"/>
      <c r="F25" s="40">
        <v>0</v>
      </c>
      <c r="G25" s="39">
        <f>ROUND(G23*F25,2)</f>
        <v>0</v>
      </c>
      <c r="H25" s="8"/>
      <c r="I25" s="8"/>
      <c r="J25" s="8"/>
    </row>
    <row r="26" spans="1:11">
      <c r="A26" s="38" t="s">
        <v>2</v>
      </c>
      <c r="B26" s="856" t="s">
        <v>128</v>
      </c>
      <c r="C26" s="856"/>
      <c r="D26" s="856"/>
      <c r="E26" s="856"/>
      <c r="F26" s="856"/>
      <c r="G26" s="39"/>
      <c r="H26" s="8"/>
      <c r="I26" s="8"/>
      <c r="J26" s="8"/>
    </row>
    <row r="27" spans="1:11" ht="13">
      <c r="A27" s="38"/>
      <c r="B27" s="857" t="s">
        <v>129</v>
      </c>
      <c r="C27" s="857"/>
      <c r="D27" s="857"/>
      <c r="E27" s="857"/>
      <c r="F27" s="857"/>
      <c r="G27" s="41">
        <f>SUM(G23:G26)</f>
        <v>1590</v>
      </c>
      <c r="H27" s="8"/>
      <c r="I27" s="8"/>
      <c r="J27" s="8"/>
    </row>
    <row r="28" spans="1:11">
      <c r="A28" s="687"/>
      <c r="B28" s="687"/>
      <c r="C28" s="687"/>
      <c r="D28" s="687"/>
      <c r="E28" s="687"/>
      <c r="F28" s="687"/>
      <c r="G28" s="687"/>
      <c r="H28" s="8"/>
      <c r="I28" s="8"/>
      <c r="J28" s="8"/>
    </row>
    <row r="29" spans="1:11" ht="13">
      <c r="A29" s="914" t="s">
        <v>130</v>
      </c>
      <c r="B29" s="915"/>
      <c r="C29" s="915"/>
      <c r="D29" s="915"/>
      <c r="E29" s="915"/>
      <c r="F29" s="915"/>
      <c r="G29" s="916"/>
      <c r="H29" s="8"/>
      <c r="I29" s="8"/>
      <c r="J29" s="8"/>
    </row>
    <row r="30" spans="1:11">
      <c r="A30" s="931" t="s">
        <v>131</v>
      </c>
      <c r="B30" s="932"/>
      <c r="C30" s="932"/>
      <c r="D30" s="932"/>
      <c r="E30" s="932"/>
      <c r="F30" s="932"/>
      <c r="G30" s="933"/>
      <c r="H30" s="8"/>
      <c r="I30" s="8"/>
      <c r="J30" s="8"/>
    </row>
    <row r="31" spans="1:11" ht="13">
      <c r="A31" s="48" t="s">
        <v>7</v>
      </c>
      <c r="B31" s="871" t="s">
        <v>132</v>
      </c>
      <c r="C31" s="871"/>
      <c r="D31" s="871"/>
      <c r="E31" s="871"/>
      <c r="F31" s="871"/>
      <c r="G31" s="51" t="s">
        <v>8</v>
      </c>
      <c r="H31" s="8"/>
      <c r="I31" s="8"/>
      <c r="J31" s="8"/>
    </row>
    <row r="32" spans="1:11">
      <c r="A32" s="38" t="s">
        <v>0</v>
      </c>
      <c r="B32" s="846" t="s">
        <v>132</v>
      </c>
      <c r="C32" s="846"/>
      <c r="D32" s="846"/>
      <c r="E32" s="846"/>
      <c r="F32" s="10">
        <v>8.3299999999999999E-2</v>
      </c>
      <c r="G32" s="15">
        <f>ROUND(F32*$G$27,2)</f>
        <v>132.44999999999999</v>
      </c>
      <c r="H32" s="8"/>
      <c r="I32" s="8"/>
      <c r="J32" s="8"/>
    </row>
    <row r="33" spans="1:11">
      <c r="A33" s="38" t="s">
        <v>1</v>
      </c>
      <c r="B33" s="846" t="s">
        <v>133</v>
      </c>
      <c r="C33" s="846"/>
      <c r="D33" s="846"/>
      <c r="E33" s="846"/>
      <c r="F33" s="152">
        <v>3.0249999999999999E-2</v>
      </c>
      <c r="G33" s="15">
        <f>ROUND(F33*$G$27,2)</f>
        <v>48.1</v>
      </c>
      <c r="H33" s="8"/>
      <c r="I33" s="8"/>
      <c r="J33" s="8"/>
    </row>
    <row r="34" spans="1:11" ht="13">
      <c r="A34" s="38"/>
      <c r="B34" s="857" t="s">
        <v>9</v>
      </c>
      <c r="C34" s="857"/>
      <c r="D34" s="857"/>
      <c r="E34" s="857"/>
      <c r="F34" s="43">
        <f>F32+F33</f>
        <v>0.11355</v>
      </c>
      <c r="G34" s="18">
        <f>SUM(G32:G33)</f>
        <v>180.54999999999998</v>
      </c>
      <c r="H34" s="8"/>
      <c r="I34" s="8"/>
      <c r="J34" s="8"/>
    </row>
    <row r="35" spans="1:11">
      <c r="A35" s="42"/>
      <c r="B35" s="42"/>
      <c r="C35" s="42"/>
      <c r="D35" s="42"/>
      <c r="E35" s="42"/>
      <c r="F35" s="42"/>
      <c r="G35" s="42"/>
      <c r="H35" s="8"/>
      <c r="I35" s="8"/>
      <c r="J35" s="8"/>
    </row>
    <row r="36" spans="1:11">
      <c r="A36" s="917" t="s">
        <v>134</v>
      </c>
      <c r="B36" s="918"/>
      <c r="C36" s="918"/>
      <c r="D36" s="918"/>
      <c r="E36" s="918"/>
      <c r="F36" s="918"/>
      <c r="G36" s="919"/>
      <c r="H36" s="8"/>
      <c r="I36" s="8"/>
      <c r="J36" s="8"/>
    </row>
    <row r="37" spans="1:11" ht="13">
      <c r="A37" s="48" t="s">
        <v>10</v>
      </c>
      <c r="B37" s="871" t="s">
        <v>135</v>
      </c>
      <c r="C37" s="871"/>
      <c r="D37" s="871"/>
      <c r="E37" s="871"/>
      <c r="F37" s="48" t="s">
        <v>136</v>
      </c>
      <c r="G37" s="51" t="s">
        <v>137</v>
      </c>
      <c r="H37" s="8"/>
      <c r="I37" s="8"/>
      <c r="J37" s="8"/>
    </row>
    <row r="38" spans="1:11">
      <c r="A38" s="38" t="s">
        <v>0</v>
      </c>
      <c r="B38" s="846" t="s">
        <v>12</v>
      </c>
      <c r="C38" s="846"/>
      <c r="D38" s="846"/>
      <c r="E38" s="846"/>
      <c r="F38" s="40">
        <v>0.2</v>
      </c>
      <c r="G38" s="67">
        <f t="shared" ref="G38:G46" si="0">ROUND(F38*($G$27+$G$34),2)</f>
        <v>354.11</v>
      </c>
      <c r="H38" s="8"/>
      <c r="I38" s="8"/>
      <c r="J38" s="8"/>
    </row>
    <row r="39" spans="1:11">
      <c r="A39" s="38" t="s">
        <v>1</v>
      </c>
      <c r="B39" s="846" t="s">
        <v>13</v>
      </c>
      <c r="C39" s="846"/>
      <c r="D39" s="846"/>
      <c r="E39" s="846"/>
      <c r="F39" s="40">
        <v>2.5000000000000001E-2</v>
      </c>
      <c r="G39" s="67">
        <f t="shared" si="0"/>
        <v>44.26</v>
      </c>
      <c r="H39" s="8"/>
      <c r="I39" s="8"/>
      <c r="J39" s="8"/>
    </row>
    <row r="40" spans="1:11">
      <c r="A40" s="38" t="s">
        <v>2</v>
      </c>
      <c r="B40" s="846" t="s">
        <v>14</v>
      </c>
      <c r="C40" s="846"/>
      <c r="D40" s="846"/>
      <c r="E40" s="846"/>
      <c r="F40" s="281">
        <v>1.4999999999999999E-2</v>
      </c>
      <c r="G40" s="67">
        <f t="shared" si="0"/>
        <v>26.56</v>
      </c>
      <c r="H40" s="8"/>
      <c r="I40" s="8"/>
      <c r="J40" s="8"/>
    </row>
    <row r="41" spans="1:11">
      <c r="A41" s="38" t="s">
        <v>3</v>
      </c>
      <c r="B41" s="846" t="s">
        <v>15</v>
      </c>
      <c r="C41" s="846"/>
      <c r="D41" s="846"/>
      <c r="E41" s="846"/>
      <c r="F41" s="281">
        <v>0.01</v>
      </c>
      <c r="G41" s="67">
        <f t="shared" si="0"/>
        <v>17.71</v>
      </c>
      <c r="H41" s="8"/>
      <c r="I41" s="8"/>
      <c r="J41" s="8"/>
    </row>
    <row r="42" spans="1:11">
      <c r="A42" s="38" t="s">
        <v>5</v>
      </c>
      <c r="B42" s="846" t="s">
        <v>16</v>
      </c>
      <c r="C42" s="846"/>
      <c r="D42" s="846"/>
      <c r="E42" s="846"/>
      <c r="F42" s="281">
        <v>6.000000000000001E-3</v>
      </c>
      <c r="G42" s="67">
        <f t="shared" si="0"/>
        <v>10.62</v>
      </c>
      <c r="H42" s="8"/>
      <c r="I42" s="8"/>
      <c r="J42" s="8"/>
    </row>
    <row r="43" spans="1:11">
      <c r="A43" s="38" t="s">
        <v>6</v>
      </c>
      <c r="B43" s="846" t="s">
        <v>18</v>
      </c>
      <c r="C43" s="846"/>
      <c r="D43" s="846"/>
      <c r="E43" s="846"/>
      <c r="F43" s="40">
        <v>2E-3</v>
      </c>
      <c r="G43" s="67">
        <f t="shared" si="0"/>
        <v>3.54</v>
      </c>
      <c r="H43" s="8"/>
      <c r="I43" s="8"/>
      <c r="J43" s="8"/>
    </row>
    <row r="44" spans="1:11">
      <c r="A44" s="38" t="s">
        <v>17</v>
      </c>
      <c r="B44" s="285" t="s">
        <v>138</v>
      </c>
      <c r="C44" s="28">
        <f>'DADOS DO LICITANTE'!B22</f>
        <v>0.03</v>
      </c>
      <c r="D44" s="30" t="s">
        <v>139</v>
      </c>
      <c r="E44" s="44">
        <f>'DADOS DO LICITANTE'!F22</f>
        <v>1</v>
      </c>
      <c r="F44" s="40">
        <f>C44*E44</f>
        <v>0.03</v>
      </c>
      <c r="G44" s="67">
        <f t="shared" si="0"/>
        <v>53.12</v>
      </c>
      <c r="H44" s="8"/>
      <c r="I44" s="8"/>
      <c r="J44" s="8"/>
    </row>
    <row r="45" spans="1:11">
      <c r="A45" s="38" t="s">
        <v>19</v>
      </c>
      <c r="B45" s="846" t="s">
        <v>20</v>
      </c>
      <c r="C45" s="846"/>
      <c r="D45" s="846"/>
      <c r="E45" s="846"/>
      <c r="F45" s="40">
        <v>0.08</v>
      </c>
      <c r="G45" s="67">
        <f t="shared" si="0"/>
        <v>141.63999999999999</v>
      </c>
      <c r="H45" s="8"/>
      <c r="I45" s="8"/>
      <c r="J45" s="8"/>
    </row>
    <row r="46" spans="1:11" ht="13">
      <c r="A46" s="38"/>
      <c r="B46" s="857" t="s">
        <v>9</v>
      </c>
      <c r="C46" s="857"/>
      <c r="D46" s="857"/>
      <c r="E46" s="857"/>
      <c r="F46" s="68">
        <f>SUM(F38:F45)</f>
        <v>0.36800000000000005</v>
      </c>
      <c r="G46" s="154">
        <f t="shared" si="0"/>
        <v>651.55999999999995</v>
      </c>
      <c r="H46" s="8"/>
      <c r="I46" s="8"/>
      <c r="J46" s="8"/>
    </row>
    <row r="47" spans="1:11">
      <c r="A47" s="8" t="s">
        <v>140</v>
      </c>
      <c r="B47" s="863" t="s">
        <v>141</v>
      </c>
      <c r="C47" s="863"/>
      <c r="D47" s="863"/>
      <c r="E47" s="863"/>
      <c r="F47" s="863"/>
      <c r="G47" s="863"/>
      <c r="H47" s="8"/>
      <c r="I47" s="8"/>
      <c r="J47" s="8"/>
      <c r="K47" s="8"/>
    </row>
    <row r="48" spans="1:11">
      <c r="A48" s="8"/>
      <c r="B48" s="45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42"/>
      <c r="B49" s="42"/>
      <c r="C49" s="42"/>
      <c r="D49" s="42"/>
      <c r="E49" s="42"/>
      <c r="F49" s="42"/>
      <c r="G49" s="46" t="s">
        <v>291</v>
      </c>
      <c r="H49" s="47" t="s">
        <v>290</v>
      </c>
      <c r="I49" s="47" t="s">
        <v>273</v>
      </c>
      <c r="J49" s="47" t="s">
        <v>276</v>
      </c>
      <c r="K49" s="47" t="s">
        <v>280</v>
      </c>
    </row>
    <row r="50" spans="1:11" ht="13">
      <c r="A50" s="864" t="s">
        <v>21</v>
      </c>
      <c r="B50" s="864"/>
      <c r="C50" s="864"/>
      <c r="D50" s="864"/>
      <c r="E50" s="864"/>
      <c r="F50" s="864"/>
      <c r="G50" s="864"/>
      <c r="H50" s="864"/>
      <c r="I50" s="864"/>
      <c r="J50" s="864"/>
      <c r="K50" s="864"/>
    </row>
    <row r="51" spans="1:11" ht="13">
      <c r="A51" s="48" t="s">
        <v>22</v>
      </c>
      <c r="B51" s="871" t="s">
        <v>142</v>
      </c>
      <c r="C51" s="871"/>
      <c r="D51" s="871"/>
      <c r="E51" s="871"/>
      <c r="F51" s="934"/>
      <c r="G51" s="69" t="s">
        <v>137</v>
      </c>
      <c r="H51" s="69" t="s">
        <v>137</v>
      </c>
      <c r="I51" s="69" t="s">
        <v>137</v>
      </c>
      <c r="J51" s="69" t="s">
        <v>137</v>
      </c>
      <c r="K51" s="69" t="s">
        <v>137</v>
      </c>
    </row>
    <row r="52" spans="1:11">
      <c r="A52" s="49" t="s">
        <v>0</v>
      </c>
      <c r="B52" s="846" t="s">
        <v>143</v>
      </c>
      <c r="C52" s="846"/>
      <c r="D52" s="846"/>
      <c r="E52" s="846"/>
      <c r="F52" s="846"/>
      <c r="G52" s="17">
        <f>'DADOS DO LICITANTE'!$J40</f>
        <v>130.55040000000002</v>
      </c>
      <c r="H52" s="17">
        <f>'DADOS DO LICITANTE'!$J41</f>
        <v>174.00240000000002</v>
      </c>
      <c r="I52" s="17">
        <f>'DADOS DO LICITANTE'!$K44</f>
        <v>160.01999999999998</v>
      </c>
      <c r="J52" s="17">
        <f>'DADOS DO LICITANTE'!K48</f>
        <v>196.95419999999996</v>
      </c>
      <c r="K52" s="17">
        <f>'DADOS DO LICITANTE'!$K49</f>
        <v>120.91319999999997</v>
      </c>
    </row>
    <row r="53" spans="1:11">
      <c r="A53" s="49" t="s">
        <v>1</v>
      </c>
      <c r="B53" s="846" t="s">
        <v>43</v>
      </c>
      <c r="C53" s="846"/>
      <c r="D53" s="846"/>
      <c r="E53" s="846"/>
      <c r="F53" s="846"/>
      <c r="G53" s="17">
        <f>'DADOS DO LICITANTE'!$I26</f>
        <v>400.84</v>
      </c>
      <c r="H53" s="17">
        <f>'DADOS DO LICITANTE'!$I26</f>
        <v>400.84</v>
      </c>
      <c r="I53" s="17">
        <f>'DADOS DO LICITANTE'!$I26</f>
        <v>400.84</v>
      </c>
      <c r="J53" s="17">
        <f>'DADOS DO LICITANTE'!$I26</f>
        <v>400.84</v>
      </c>
      <c r="K53" s="17">
        <f>'DADOS DO LICITANTE'!$I26</f>
        <v>400.84</v>
      </c>
    </row>
    <row r="54" spans="1:11">
      <c r="A54" s="49" t="s">
        <v>2</v>
      </c>
      <c r="B54" s="846" t="s">
        <v>53</v>
      </c>
      <c r="C54" s="846"/>
      <c r="D54" s="846"/>
      <c r="E54" s="846"/>
      <c r="F54" s="846"/>
      <c r="G54" s="17">
        <f>'DADOS DO LICITANTE'!$I33</f>
        <v>137.79</v>
      </c>
      <c r="H54" s="17">
        <f>'DADOS DO LICITANTE'!$I33</f>
        <v>137.79</v>
      </c>
      <c r="I54" s="17">
        <f>'DADOS DO LICITANTE'!$I33</f>
        <v>137.79</v>
      </c>
      <c r="J54" s="17">
        <f>'DADOS DO LICITANTE'!$I33</f>
        <v>137.79</v>
      </c>
      <c r="K54" s="17">
        <f>'DADOS DO LICITANTE'!$I33</f>
        <v>137.79</v>
      </c>
    </row>
    <row r="55" spans="1:11">
      <c r="A55" s="49" t="s">
        <v>3</v>
      </c>
      <c r="B55" s="846" t="s">
        <v>48</v>
      </c>
      <c r="C55" s="846"/>
      <c r="D55" s="846"/>
      <c r="E55" s="846"/>
      <c r="F55" s="846"/>
      <c r="G55" s="17">
        <f>'DADOS DO LICITANTE'!$I28</f>
        <v>0</v>
      </c>
      <c r="H55" s="17">
        <f>'DADOS DO LICITANTE'!$I28</f>
        <v>0</v>
      </c>
      <c r="I55" s="17">
        <f>'DADOS DO LICITANTE'!$I28</f>
        <v>0</v>
      </c>
      <c r="J55" s="17">
        <f>'DADOS DO LICITANTE'!$I28</f>
        <v>0</v>
      </c>
      <c r="K55" s="17">
        <f>'DADOS DO LICITANTE'!$I28</f>
        <v>0</v>
      </c>
    </row>
    <row r="56" spans="1:11">
      <c r="A56" s="49" t="s">
        <v>5</v>
      </c>
      <c r="B56" s="846" t="s">
        <v>50</v>
      </c>
      <c r="C56" s="846"/>
      <c r="D56" s="846"/>
      <c r="E56" s="846"/>
      <c r="F56" s="846"/>
      <c r="G56" s="17">
        <f>'DADOS DO LICITANTE'!$I30</f>
        <v>4.9419999999999999E-2</v>
      </c>
      <c r="H56" s="17">
        <f>'DADOS DO LICITANTE'!$I30</f>
        <v>4.9419999999999999E-2</v>
      </c>
      <c r="I56" s="17">
        <f>'DADOS DO LICITANTE'!$I30</f>
        <v>4.9419999999999999E-2</v>
      </c>
      <c r="J56" s="17">
        <f>'DADOS DO LICITANTE'!$I30</f>
        <v>4.9419999999999999E-2</v>
      </c>
      <c r="K56" s="17">
        <f>'DADOS DO LICITANTE'!$I30</f>
        <v>4.9419999999999999E-2</v>
      </c>
    </row>
    <row r="57" spans="1:11">
      <c r="A57" s="49" t="s">
        <v>6</v>
      </c>
      <c r="B57" s="846" t="s">
        <v>191</v>
      </c>
      <c r="C57" s="846"/>
      <c r="D57" s="846"/>
      <c r="E57" s="846"/>
      <c r="F57" s="846"/>
      <c r="G57" s="17">
        <f>'DADOS DO LICITANTE'!$I32</f>
        <v>33.65</v>
      </c>
      <c r="H57" s="17">
        <f>'DADOS DO LICITANTE'!$I32</f>
        <v>33.65</v>
      </c>
      <c r="I57" s="17">
        <f>'DADOS DO LICITANTE'!$I32</f>
        <v>33.65</v>
      </c>
      <c r="J57" s="17">
        <f>'DADOS DO LICITANTE'!$I32</f>
        <v>33.65</v>
      </c>
      <c r="K57" s="17">
        <f>'DADOS DO LICITANTE'!$I32</f>
        <v>33.65</v>
      </c>
    </row>
    <row r="58" spans="1:11">
      <c r="A58" s="49" t="s">
        <v>17</v>
      </c>
      <c r="B58" s="872" t="str">
        <f>'DADOS DO LICITANTE'!A34</f>
        <v>Benefício Social Sindical</v>
      </c>
      <c r="C58" s="873"/>
      <c r="D58" s="873"/>
      <c r="E58" s="873"/>
      <c r="F58" s="874"/>
      <c r="G58" s="17">
        <f>'DADOS DO LICITANTE'!$I35</f>
        <v>15.2</v>
      </c>
      <c r="H58" s="17">
        <f>'DADOS DO LICITANTE'!$I35</f>
        <v>15.2</v>
      </c>
      <c r="I58" s="17">
        <f>'DADOS DO LICITANTE'!$I35</f>
        <v>15.2</v>
      </c>
      <c r="J58" s="17">
        <f>'DADOS DO LICITANTE'!$I35</f>
        <v>15.2</v>
      </c>
      <c r="K58" s="17">
        <f>'DADOS DO LICITANTE'!$I35</f>
        <v>15.2</v>
      </c>
    </row>
    <row r="59" spans="1:11" ht="13">
      <c r="A59" s="38"/>
      <c r="B59" s="857" t="s">
        <v>144</v>
      </c>
      <c r="C59" s="857"/>
      <c r="D59" s="857"/>
      <c r="E59" s="857"/>
      <c r="F59" s="921"/>
      <c r="G59" s="21">
        <f t="shared" ref="G59:K59" si="1">ROUND(SUM(G52:G58),2)</f>
        <v>718.08</v>
      </c>
      <c r="H59" s="21">
        <f t="shared" si="1"/>
        <v>761.53</v>
      </c>
      <c r="I59" s="21">
        <f t="shared" si="1"/>
        <v>747.55</v>
      </c>
      <c r="J59" s="21">
        <f t="shared" si="1"/>
        <v>784.48</v>
      </c>
      <c r="K59" s="21">
        <f t="shared" si="1"/>
        <v>708.44</v>
      </c>
    </row>
    <row r="60" spans="1:11">
      <c r="A60" s="8"/>
      <c r="B60" s="687"/>
      <c r="C60" s="687"/>
      <c r="D60" s="687"/>
      <c r="E60" s="687"/>
      <c r="F60" s="687"/>
      <c r="G60" s="680"/>
      <c r="H60" s="8"/>
      <c r="I60" s="8"/>
      <c r="J60" s="8"/>
      <c r="K60" s="8"/>
    </row>
    <row r="61" spans="1:11" ht="13">
      <c r="A61" s="867" t="s">
        <v>145</v>
      </c>
      <c r="B61" s="867"/>
      <c r="C61" s="867"/>
      <c r="D61" s="867"/>
      <c r="E61" s="867"/>
      <c r="F61" s="867"/>
      <c r="G61" s="867"/>
      <c r="H61" s="867"/>
      <c r="I61" s="867"/>
      <c r="J61" s="867"/>
      <c r="K61" s="867"/>
    </row>
    <row r="62" spans="1:11">
      <c r="A62" s="875" t="s">
        <v>0</v>
      </c>
      <c r="B62" s="876" t="s">
        <v>146</v>
      </c>
      <c r="C62" s="876"/>
      <c r="D62" s="876"/>
      <c r="E62" s="50" t="s">
        <v>147</v>
      </c>
      <c r="F62" s="877">
        <f>E63/30/12*D63</f>
        <v>4.1666666666666666E-3</v>
      </c>
      <c r="G62" s="879">
        <f>ROUND(($G$27+$G$34)*$F$62,2)</f>
        <v>7.38</v>
      </c>
      <c r="H62" s="879">
        <f t="shared" ref="H62:K62" si="2">ROUND(($G$27+$G$34)*$F$62,2)</f>
        <v>7.38</v>
      </c>
      <c r="I62" s="879">
        <f t="shared" si="2"/>
        <v>7.38</v>
      </c>
      <c r="J62" s="879">
        <f t="shared" si="2"/>
        <v>7.38</v>
      </c>
      <c r="K62" s="879">
        <f t="shared" si="2"/>
        <v>7.38</v>
      </c>
    </row>
    <row r="63" spans="1:11">
      <c r="A63" s="833"/>
      <c r="B63" s="837" t="s">
        <v>148</v>
      </c>
      <c r="C63" s="837"/>
      <c r="D63" s="28">
        <f>'DADOS DO LICITANTE'!E52</f>
        <v>0.05</v>
      </c>
      <c r="E63" s="32">
        <v>30</v>
      </c>
      <c r="F63" s="878"/>
      <c r="G63" s="880"/>
      <c r="H63" s="880"/>
      <c r="I63" s="880"/>
      <c r="J63" s="880"/>
      <c r="K63" s="880"/>
    </row>
    <row r="64" spans="1:11">
      <c r="A64" s="49" t="s">
        <v>1</v>
      </c>
      <c r="B64" s="881" t="s">
        <v>149</v>
      </c>
      <c r="C64" s="882"/>
      <c r="D64" s="882"/>
      <c r="E64" s="882"/>
      <c r="F64" s="883"/>
      <c r="G64" s="39">
        <f>ROUND(G62*$F$45,2)</f>
        <v>0.59</v>
      </c>
      <c r="H64" s="580">
        <f t="shared" ref="H64:K64" si="3">ROUND(H62*$F$45,2)</f>
        <v>0.59</v>
      </c>
      <c r="I64" s="580">
        <f t="shared" si="3"/>
        <v>0.59</v>
      </c>
      <c r="J64" s="580">
        <f t="shared" si="3"/>
        <v>0.59</v>
      </c>
      <c r="K64" s="580">
        <f t="shared" si="3"/>
        <v>0.59</v>
      </c>
    </row>
    <row r="65" spans="1:11">
      <c r="A65" s="49" t="s">
        <v>2</v>
      </c>
      <c r="B65" s="862" t="s">
        <v>412</v>
      </c>
      <c r="C65" s="884"/>
      <c r="D65" s="577">
        <f>'DADOS DO LICITANTE'!E53</f>
        <v>1</v>
      </c>
      <c r="E65" s="576"/>
      <c r="F65" s="10">
        <f>7/30/12</f>
        <v>1.9444444444444445E-2</v>
      </c>
      <c r="G65" s="151">
        <f>ROUND($G$27*$F$65*$D$65,2)</f>
        <v>30.92</v>
      </c>
      <c r="H65" s="572">
        <f t="shared" ref="H65:K65" si="4">ROUND($G$27*$F$65*$D$65,2)</f>
        <v>30.92</v>
      </c>
      <c r="I65" s="572">
        <f t="shared" si="4"/>
        <v>30.92</v>
      </c>
      <c r="J65" s="572">
        <f t="shared" si="4"/>
        <v>30.92</v>
      </c>
      <c r="K65" s="572">
        <f t="shared" si="4"/>
        <v>30.92</v>
      </c>
    </row>
    <row r="66" spans="1:11">
      <c r="A66" s="49" t="s">
        <v>3</v>
      </c>
      <c r="B66" s="885" t="s">
        <v>150</v>
      </c>
      <c r="C66" s="886"/>
      <c r="D66" s="886"/>
      <c r="E66" s="886"/>
      <c r="F66" s="883"/>
      <c r="G66" s="573">
        <f>ROUND(G65*$F$46,2)</f>
        <v>11.38</v>
      </c>
      <c r="H66" s="573">
        <f t="shared" ref="H66:K66" si="5">ROUND(H65*$F$46,2)</f>
        <v>11.38</v>
      </c>
      <c r="I66" s="573">
        <f t="shared" si="5"/>
        <v>11.38</v>
      </c>
      <c r="J66" s="573">
        <f t="shared" si="5"/>
        <v>11.38</v>
      </c>
      <c r="K66" s="573">
        <f t="shared" si="5"/>
        <v>11.38</v>
      </c>
    </row>
    <row r="67" spans="1:11">
      <c r="A67" s="49" t="s">
        <v>5</v>
      </c>
      <c r="B67" s="841" t="s">
        <v>413</v>
      </c>
      <c r="C67" s="841"/>
      <c r="D67" s="841"/>
      <c r="E67" s="841"/>
      <c r="F67" s="575">
        <v>0.04</v>
      </c>
      <c r="G67" s="151">
        <f>ROUND($G$27*$F$67,2)</f>
        <v>63.6</v>
      </c>
      <c r="H67" s="572">
        <f t="shared" ref="H67:K67" si="6">ROUND(($G$27*$F$67),2)</f>
        <v>63.6</v>
      </c>
      <c r="I67" s="572">
        <f t="shared" si="6"/>
        <v>63.6</v>
      </c>
      <c r="J67" s="572">
        <f t="shared" si="6"/>
        <v>63.6</v>
      </c>
      <c r="K67" s="572">
        <f t="shared" si="6"/>
        <v>63.6</v>
      </c>
    </row>
    <row r="68" spans="1:11" ht="13">
      <c r="A68" s="38"/>
      <c r="B68" s="887" t="s">
        <v>9</v>
      </c>
      <c r="C68" s="888"/>
      <c r="D68" s="888"/>
      <c r="E68" s="888"/>
      <c r="F68" s="920"/>
      <c r="G68" s="41">
        <f t="shared" ref="G68:K68" si="7">ROUND(SUM(G62:G67),2)</f>
        <v>113.87</v>
      </c>
      <c r="H68" s="41">
        <f t="shared" si="7"/>
        <v>113.87</v>
      </c>
      <c r="I68" s="41">
        <f t="shared" si="7"/>
        <v>113.87</v>
      </c>
      <c r="J68" s="41">
        <f t="shared" si="7"/>
        <v>113.87</v>
      </c>
      <c r="K68" s="41">
        <f t="shared" si="7"/>
        <v>113.87</v>
      </c>
    </row>
    <row r="69" spans="1:11">
      <c r="A69" s="863" t="s">
        <v>414</v>
      </c>
      <c r="B69" s="863"/>
      <c r="C69" s="863"/>
      <c r="D69" s="863"/>
      <c r="E69" s="863"/>
      <c r="F69" s="863"/>
      <c r="G69" s="863"/>
      <c r="H69" s="863"/>
      <c r="I69" s="863"/>
      <c r="J69" s="863"/>
      <c r="K69" s="863"/>
    </row>
    <row r="70" spans="1:11">
      <c r="A70" s="680"/>
      <c r="B70" s="680"/>
      <c r="C70" s="680"/>
      <c r="D70" s="680"/>
      <c r="E70" s="680"/>
      <c r="F70" s="680"/>
      <c r="G70" s="680"/>
      <c r="H70" s="8"/>
      <c r="I70" s="8"/>
      <c r="J70" s="8"/>
      <c r="K70" s="8"/>
    </row>
    <row r="71" spans="1:11" ht="13">
      <c r="A71" s="867" t="s">
        <v>151</v>
      </c>
      <c r="B71" s="867"/>
      <c r="C71" s="867"/>
      <c r="D71" s="867"/>
      <c r="E71" s="867"/>
      <c r="F71" s="867"/>
      <c r="G71" s="867"/>
      <c r="H71" s="867"/>
      <c r="I71" s="867"/>
      <c r="J71" s="867"/>
      <c r="K71" s="867"/>
    </row>
    <row r="72" spans="1:11">
      <c r="A72" s="924" t="s">
        <v>152</v>
      </c>
      <c r="B72" s="924"/>
      <c r="C72" s="924"/>
      <c r="D72" s="924"/>
      <c r="E72" s="924"/>
      <c r="F72" s="924"/>
      <c r="G72" s="924"/>
      <c r="H72" s="924"/>
      <c r="I72" s="924"/>
      <c r="J72" s="924"/>
      <c r="K72" s="924"/>
    </row>
    <row r="73" spans="1:11" ht="13">
      <c r="A73" s="48"/>
      <c r="B73" s="871" t="s">
        <v>153</v>
      </c>
      <c r="C73" s="871"/>
      <c r="D73" s="871"/>
      <c r="E73" s="871"/>
      <c r="F73" s="871"/>
      <c r="G73" s="51" t="s">
        <v>137</v>
      </c>
      <c r="H73" s="51" t="s">
        <v>137</v>
      </c>
      <c r="I73" s="51" t="s">
        <v>137</v>
      </c>
      <c r="J73" s="51" t="s">
        <v>137</v>
      </c>
      <c r="K73" s="51" t="s">
        <v>137</v>
      </c>
    </row>
    <row r="74" spans="1:11" ht="12.5" customHeight="1">
      <c r="A74" s="591" t="s">
        <v>0</v>
      </c>
      <c r="B74" s="868" t="s">
        <v>154</v>
      </c>
      <c r="C74" s="869"/>
      <c r="D74" s="869"/>
      <c r="E74" s="870"/>
      <c r="F74" s="153">
        <v>9.0749999999999997E-2</v>
      </c>
      <c r="G74" s="15">
        <f>ROUND(($G$27*$F$74)+(($G$27*$F$74)*$F$46),2)</f>
        <v>197.39</v>
      </c>
      <c r="H74" s="578">
        <f t="shared" ref="H74:K74" si="8">ROUND(($G$27*$F$74)+(($G$27*$F$74)*$F$46),2)</f>
        <v>197.39</v>
      </c>
      <c r="I74" s="578">
        <f t="shared" si="8"/>
        <v>197.39</v>
      </c>
      <c r="J74" s="578">
        <f t="shared" si="8"/>
        <v>197.39</v>
      </c>
      <c r="K74" s="578">
        <f t="shared" si="8"/>
        <v>197.39</v>
      </c>
    </row>
    <row r="75" spans="1:11">
      <c r="A75" s="832" t="s">
        <v>1</v>
      </c>
      <c r="B75" s="846" t="s">
        <v>155</v>
      </c>
      <c r="C75" s="846"/>
      <c r="D75" s="846"/>
      <c r="E75" s="846"/>
      <c r="F75" s="878">
        <f>'DADOS DO LICITANTE'!G58</f>
        <v>2.7378507871321013E-3</v>
      </c>
      <c r="G75" s="866">
        <f>ROUND($F$75*($G$27+$G$34+$G$46+G59-G52-G53+G68+G74),2)</f>
        <v>7.99</v>
      </c>
      <c r="H75" s="866">
        <f t="shared" ref="H75:K75" si="9">ROUND($F$75*($G$27+$G$34+$G$46+H59-H52-H53+H68+H74),2)</f>
        <v>7.99</v>
      </c>
      <c r="I75" s="866">
        <f t="shared" si="9"/>
        <v>7.99</v>
      </c>
      <c r="J75" s="866">
        <f t="shared" si="9"/>
        <v>7.99</v>
      </c>
      <c r="K75" s="866">
        <f t="shared" si="9"/>
        <v>7.99</v>
      </c>
    </row>
    <row r="76" spans="1:11">
      <c r="A76" s="833"/>
      <c r="B76" s="836" t="s">
        <v>156</v>
      </c>
      <c r="C76" s="836"/>
      <c r="D76" s="836"/>
      <c r="E76" s="32">
        <f>'DADOS DO LICITANTE'!E58</f>
        <v>1</v>
      </c>
      <c r="F76" s="878"/>
      <c r="G76" s="866"/>
      <c r="H76" s="866"/>
      <c r="I76" s="866"/>
      <c r="J76" s="866"/>
      <c r="K76" s="866"/>
    </row>
    <row r="77" spans="1:11">
      <c r="A77" s="832" t="s">
        <v>2</v>
      </c>
      <c r="B77" s="846" t="s">
        <v>157</v>
      </c>
      <c r="C77" s="846"/>
      <c r="D77" s="29" t="s">
        <v>158</v>
      </c>
      <c r="E77" s="32">
        <f>'DADOS DO LICITANTE'!E59</f>
        <v>5</v>
      </c>
      <c r="F77" s="878">
        <f>'DADOS DO LICITANTE'!G59</f>
        <v>2.0533880903490757E-4</v>
      </c>
      <c r="G77" s="866">
        <f>ROUND($F$77*($G$27+$G$34+$G$46+G59-G52-G53+G68+G74),2)</f>
        <v>0.6</v>
      </c>
      <c r="H77" s="866">
        <f t="shared" ref="H77:K77" si="10">ROUND($F$77*($G$27+$G$34+$G$46+H59-H52-H53+H68+H74),2)</f>
        <v>0.6</v>
      </c>
      <c r="I77" s="866">
        <f t="shared" si="10"/>
        <v>0.6</v>
      </c>
      <c r="J77" s="866">
        <f t="shared" si="10"/>
        <v>0.6</v>
      </c>
      <c r="K77" s="866">
        <f t="shared" si="10"/>
        <v>0.6</v>
      </c>
    </row>
    <row r="78" spans="1:11">
      <c r="A78" s="833"/>
      <c r="B78" s="836" t="s">
        <v>148</v>
      </c>
      <c r="C78" s="836"/>
      <c r="D78" s="836"/>
      <c r="E78" s="28">
        <f>'DADOS DO LICITANTE'!F59</f>
        <v>1.4999999999999999E-2</v>
      </c>
      <c r="F78" s="878">
        <v>0.121</v>
      </c>
      <c r="G78" s="866"/>
      <c r="H78" s="866"/>
      <c r="I78" s="866"/>
      <c r="J78" s="866"/>
      <c r="K78" s="866"/>
    </row>
    <row r="79" spans="1:11">
      <c r="A79" s="832" t="s">
        <v>3</v>
      </c>
      <c r="B79" s="846" t="s">
        <v>159</v>
      </c>
      <c r="C79" s="846"/>
      <c r="D79" s="29" t="s">
        <v>160</v>
      </c>
      <c r="E79" s="32">
        <f>'DADOS DO LICITANTE'!E60</f>
        <v>0.97</v>
      </c>
      <c r="F79" s="878">
        <f>'DADOS DO LICITANTE'!G60</f>
        <v>2.6557152635181382E-3</v>
      </c>
      <c r="G79" s="866">
        <f>ROUND($F$79*($G$27+$G$34+$G$46+G59-G52-G53+G68+G74),2)</f>
        <v>7.75</v>
      </c>
      <c r="H79" s="866">
        <f t="shared" ref="H79:K79" si="11">ROUND($F$79*($G$27+$G$34+$G$46+H59-H52-H53+H68+H74),2)</f>
        <v>7.75</v>
      </c>
      <c r="I79" s="866">
        <f t="shared" si="11"/>
        <v>7.75</v>
      </c>
      <c r="J79" s="866">
        <f t="shared" si="11"/>
        <v>7.75</v>
      </c>
      <c r="K79" s="866">
        <f t="shared" si="11"/>
        <v>7.75</v>
      </c>
    </row>
    <row r="80" spans="1:11">
      <c r="A80" s="833"/>
      <c r="B80" s="836" t="s">
        <v>148</v>
      </c>
      <c r="C80" s="836"/>
      <c r="D80" s="836"/>
      <c r="E80" s="28">
        <f>'DADOS DO LICITANTE'!F60</f>
        <v>1</v>
      </c>
      <c r="F80" s="878"/>
      <c r="G80" s="866"/>
      <c r="H80" s="866"/>
      <c r="I80" s="866"/>
      <c r="J80" s="866"/>
      <c r="K80" s="866"/>
    </row>
    <row r="81" spans="1:11">
      <c r="A81" s="832" t="s">
        <v>5</v>
      </c>
      <c r="B81" s="846" t="s">
        <v>161</v>
      </c>
      <c r="C81" s="846"/>
      <c r="D81" s="29" t="s">
        <v>162</v>
      </c>
      <c r="E81" s="28">
        <f>'DADOS DO LICITANTE'!F61</f>
        <v>0.02</v>
      </c>
      <c r="F81" s="878">
        <f>'DADOS DO LICITANTE'!G61</f>
        <v>6.570841889117043E-3</v>
      </c>
      <c r="G81" s="866">
        <f>ROUND((($G$27*0.121)+($G$27*0.121)*$F$46)*$F$81+(($G$27*$F$45+$F$46*$G$32+G59+G68-G52-G53)*$F$81),2)</f>
        <v>4.8600000000000003</v>
      </c>
      <c r="H81" s="866">
        <f t="shared" ref="H81:K81" si="12">ROUND((($G$27*0.121)+($G$27*0.121)*$F$46)*$F$81+(($G$27*$F$45+$F$46*$G$32+H59+H68-H52-H53)*$F$81),2)</f>
        <v>4.8600000000000003</v>
      </c>
      <c r="I81" s="866">
        <f t="shared" si="12"/>
        <v>4.8600000000000003</v>
      </c>
      <c r="J81" s="866">
        <f t="shared" si="12"/>
        <v>4.8600000000000003</v>
      </c>
      <c r="K81" s="866">
        <f t="shared" si="12"/>
        <v>4.8600000000000003</v>
      </c>
    </row>
    <row r="82" spans="1:11">
      <c r="A82" s="833"/>
      <c r="B82" s="890"/>
      <c r="C82" s="890"/>
      <c r="D82" s="581" t="s">
        <v>163</v>
      </c>
      <c r="E82" s="32">
        <v>4</v>
      </c>
      <c r="F82" s="878"/>
      <c r="G82" s="866"/>
      <c r="H82" s="866"/>
      <c r="I82" s="866"/>
      <c r="J82" s="866"/>
      <c r="K82" s="866"/>
    </row>
    <row r="83" spans="1:11">
      <c r="A83" s="96" t="s">
        <v>6</v>
      </c>
      <c r="B83" s="841" t="s">
        <v>236</v>
      </c>
      <c r="C83" s="841"/>
      <c r="D83" s="584" t="s">
        <v>158</v>
      </c>
      <c r="E83" s="596">
        <f>'DADOS DO LICITANTE'!E62</f>
        <v>3</v>
      </c>
      <c r="F83" s="97">
        <f>'DADOS DO LICITANTE'!G62</f>
        <v>8.2135523613963042E-3</v>
      </c>
      <c r="G83" s="98">
        <f>ROUND($F$83*($G$27+$G$34+$G$46+G59-G52-G53+G68+G74),2)</f>
        <v>23.98</v>
      </c>
      <c r="H83" s="98">
        <f t="shared" ref="H83:K83" si="13">ROUND($F$83*($G$27+$G$34+$G$46+H59-H52-H53+H68+H74),2)</f>
        <v>23.98</v>
      </c>
      <c r="I83" s="98">
        <f t="shared" si="13"/>
        <v>23.98</v>
      </c>
      <c r="J83" s="98">
        <f t="shared" si="13"/>
        <v>23.98</v>
      </c>
      <c r="K83" s="98">
        <f t="shared" si="13"/>
        <v>23.98</v>
      </c>
    </row>
    <row r="84" spans="1:11">
      <c r="A84" s="591" t="s">
        <v>17</v>
      </c>
      <c r="B84" s="907" t="str">
        <f>'DADOS DO LICITANTE'!C63</f>
        <v>Outros</v>
      </c>
      <c r="C84" s="907"/>
      <c r="D84" s="907"/>
      <c r="E84" s="846"/>
      <c r="F84" s="10">
        <f>'DADOS DO LICITANTE'!G63</f>
        <v>0</v>
      </c>
      <c r="G84" s="15">
        <f>ROUND($F$84*($G$27+$G$34+$G$46+G59-G52-G53+G68+G74),2)</f>
        <v>0</v>
      </c>
      <c r="H84" s="587">
        <f t="shared" ref="H84:K84" si="14">ROUND($F$84*($G$27+$G$34+$G$46+H59-H52-H53+H68+H74),2)</f>
        <v>0</v>
      </c>
      <c r="I84" s="587">
        <f t="shared" si="14"/>
        <v>0</v>
      </c>
      <c r="J84" s="587">
        <f t="shared" si="14"/>
        <v>0</v>
      </c>
      <c r="K84" s="587">
        <f t="shared" si="14"/>
        <v>0</v>
      </c>
    </row>
    <row r="85" spans="1:11" ht="13">
      <c r="A85" s="898" t="s">
        <v>9</v>
      </c>
      <c r="B85" s="898"/>
      <c r="C85" s="898"/>
      <c r="D85" s="898"/>
      <c r="E85" s="898"/>
      <c r="F85" s="898"/>
      <c r="G85" s="18">
        <f>SUM(G74:G84)</f>
        <v>242.57</v>
      </c>
      <c r="H85" s="18">
        <f t="shared" ref="H85:K85" si="15">SUM(H74:H84)</f>
        <v>242.57</v>
      </c>
      <c r="I85" s="18">
        <f t="shared" si="15"/>
        <v>242.57</v>
      </c>
      <c r="J85" s="18">
        <f t="shared" si="15"/>
        <v>242.57</v>
      </c>
      <c r="K85" s="18">
        <f t="shared" si="15"/>
        <v>242.57</v>
      </c>
    </row>
    <row r="86" spans="1:11">
      <c r="A86" s="687"/>
      <c r="B86" s="687"/>
      <c r="C86" s="687"/>
      <c r="D86" s="687"/>
      <c r="E86" s="687"/>
      <c r="F86" s="687"/>
      <c r="G86" s="687"/>
      <c r="H86" s="8"/>
      <c r="I86" s="8"/>
      <c r="J86" s="8"/>
      <c r="K86" s="8"/>
    </row>
    <row r="87" spans="1:11" ht="13">
      <c r="A87" s="929" t="s">
        <v>164</v>
      </c>
      <c r="B87" s="930"/>
      <c r="C87" s="930"/>
      <c r="D87" s="930"/>
      <c r="E87" s="930"/>
      <c r="F87" s="930"/>
      <c r="G87" s="930"/>
      <c r="H87" s="930"/>
      <c r="I87" s="930"/>
      <c r="J87" s="930"/>
      <c r="K87" s="930"/>
    </row>
    <row r="88" spans="1:11" ht="13">
      <c r="A88" s="48"/>
      <c r="B88" s="871" t="s">
        <v>165</v>
      </c>
      <c r="C88" s="871"/>
      <c r="D88" s="871"/>
      <c r="E88" s="871"/>
      <c r="F88" s="871"/>
      <c r="G88" s="51" t="s">
        <v>8</v>
      </c>
      <c r="H88" s="51" t="s">
        <v>8</v>
      </c>
      <c r="I88" s="51" t="s">
        <v>8</v>
      </c>
      <c r="J88" s="51" t="s">
        <v>8</v>
      </c>
      <c r="K88" s="51" t="s">
        <v>8</v>
      </c>
    </row>
    <row r="89" spans="1:11">
      <c r="A89" s="38" t="s">
        <v>0</v>
      </c>
      <c r="B89" s="846" t="s">
        <v>166</v>
      </c>
      <c r="C89" s="846"/>
      <c r="D89" s="846"/>
      <c r="E89" s="846"/>
      <c r="F89" s="846"/>
      <c r="G89" s="39">
        <f>UNIFORMES!$E$11</f>
        <v>116.11416666666666</v>
      </c>
      <c r="H89" s="39">
        <f>UNIFORMES!$E$11</f>
        <v>116.11416666666666</v>
      </c>
      <c r="I89" s="39">
        <f>UNIFORMES!$E$11</f>
        <v>116.11416666666666</v>
      </c>
      <c r="J89" s="39">
        <f>UNIFORMES!$E$11</f>
        <v>116.11416666666666</v>
      </c>
      <c r="K89" s="39">
        <f>UNIFORMES!$E$11</f>
        <v>116.11416666666666</v>
      </c>
    </row>
    <row r="90" spans="1:11" ht="15" customHeight="1">
      <c r="A90" s="38" t="s">
        <v>1</v>
      </c>
      <c r="B90" s="846" t="s">
        <v>285</v>
      </c>
      <c r="C90" s="846"/>
      <c r="D90" s="846"/>
      <c r="E90" s="846"/>
      <c r="F90" s="846"/>
      <c r="G90" s="39">
        <f t="shared" ref="G90:J90" si="16">ROUND(($G$27+$G$34+$G$46+G59+G68+G85+G89)*0.07,2)</f>
        <v>252.89</v>
      </c>
      <c r="H90" s="289">
        <f t="shared" si="16"/>
        <v>255.93</v>
      </c>
      <c r="I90" s="289">
        <f t="shared" si="16"/>
        <v>254.95</v>
      </c>
      <c r="J90" s="289">
        <f t="shared" si="16"/>
        <v>257.54000000000002</v>
      </c>
      <c r="K90" s="289">
        <f>ROUND(($G$27+$G$34+$G$46+K59+K68+K85+K89)*0.1,2)</f>
        <v>360.31</v>
      </c>
    </row>
    <row r="91" spans="1:11">
      <c r="A91" s="38" t="s">
        <v>2</v>
      </c>
      <c r="B91" s="903" t="str">
        <f>'DADOS DO LICITANTE'!A69</f>
        <v>Outros (especificar)</v>
      </c>
      <c r="C91" s="903"/>
      <c r="D91" s="903"/>
      <c r="E91" s="903"/>
      <c r="F91" s="903"/>
      <c r="G91" s="150">
        <f>'DADOS DO LICITANTE'!G69</f>
        <v>0</v>
      </c>
      <c r="H91" s="150">
        <f>'DADOS DO LICITANTE'!G69</f>
        <v>0</v>
      </c>
      <c r="I91" s="150">
        <f>'DADOS DO LICITANTE'!G69</f>
        <v>0</v>
      </c>
      <c r="J91" s="150">
        <f>'DADOS DO LICITANTE'!G69</f>
        <v>0</v>
      </c>
      <c r="K91" s="150">
        <f>'DADOS DO LICITANTE'!G69</f>
        <v>0</v>
      </c>
    </row>
    <row r="92" spans="1:11" ht="13">
      <c r="A92" s="38"/>
      <c r="B92" s="857" t="s">
        <v>167</v>
      </c>
      <c r="C92" s="857"/>
      <c r="D92" s="857"/>
      <c r="E92" s="857"/>
      <c r="F92" s="857"/>
      <c r="G92" s="52">
        <f t="shared" ref="G92:K92" si="17">G89+G90+G91</f>
        <v>369.00416666666666</v>
      </c>
      <c r="H92" s="52">
        <f t="shared" si="17"/>
        <v>372.04416666666668</v>
      </c>
      <c r="I92" s="52">
        <f t="shared" si="17"/>
        <v>371.06416666666667</v>
      </c>
      <c r="J92" s="52">
        <f t="shared" si="17"/>
        <v>373.6541666666667</v>
      </c>
      <c r="K92" s="52">
        <f t="shared" si="17"/>
        <v>476.42416666666668</v>
      </c>
    </row>
    <row r="93" spans="1:11">
      <c r="A93" s="8" t="s">
        <v>168</v>
      </c>
      <c r="B93" s="901" t="s">
        <v>169</v>
      </c>
      <c r="C93" s="901"/>
      <c r="D93" s="901"/>
      <c r="E93" s="901"/>
      <c r="F93" s="901"/>
      <c r="G93" s="901"/>
      <c r="H93" s="901"/>
      <c r="I93" s="901"/>
      <c r="J93" s="901"/>
      <c r="K93" s="901"/>
    </row>
    <row r="94" spans="1:11">
      <c r="A94" s="900"/>
      <c r="B94" s="900"/>
      <c r="C94" s="900"/>
      <c r="D94" s="900"/>
      <c r="E94" s="900"/>
      <c r="F94" s="900"/>
      <c r="G94" s="900"/>
      <c r="H94" s="900"/>
      <c r="I94" s="900"/>
      <c r="J94" s="900"/>
      <c r="K94" s="900"/>
    </row>
    <row r="95" spans="1:11" ht="13">
      <c r="A95" s="929" t="s">
        <v>170</v>
      </c>
      <c r="B95" s="930"/>
      <c r="C95" s="930"/>
      <c r="D95" s="930"/>
      <c r="E95" s="930"/>
      <c r="F95" s="930"/>
      <c r="G95" s="930"/>
      <c r="H95" s="930"/>
      <c r="I95" s="930"/>
      <c r="J95" s="930"/>
      <c r="K95" s="930"/>
    </row>
    <row r="96" spans="1:11" ht="13">
      <c r="A96" s="303" t="s">
        <v>0</v>
      </c>
      <c r="B96" s="902" t="s">
        <v>123</v>
      </c>
      <c r="C96" s="902"/>
      <c r="D96" s="902"/>
      <c r="E96" s="902"/>
      <c r="F96" s="902"/>
      <c r="G96" s="54">
        <f>$G$27</f>
        <v>1590</v>
      </c>
      <c r="H96" s="54">
        <f t="shared" ref="H96:K96" si="18">$G$27</f>
        <v>1590</v>
      </c>
      <c r="I96" s="54">
        <f t="shared" si="18"/>
        <v>1590</v>
      </c>
      <c r="J96" s="54">
        <f t="shared" si="18"/>
        <v>1590</v>
      </c>
      <c r="K96" s="54">
        <f t="shared" si="18"/>
        <v>1590</v>
      </c>
    </row>
    <row r="97" spans="1:11" ht="13">
      <c r="A97" s="304" t="s">
        <v>1</v>
      </c>
      <c r="B97" s="895" t="s">
        <v>130</v>
      </c>
      <c r="C97" s="895"/>
      <c r="D97" s="895"/>
      <c r="E97" s="895"/>
      <c r="F97" s="895"/>
      <c r="G97" s="56">
        <f t="shared" ref="G97:K97" si="19">$G$34+$G$46+G59</f>
        <v>1550.19</v>
      </c>
      <c r="H97" s="56">
        <f t="shared" si="19"/>
        <v>1593.6399999999999</v>
      </c>
      <c r="I97" s="56">
        <f t="shared" si="19"/>
        <v>1579.6599999999999</v>
      </c>
      <c r="J97" s="56">
        <f t="shared" si="19"/>
        <v>1616.59</v>
      </c>
      <c r="K97" s="56">
        <f t="shared" si="19"/>
        <v>1540.55</v>
      </c>
    </row>
    <row r="98" spans="1:11" ht="13">
      <c r="A98" s="304" t="s">
        <v>2</v>
      </c>
      <c r="B98" s="891" t="s">
        <v>145</v>
      </c>
      <c r="C98" s="891"/>
      <c r="D98" s="891"/>
      <c r="E98" s="891"/>
      <c r="F98" s="891"/>
      <c r="G98" s="56">
        <f t="shared" ref="G98:K98" si="20">G68</f>
        <v>113.87</v>
      </c>
      <c r="H98" s="56">
        <f t="shared" si="20"/>
        <v>113.87</v>
      </c>
      <c r="I98" s="56">
        <f t="shared" si="20"/>
        <v>113.87</v>
      </c>
      <c r="J98" s="56">
        <f t="shared" si="20"/>
        <v>113.87</v>
      </c>
      <c r="K98" s="56">
        <f t="shared" si="20"/>
        <v>113.87</v>
      </c>
    </row>
    <row r="99" spans="1:11" ht="13">
      <c r="A99" s="304" t="s">
        <v>3</v>
      </c>
      <c r="B99" s="891" t="s">
        <v>151</v>
      </c>
      <c r="C99" s="891"/>
      <c r="D99" s="891"/>
      <c r="E99" s="891"/>
      <c r="F99" s="891"/>
      <c r="G99" s="56">
        <f t="shared" ref="G99:K99" si="21">G85</f>
        <v>242.57</v>
      </c>
      <c r="H99" s="56">
        <f t="shared" si="21"/>
        <v>242.57</v>
      </c>
      <c r="I99" s="56">
        <f t="shared" si="21"/>
        <v>242.57</v>
      </c>
      <c r="J99" s="56">
        <f t="shared" si="21"/>
        <v>242.57</v>
      </c>
      <c r="K99" s="56">
        <f t="shared" si="21"/>
        <v>242.57</v>
      </c>
    </row>
    <row r="100" spans="1:11" ht="13">
      <c r="A100" s="304" t="s">
        <v>5</v>
      </c>
      <c r="B100" s="891" t="s">
        <v>164</v>
      </c>
      <c r="C100" s="891"/>
      <c r="D100" s="891"/>
      <c r="E100" s="891"/>
      <c r="F100" s="891"/>
      <c r="G100" s="56">
        <f t="shared" ref="G100:K100" si="22">G92</f>
        <v>369.00416666666666</v>
      </c>
      <c r="H100" s="56">
        <f t="shared" si="22"/>
        <v>372.04416666666668</v>
      </c>
      <c r="I100" s="56">
        <f t="shared" si="22"/>
        <v>371.06416666666667</v>
      </c>
      <c r="J100" s="56">
        <f t="shared" si="22"/>
        <v>373.6541666666667</v>
      </c>
      <c r="K100" s="56">
        <f t="shared" si="22"/>
        <v>476.42416666666668</v>
      </c>
    </row>
    <row r="101" spans="1:11" ht="13">
      <c r="A101" s="898" t="s">
        <v>9</v>
      </c>
      <c r="B101" s="898"/>
      <c r="C101" s="898"/>
      <c r="D101" s="898"/>
      <c r="E101" s="898"/>
      <c r="F101" s="898"/>
      <c r="G101" s="57">
        <f t="shared" ref="G101:K101" si="23">SUM(G96:G100)</f>
        <v>3865.6341666666667</v>
      </c>
      <c r="H101" s="57">
        <f t="shared" si="23"/>
        <v>3912.1241666666665</v>
      </c>
      <c r="I101" s="57">
        <f t="shared" si="23"/>
        <v>3897.1641666666665</v>
      </c>
      <c r="J101" s="57">
        <f t="shared" si="23"/>
        <v>3936.6841666666669</v>
      </c>
      <c r="K101" s="57">
        <f t="shared" si="23"/>
        <v>3963.4141666666669</v>
      </c>
    </row>
    <row r="102" spans="1:11" ht="13" customHeight="1">
      <c r="A102" s="922"/>
      <c r="B102" s="923"/>
      <c r="C102" s="923"/>
      <c r="D102" s="923"/>
      <c r="E102" s="923"/>
      <c r="F102" s="923"/>
      <c r="G102" s="923"/>
      <c r="H102" s="923"/>
      <c r="I102" s="923"/>
      <c r="J102" s="923"/>
      <c r="K102" s="923"/>
    </row>
    <row r="103" spans="1:11">
      <c r="A103" s="58"/>
      <c r="B103" s="322"/>
      <c r="C103" s="322"/>
      <c r="D103" s="322"/>
      <c r="E103" s="322"/>
      <c r="F103" s="322"/>
      <c r="G103" s="46" t="s">
        <v>291</v>
      </c>
      <c r="H103" s="47" t="s">
        <v>290</v>
      </c>
      <c r="I103" s="47" t="s">
        <v>273</v>
      </c>
      <c r="J103" s="47" t="s">
        <v>276</v>
      </c>
      <c r="K103" s="47" t="s">
        <v>280</v>
      </c>
    </row>
    <row r="104" spans="1:11" ht="13">
      <c r="A104" s="867" t="s">
        <v>171</v>
      </c>
      <c r="B104" s="867"/>
      <c r="C104" s="867"/>
      <c r="D104" s="867"/>
      <c r="E104" s="867"/>
      <c r="F104" s="867"/>
      <c r="G104" s="867"/>
      <c r="H104" s="867"/>
      <c r="I104" s="867"/>
      <c r="J104" s="867"/>
      <c r="K104" s="867"/>
    </row>
    <row r="105" spans="1:11" ht="13">
      <c r="A105" s="48"/>
      <c r="B105" s="871" t="s">
        <v>172</v>
      </c>
      <c r="C105" s="871"/>
      <c r="D105" s="871"/>
      <c r="E105" s="871"/>
      <c r="F105" s="48" t="s">
        <v>11</v>
      </c>
      <c r="G105" s="48" t="s">
        <v>8</v>
      </c>
      <c r="H105" s="48" t="s">
        <v>8</v>
      </c>
      <c r="I105" s="48" t="s">
        <v>8</v>
      </c>
      <c r="J105" s="48" t="s">
        <v>8</v>
      </c>
      <c r="K105" s="48" t="s">
        <v>8</v>
      </c>
    </row>
    <row r="106" spans="1:11">
      <c r="A106" s="38" t="s">
        <v>0</v>
      </c>
      <c r="B106" s="846" t="s">
        <v>173</v>
      </c>
      <c r="C106" s="846"/>
      <c r="D106" s="846"/>
      <c r="E106" s="846"/>
      <c r="F106" s="59">
        <f>'DADOS DO LICITANTE'!D74</f>
        <v>0.05</v>
      </c>
      <c r="G106" s="15">
        <f t="shared" ref="G106:K106" si="24">ROUND(G101*$F$106,2)</f>
        <v>193.28</v>
      </c>
      <c r="H106" s="15">
        <f t="shared" si="24"/>
        <v>195.61</v>
      </c>
      <c r="I106" s="15">
        <f t="shared" si="24"/>
        <v>194.86</v>
      </c>
      <c r="J106" s="15">
        <f t="shared" si="24"/>
        <v>196.83</v>
      </c>
      <c r="K106" s="15">
        <f t="shared" si="24"/>
        <v>198.17</v>
      </c>
    </row>
    <row r="107" spans="1:11">
      <c r="A107" s="38" t="s">
        <v>1</v>
      </c>
      <c r="B107" s="846" t="s">
        <v>25</v>
      </c>
      <c r="C107" s="846"/>
      <c r="D107" s="846"/>
      <c r="E107" s="846"/>
      <c r="F107" s="59">
        <f>'DADOS DO LICITANTE'!D75</f>
        <v>0.1</v>
      </c>
      <c r="G107" s="15">
        <f t="shared" ref="G107:K107" si="25">ROUND((G101+G106)*$F$107,2)</f>
        <v>405.89</v>
      </c>
      <c r="H107" s="15">
        <f t="shared" si="25"/>
        <v>410.77</v>
      </c>
      <c r="I107" s="15">
        <f t="shared" si="25"/>
        <v>409.2</v>
      </c>
      <c r="J107" s="15">
        <f t="shared" si="25"/>
        <v>413.35</v>
      </c>
      <c r="K107" s="15">
        <f t="shared" si="25"/>
        <v>416.16</v>
      </c>
    </row>
    <row r="108" spans="1:11">
      <c r="A108" s="38" t="s">
        <v>2</v>
      </c>
      <c r="B108" s="846" t="s">
        <v>26</v>
      </c>
      <c r="C108" s="846"/>
      <c r="D108" s="846"/>
      <c r="E108" s="846"/>
      <c r="F108" s="896">
        <f>SUM(E109:E112)</f>
        <v>8.6499999999999994E-2</v>
      </c>
      <c r="G108" s="866" t="s">
        <v>23</v>
      </c>
      <c r="H108" s="866">
        <f>((H101+H106+H107)/(1-$F$108))*$F$108</f>
        <v>427.86054780149595</v>
      </c>
      <c r="I108" s="866">
        <f>((I101+I106+I107)/(1-$F$108))*$F$108</f>
        <v>426.22429164386062</v>
      </c>
      <c r="J108" s="866">
        <f t="shared" ref="J108:K108" si="26">((J101+J106+J107)/(1-$F$108))*$F$108</f>
        <v>430.54597746761544</v>
      </c>
      <c r="K108" s="866">
        <f t="shared" si="26"/>
        <v>433.4700278233899</v>
      </c>
    </row>
    <row r="109" spans="1:11">
      <c r="A109" s="925" t="s">
        <v>174</v>
      </c>
      <c r="B109" s="846" t="s">
        <v>175</v>
      </c>
      <c r="C109" s="846"/>
      <c r="D109" s="60" t="s">
        <v>176</v>
      </c>
      <c r="E109" s="61">
        <f>'DADOS DO LICITANTE'!D78</f>
        <v>6.4999999999999997E-3</v>
      </c>
      <c r="F109" s="896"/>
      <c r="G109" s="866"/>
      <c r="H109" s="866"/>
      <c r="I109" s="866"/>
      <c r="J109" s="866"/>
      <c r="K109" s="866"/>
    </row>
    <row r="110" spans="1:11">
      <c r="A110" s="926"/>
      <c r="B110" s="846"/>
      <c r="C110" s="846"/>
      <c r="D110" s="60" t="s">
        <v>177</v>
      </c>
      <c r="E110" s="61">
        <f>'DADOS DO LICITANTE'!D79</f>
        <v>0.03</v>
      </c>
      <c r="F110" s="896"/>
      <c r="G110" s="866"/>
      <c r="H110" s="866"/>
      <c r="I110" s="866"/>
      <c r="J110" s="866"/>
      <c r="K110" s="866"/>
    </row>
    <row r="111" spans="1:11">
      <c r="A111" s="38" t="s">
        <v>178</v>
      </c>
      <c r="B111" s="846" t="s">
        <v>179</v>
      </c>
      <c r="C111" s="846"/>
      <c r="D111" s="846"/>
      <c r="E111" s="28">
        <f>'DADOS DO LICITANTE'!D84</f>
        <v>0</v>
      </c>
      <c r="F111" s="896"/>
      <c r="G111" s="866"/>
      <c r="H111" s="866"/>
      <c r="I111" s="866"/>
      <c r="J111" s="866"/>
      <c r="K111" s="866"/>
    </row>
    <row r="112" spans="1:11" ht="55" customHeight="1">
      <c r="A112" s="925" t="s">
        <v>180</v>
      </c>
      <c r="B112" s="846" t="s">
        <v>181</v>
      </c>
      <c r="C112" s="846"/>
      <c r="D112" s="62" t="str">
        <f>'DADOS DO LICITANTE'!A80</f>
        <v>Guarulhos, São Sebastião, Taubaté, Pindamonhangaba, Campos do Jordão</v>
      </c>
      <c r="E112" s="63">
        <f>'DADOS DO LICITANTE'!D80</f>
        <v>0.05</v>
      </c>
      <c r="F112" s="896"/>
      <c r="G112" s="866"/>
      <c r="H112" s="866"/>
      <c r="I112" s="866"/>
      <c r="J112" s="866"/>
      <c r="K112" s="866"/>
    </row>
    <row r="113" spans="1:11" ht="30.5" customHeight="1">
      <c r="A113" s="927"/>
      <c r="B113" s="928"/>
      <c r="C113" s="928"/>
      <c r="D113" s="319" t="str">
        <f>'DADOS DO LICITANTE'!A81</f>
        <v>Suzano</v>
      </c>
      <c r="E113" s="320">
        <f>'DADOS DO LICITANTE'!D81</f>
        <v>0.04</v>
      </c>
      <c r="F113" s="321">
        <f>'DADOS DO LICITANTE'!E81</f>
        <v>7.6499999999999999E-2</v>
      </c>
      <c r="G113" s="98"/>
      <c r="H113" s="98"/>
      <c r="I113" s="98"/>
      <c r="J113" s="98"/>
      <c r="K113" s="98"/>
    </row>
    <row r="114" spans="1:11" ht="19.5" customHeight="1">
      <c r="A114" s="927"/>
      <c r="B114" s="846"/>
      <c r="C114" s="846"/>
      <c r="D114" s="62" t="str">
        <f>'DADOS DO LICITANTE'!A82</f>
        <v>Mogi das Cruzes</v>
      </c>
      <c r="E114" s="63">
        <f>'DADOS DO LICITANTE'!D82</f>
        <v>3.5000000000000003E-2</v>
      </c>
      <c r="F114" s="40">
        <f>E109+E110+E111+E114</f>
        <v>7.1500000000000008E-2</v>
      </c>
      <c r="G114" s="15" t="s">
        <v>23</v>
      </c>
      <c r="H114" s="15" t="s">
        <v>23</v>
      </c>
      <c r="I114" s="15" t="s">
        <v>23</v>
      </c>
      <c r="J114" s="15" t="s">
        <v>23</v>
      </c>
      <c r="K114" s="15" t="s">
        <v>23</v>
      </c>
    </row>
    <row r="115" spans="1:11" ht="28.5" customHeight="1">
      <c r="A115" s="926"/>
      <c r="B115" s="846"/>
      <c r="C115" s="846"/>
      <c r="D115" s="62" t="str">
        <f>'DADOS DO LICITANTE'!A83</f>
        <v>SJC, Jacareí,Guaratinguetá</v>
      </c>
      <c r="E115" s="63">
        <f>'DADOS DO LICITANTE'!D83</f>
        <v>0.03</v>
      </c>
      <c r="F115" s="40">
        <f>E109+E110+E111+E115</f>
        <v>6.6500000000000004E-2</v>
      </c>
      <c r="G115" s="15">
        <f>((G101+G106+G107)/(1-$F$115))*$F$115</f>
        <v>318.06050035707909</v>
      </c>
      <c r="H115" s="15" t="s">
        <v>23</v>
      </c>
      <c r="I115" s="15" t="s">
        <v>23</v>
      </c>
      <c r="J115" s="15" t="s">
        <v>23</v>
      </c>
      <c r="K115" s="15" t="s">
        <v>23</v>
      </c>
    </row>
    <row r="116" spans="1:11" ht="13">
      <c r="A116" s="38"/>
      <c r="B116" s="857" t="s">
        <v>9</v>
      </c>
      <c r="C116" s="857"/>
      <c r="D116" s="857"/>
      <c r="E116" s="857"/>
      <c r="F116" s="857"/>
      <c r="G116" s="18">
        <f t="shared" ref="G116:K116" si="27">SUM(G106:G115)</f>
        <v>917.23050035707911</v>
      </c>
      <c r="H116" s="18">
        <f t="shared" si="27"/>
        <v>1034.2405478014959</v>
      </c>
      <c r="I116" s="18">
        <f t="shared" si="27"/>
        <v>1030.2842916438606</v>
      </c>
      <c r="J116" s="18">
        <f t="shared" si="27"/>
        <v>1040.7259774676154</v>
      </c>
      <c r="K116" s="18">
        <f t="shared" si="27"/>
        <v>1047.8000278233899</v>
      </c>
    </row>
    <row r="117" spans="1:11">
      <c r="A117" s="687"/>
      <c r="B117" s="687"/>
      <c r="C117" s="687"/>
      <c r="D117" s="687"/>
      <c r="E117" s="687"/>
      <c r="F117" s="687"/>
      <c r="G117" s="687"/>
      <c r="H117" s="8"/>
      <c r="I117" s="8"/>
      <c r="J117" s="8"/>
      <c r="K117" s="8"/>
    </row>
    <row r="118" spans="1:11" ht="13">
      <c r="A118" s="867" t="s">
        <v>288</v>
      </c>
      <c r="B118" s="867"/>
      <c r="C118" s="867"/>
      <c r="D118" s="867"/>
      <c r="E118" s="867"/>
      <c r="F118" s="867"/>
      <c r="G118" s="867"/>
      <c r="H118" s="867"/>
      <c r="I118" s="867"/>
      <c r="J118" s="867"/>
      <c r="K118" s="867"/>
    </row>
    <row r="119" spans="1:11" ht="13">
      <c r="A119" s="871" t="s">
        <v>182</v>
      </c>
      <c r="B119" s="871"/>
      <c r="C119" s="871"/>
      <c r="D119" s="871"/>
      <c r="E119" s="871"/>
      <c r="F119" s="871"/>
      <c r="G119" s="51" t="s">
        <v>183</v>
      </c>
      <c r="H119" s="51" t="s">
        <v>183</v>
      </c>
      <c r="I119" s="51" t="s">
        <v>183</v>
      </c>
      <c r="J119" s="51" t="s">
        <v>183</v>
      </c>
      <c r="K119" s="51" t="s">
        <v>183</v>
      </c>
    </row>
    <row r="120" spans="1:11" ht="13">
      <c r="A120" s="591" t="s">
        <v>0</v>
      </c>
      <c r="B120" s="891" t="s">
        <v>123</v>
      </c>
      <c r="C120" s="891"/>
      <c r="D120" s="891"/>
      <c r="E120" s="891"/>
      <c r="F120" s="891"/>
      <c r="G120" s="39">
        <f t="shared" ref="G120:K120" si="28">G96</f>
        <v>1590</v>
      </c>
      <c r="H120" s="39">
        <f t="shared" si="28"/>
        <v>1590</v>
      </c>
      <c r="I120" s="39">
        <f t="shared" si="28"/>
        <v>1590</v>
      </c>
      <c r="J120" s="39">
        <f t="shared" si="28"/>
        <v>1590</v>
      </c>
      <c r="K120" s="39">
        <f t="shared" si="28"/>
        <v>1590</v>
      </c>
    </row>
    <row r="121" spans="1:11" ht="13">
      <c r="A121" s="591" t="s">
        <v>1</v>
      </c>
      <c r="B121" s="895" t="s">
        <v>130</v>
      </c>
      <c r="C121" s="895"/>
      <c r="D121" s="895"/>
      <c r="E121" s="895"/>
      <c r="F121" s="895"/>
      <c r="G121" s="39">
        <f t="shared" ref="G121:K121" si="29">G97</f>
        <v>1550.19</v>
      </c>
      <c r="H121" s="39">
        <f t="shared" si="29"/>
        <v>1593.6399999999999</v>
      </c>
      <c r="I121" s="39">
        <f t="shared" si="29"/>
        <v>1579.6599999999999</v>
      </c>
      <c r="J121" s="39">
        <f t="shared" si="29"/>
        <v>1616.59</v>
      </c>
      <c r="K121" s="39">
        <f t="shared" si="29"/>
        <v>1540.55</v>
      </c>
    </row>
    <row r="122" spans="1:11" ht="13">
      <c r="A122" s="591" t="s">
        <v>2</v>
      </c>
      <c r="B122" s="891" t="s">
        <v>145</v>
      </c>
      <c r="C122" s="891"/>
      <c r="D122" s="891"/>
      <c r="E122" s="891"/>
      <c r="F122" s="891"/>
      <c r="G122" s="39">
        <f t="shared" ref="G122:K122" si="30">G98</f>
        <v>113.87</v>
      </c>
      <c r="H122" s="39">
        <f t="shared" si="30"/>
        <v>113.87</v>
      </c>
      <c r="I122" s="39">
        <f t="shared" si="30"/>
        <v>113.87</v>
      </c>
      <c r="J122" s="39">
        <f t="shared" si="30"/>
        <v>113.87</v>
      </c>
      <c r="K122" s="39">
        <f t="shared" si="30"/>
        <v>113.87</v>
      </c>
    </row>
    <row r="123" spans="1:11" ht="13">
      <c r="A123" s="591" t="s">
        <v>3</v>
      </c>
      <c r="B123" s="891" t="s">
        <v>151</v>
      </c>
      <c r="C123" s="891"/>
      <c r="D123" s="891"/>
      <c r="E123" s="891"/>
      <c r="F123" s="891"/>
      <c r="G123" s="39">
        <f t="shared" ref="G123:K123" si="31">G99</f>
        <v>242.57</v>
      </c>
      <c r="H123" s="39">
        <f t="shared" si="31"/>
        <v>242.57</v>
      </c>
      <c r="I123" s="39">
        <f t="shared" si="31"/>
        <v>242.57</v>
      </c>
      <c r="J123" s="39">
        <f t="shared" si="31"/>
        <v>242.57</v>
      </c>
      <c r="K123" s="39">
        <f t="shared" si="31"/>
        <v>242.57</v>
      </c>
    </row>
    <row r="124" spans="1:11" ht="13">
      <c r="A124" s="591" t="s">
        <v>5</v>
      </c>
      <c r="B124" s="891" t="s">
        <v>164</v>
      </c>
      <c r="C124" s="891"/>
      <c r="D124" s="891"/>
      <c r="E124" s="891"/>
      <c r="F124" s="891"/>
      <c r="G124" s="39">
        <f t="shared" ref="G124:K124" si="32">G100</f>
        <v>369.00416666666666</v>
      </c>
      <c r="H124" s="39">
        <f t="shared" si="32"/>
        <v>372.04416666666668</v>
      </c>
      <c r="I124" s="39">
        <f t="shared" si="32"/>
        <v>371.06416666666667</v>
      </c>
      <c r="J124" s="39">
        <f t="shared" si="32"/>
        <v>373.6541666666667</v>
      </c>
      <c r="K124" s="39">
        <f t="shared" si="32"/>
        <v>476.42416666666668</v>
      </c>
    </row>
    <row r="125" spans="1:11" ht="13">
      <c r="A125" s="591" t="s">
        <v>6</v>
      </c>
      <c r="B125" s="891" t="s">
        <v>184</v>
      </c>
      <c r="C125" s="891"/>
      <c r="D125" s="891"/>
      <c r="E125" s="891"/>
      <c r="F125" s="891"/>
      <c r="G125" s="39">
        <f t="shared" ref="G125:K125" si="33">G116</f>
        <v>917.23050035707911</v>
      </c>
      <c r="H125" s="39">
        <f t="shared" si="33"/>
        <v>1034.2405478014959</v>
      </c>
      <c r="I125" s="39">
        <f t="shared" si="33"/>
        <v>1030.2842916438606</v>
      </c>
      <c r="J125" s="39">
        <f t="shared" si="33"/>
        <v>1040.7259774676154</v>
      </c>
      <c r="K125" s="39">
        <f t="shared" si="33"/>
        <v>1047.8000278233899</v>
      </c>
    </row>
    <row r="126" spans="1:11" ht="13">
      <c r="A126" s="591"/>
      <c r="B126" s="857" t="s">
        <v>185</v>
      </c>
      <c r="C126" s="857"/>
      <c r="D126" s="857"/>
      <c r="E126" s="857"/>
      <c r="F126" s="857"/>
      <c r="G126" s="64">
        <f t="shared" ref="G126:K126" si="34">SUM(G120:G125)</f>
        <v>4782.8646670237458</v>
      </c>
      <c r="H126" s="64">
        <f t="shared" si="34"/>
        <v>4946.3647144681627</v>
      </c>
      <c r="I126" s="64">
        <f t="shared" si="34"/>
        <v>4927.4484583105268</v>
      </c>
      <c r="J126" s="64">
        <f t="shared" si="34"/>
        <v>4977.4101441342827</v>
      </c>
      <c r="K126" s="64">
        <f t="shared" si="34"/>
        <v>5011.2141944900568</v>
      </c>
    </row>
    <row r="127" spans="1:11">
      <c r="A127" s="8"/>
      <c r="B127" s="8"/>
      <c r="C127" s="8"/>
      <c r="D127" s="8"/>
      <c r="E127" s="8"/>
      <c r="F127" s="8"/>
      <c r="G127" s="65" t="s">
        <v>291</v>
      </c>
      <c r="H127" s="66" t="s">
        <v>290</v>
      </c>
      <c r="I127" s="66" t="s">
        <v>273</v>
      </c>
      <c r="J127" s="66" t="s">
        <v>276</v>
      </c>
      <c r="K127" s="66" t="s">
        <v>280</v>
      </c>
    </row>
    <row r="130" spans="5:11" hidden="1">
      <c r="E130" s="908" t="s">
        <v>232</v>
      </c>
      <c r="F130" s="908"/>
      <c r="G130" s="326">
        <f>Líder!G123</f>
        <v>5104.4286734511688</v>
      </c>
      <c r="H130" s="327">
        <f>Líder!H123</f>
        <v>5274.9689837620863</v>
      </c>
      <c r="I130" s="27"/>
      <c r="J130" s="27"/>
      <c r="K130" s="27"/>
    </row>
    <row r="131" spans="5:11" ht="29.5" customHeight="1">
      <c r="E131" s="909" t="s">
        <v>378</v>
      </c>
      <c r="F131" s="909"/>
      <c r="G131" s="403">
        <f>Líder!G123-'Servente 40h'!G126</f>
        <v>321.56400642742301</v>
      </c>
      <c r="H131" s="529">
        <f>Líder!H123-H126</f>
        <v>328.60426929392361</v>
      </c>
      <c r="I131" s="527"/>
      <c r="J131" s="530">
        <f>Líder!I123-'Servente 40h'!J126</f>
        <v>209.3705528188284</v>
      </c>
      <c r="K131" s="528"/>
    </row>
    <row r="132" spans="5:11">
      <c r="I132" s="25"/>
    </row>
    <row r="133" spans="5:11">
      <c r="I133" s="25"/>
    </row>
    <row r="134" spans="5:11">
      <c r="I134" s="25"/>
    </row>
  </sheetData>
  <mergeCells count="174">
    <mergeCell ref="A30:G30"/>
    <mergeCell ref="A29:G29"/>
    <mergeCell ref="B66:F66"/>
    <mergeCell ref="B67:E67"/>
    <mergeCell ref="B65:C65"/>
    <mergeCell ref="B89:F89"/>
    <mergeCell ref="B90:F90"/>
    <mergeCell ref="B91:F91"/>
    <mergeCell ref="B92:F92"/>
    <mergeCell ref="B73:F73"/>
    <mergeCell ref="B75:E75"/>
    <mergeCell ref="F75:F76"/>
    <mergeCell ref="G75:G76"/>
    <mergeCell ref="B52:F52"/>
    <mergeCell ref="B53:F53"/>
    <mergeCell ref="B54:F54"/>
    <mergeCell ref="B55:F55"/>
    <mergeCell ref="B56:F56"/>
    <mergeCell ref="B57:F57"/>
    <mergeCell ref="B43:E43"/>
    <mergeCell ref="B45:E45"/>
    <mergeCell ref="B46:E46"/>
    <mergeCell ref="B47:G47"/>
    <mergeCell ref="B51:F51"/>
    <mergeCell ref="B74:E74"/>
    <mergeCell ref="H77:H78"/>
    <mergeCell ref="A87:K87"/>
    <mergeCell ref="B84:E84"/>
    <mergeCell ref="A85:F85"/>
    <mergeCell ref="A86:G86"/>
    <mergeCell ref="B81:C81"/>
    <mergeCell ref="F81:F82"/>
    <mergeCell ref="G81:G82"/>
    <mergeCell ref="H81:H82"/>
    <mergeCell ref="I81:I82"/>
    <mergeCell ref="B82:C82"/>
    <mergeCell ref="J81:J82"/>
    <mergeCell ref="K81:K82"/>
    <mergeCell ref="I77:I78"/>
    <mergeCell ref="J75:J76"/>
    <mergeCell ref="B83:C83"/>
    <mergeCell ref="K75:K76"/>
    <mergeCell ref="J79:J80"/>
    <mergeCell ref="I75:I76"/>
    <mergeCell ref="J77:J78"/>
    <mergeCell ref="K77:K78"/>
    <mergeCell ref="B80:D80"/>
    <mergeCell ref="K79:K80"/>
    <mergeCell ref="B124:F124"/>
    <mergeCell ref="B125:F125"/>
    <mergeCell ref="B126:F126"/>
    <mergeCell ref="A50:K50"/>
    <mergeCell ref="A61:K61"/>
    <mergeCell ref="A69:K69"/>
    <mergeCell ref="A71:K71"/>
    <mergeCell ref="A72:K72"/>
    <mergeCell ref="B116:F116"/>
    <mergeCell ref="A117:G117"/>
    <mergeCell ref="A119:F119"/>
    <mergeCell ref="B120:F120"/>
    <mergeCell ref="B121:F121"/>
    <mergeCell ref="A118:K118"/>
    <mergeCell ref="A109:A110"/>
    <mergeCell ref="B109:C110"/>
    <mergeCell ref="B111:D111"/>
    <mergeCell ref="A112:A115"/>
    <mergeCell ref="B112:C115"/>
    <mergeCell ref="A94:K94"/>
    <mergeCell ref="A95:K95"/>
    <mergeCell ref="B122:F122"/>
    <mergeCell ref="B123:F123"/>
    <mergeCell ref="B88:F88"/>
    <mergeCell ref="B105:E105"/>
    <mergeCell ref="A104:K104"/>
    <mergeCell ref="I108:I112"/>
    <mergeCell ref="J108:J112"/>
    <mergeCell ref="K108:K112"/>
    <mergeCell ref="B106:E106"/>
    <mergeCell ref="B100:F100"/>
    <mergeCell ref="A101:F101"/>
    <mergeCell ref="B107:E107"/>
    <mergeCell ref="H108:H112"/>
    <mergeCell ref="B108:E108"/>
    <mergeCell ref="F108:F112"/>
    <mergeCell ref="G108:G112"/>
    <mergeCell ref="A102:K102"/>
    <mergeCell ref="B78:D78"/>
    <mergeCell ref="B79:C79"/>
    <mergeCell ref="F79:F80"/>
    <mergeCell ref="G79:G80"/>
    <mergeCell ref="H79:H80"/>
    <mergeCell ref="B99:F99"/>
    <mergeCell ref="B96:F96"/>
    <mergeCell ref="B97:F97"/>
    <mergeCell ref="B98:F98"/>
    <mergeCell ref="B93:K93"/>
    <mergeCell ref="I79:I80"/>
    <mergeCell ref="J62:J63"/>
    <mergeCell ref="A70:G70"/>
    <mergeCell ref="K62:K63"/>
    <mergeCell ref="B64:F64"/>
    <mergeCell ref="B68:F68"/>
    <mergeCell ref="B58:F58"/>
    <mergeCell ref="B59:F59"/>
    <mergeCell ref="B60:G60"/>
    <mergeCell ref="A62:A63"/>
    <mergeCell ref="B62:D62"/>
    <mergeCell ref="F62:F63"/>
    <mergeCell ref="G62:G63"/>
    <mergeCell ref="H62:H63"/>
    <mergeCell ref="I62:I63"/>
    <mergeCell ref="B63:C63"/>
    <mergeCell ref="A75:A76"/>
    <mergeCell ref="A77:A78"/>
    <mergeCell ref="A79:A80"/>
    <mergeCell ref="G77:G78"/>
    <mergeCell ref="H75:H76"/>
    <mergeCell ref="B76:D76"/>
    <mergeCell ref="B77:C77"/>
    <mergeCell ref="F77:F78"/>
    <mergeCell ref="B37:E37"/>
    <mergeCell ref="B38:E38"/>
    <mergeCell ref="B39:E39"/>
    <mergeCell ref="B40:E40"/>
    <mergeCell ref="B41:E41"/>
    <mergeCell ref="B42:E42"/>
    <mergeCell ref="B31:F31"/>
    <mergeCell ref="B32:E32"/>
    <mergeCell ref="B33:E33"/>
    <mergeCell ref="B34:E34"/>
    <mergeCell ref="A36:G36"/>
    <mergeCell ref="B25:E25"/>
    <mergeCell ref="B26:F26"/>
    <mergeCell ref="B27:F27"/>
    <mergeCell ref="A28:G28"/>
    <mergeCell ref="B19:E19"/>
    <mergeCell ref="F19:G19"/>
    <mergeCell ref="A20:G20"/>
    <mergeCell ref="B22:F22"/>
    <mergeCell ref="B23:D23"/>
    <mergeCell ref="A21:G21"/>
    <mergeCell ref="B16:E16"/>
    <mergeCell ref="F16:G16"/>
    <mergeCell ref="B17:E17"/>
    <mergeCell ref="F17:G17"/>
    <mergeCell ref="B12:E12"/>
    <mergeCell ref="F12:G12"/>
    <mergeCell ref="A13:G13"/>
    <mergeCell ref="A14:G14"/>
    <mergeCell ref="B24:F24"/>
    <mergeCell ref="A81:A82"/>
    <mergeCell ref="E130:F130"/>
    <mergeCell ref="E131:F131"/>
    <mergeCell ref="A1:G1"/>
    <mergeCell ref="A2:G2"/>
    <mergeCell ref="B3:D3"/>
    <mergeCell ref="E3:G3"/>
    <mergeCell ref="A4:B4"/>
    <mergeCell ref="C4:D4"/>
    <mergeCell ref="B8:E8"/>
    <mergeCell ref="F8:G8"/>
    <mergeCell ref="B9:E9"/>
    <mergeCell ref="F9:G9"/>
    <mergeCell ref="B18:E18"/>
    <mergeCell ref="F18:G18"/>
    <mergeCell ref="A10:A11"/>
    <mergeCell ref="B10:E11"/>
    <mergeCell ref="F10:G11"/>
    <mergeCell ref="A5:B5"/>
    <mergeCell ref="C5:D5"/>
    <mergeCell ref="F5:G5"/>
    <mergeCell ref="A6:G6"/>
    <mergeCell ref="A7:G7"/>
    <mergeCell ref="A15:G1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1"/>
  <sheetViews>
    <sheetView workbookViewId="0">
      <selection activeCell="G133" sqref="G133"/>
    </sheetView>
  </sheetViews>
  <sheetFormatPr defaultRowHeight="12.5"/>
  <cols>
    <col min="2" max="2" width="23.1796875" customWidth="1"/>
    <col min="3" max="3" width="17.1796875" customWidth="1"/>
    <col min="4" max="4" width="22.81640625" customWidth="1"/>
    <col min="5" max="5" width="13.81640625" customWidth="1"/>
    <col min="6" max="6" width="17.81640625" customWidth="1"/>
    <col min="7" max="12" width="15.6328125" customWidth="1"/>
  </cols>
  <sheetData>
    <row r="1" spans="1:12" ht="13">
      <c r="A1" s="834" t="s">
        <v>107</v>
      </c>
      <c r="B1" s="834"/>
      <c r="C1" s="834"/>
      <c r="D1" s="834"/>
      <c r="E1" s="834"/>
      <c r="F1" s="834"/>
      <c r="G1" s="834"/>
      <c r="H1" s="292"/>
      <c r="I1" s="292"/>
      <c r="J1" s="292"/>
      <c r="K1" s="292"/>
      <c r="L1" s="292"/>
    </row>
    <row r="2" spans="1:12" ht="13">
      <c r="A2" s="835" t="s">
        <v>108</v>
      </c>
      <c r="B2" s="835"/>
      <c r="C2" s="835"/>
      <c r="D2" s="835"/>
      <c r="E2" s="835"/>
      <c r="F2" s="835"/>
      <c r="G2" s="835"/>
      <c r="H2" s="292"/>
      <c r="I2" s="292"/>
      <c r="J2" s="292"/>
      <c r="K2" s="292"/>
      <c r="L2" s="292"/>
    </row>
    <row r="3" spans="1:12">
      <c r="A3" s="284"/>
      <c r="B3" s="836" t="s">
        <v>109</v>
      </c>
      <c r="C3" s="836"/>
      <c r="D3" s="836"/>
      <c r="E3" s="837" t="str">
        <f>'DADOS DO LICITANTE'!H3</f>
        <v>13843.720002/2024-24</v>
      </c>
      <c r="F3" s="837"/>
      <c r="G3" s="890"/>
      <c r="H3" s="292"/>
      <c r="I3" s="292"/>
      <c r="J3" s="292"/>
      <c r="K3" s="292"/>
      <c r="L3" s="292"/>
    </row>
    <row r="4" spans="1:12">
      <c r="A4" s="837" t="s">
        <v>110</v>
      </c>
      <c r="B4" s="837"/>
      <c r="C4" s="837" t="str">
        <f>'DADOS DO LICITANTE'!A1</f>
        <v>PREGÃO DRF/SJC Nº 01/2024</v>
      </c>
      <c r="D4" s="837"/>
      <c r="E4" s="285"/>
      <c r="F4" s="256">
        <f>'DADOS DO LICITANTE'!D3</f>
        <v>45428</v>
      </c>
      <c r="G4" s="71" t="str">
        <f>'DADOS DO LICITANTE'!F3</f>
        <v>09h30min</v>
      </c>
      <c r="H4" s="292"/>
      <c r="I4" s="292"/>
      <c r="J4" s="292"/>
      <c r="K4" s="292"/>
      <c r="L4" s="292"/>
    </row>
    <row r="5" spans="1:12">
      <c r="A5" s="837" t="s">
        <v>111</v>
      </c>
      <c r="B5" s="837"/>
      <c r="C5" s="846">
        <f>'DADOS DO LICITANTE'!C4</f>
        <v>0</v>
      </c>
      <c r="D5" s="846"/>
      <c r="E5" s="284" t="s">
        <v>112</v>
      </c>
      <c r="F5" s="847">
        <f>'DADOS DO LICITANTE'!B5</f>
        <v>0</v>
      </c>
      <c r="G5" s="911"/>
      <c r="H5" s="292"/>
      <c r="I5" s="292"/>
      <c r="J5" s="292"/>
      <c r="K5" s="292"/>
      <c r="L5" s="292"/>
    </row>
    <row r="6" spans="1:12" ht="13">
      <c r="A6" s="943"/>
      <c r="B6" s="943"/>
      <c r="C6" s="943"/>
      <c r="D6" s="943"/>
      <c r="E6" s="943"/>
      <c r="F6" s="943"/>
      <c r="G6" s="943"/>
      <c r="H6" s="292"/>
      <c r="I6" s="292"/>
      <c r="J6" s="292"/>
      <c r="K6" s="292"/>
      <c r="L6" s="292"/>
    </row>
    <row r="7" spans="1:12" ht="13">
      <c r="A7" s="944" t="s">
        <v>113</v>
      </c>
      <c r="B7" s="944"/>
      <c r="C7" s="944"/>
      <c r="D7" s="944"/>
      <c r="E7" s="944"/>
      <c r="F7" s="944"/>
      <c r="G7" s="944"/>
      <c r="H7" s="292"/>
      <c r="I7" s="292"/>
      <c r="J7" s="292"/>
      <c r="K7" s="292"/>
      <c r="L7" s="292"/>
    </row>
    <row r="8" spans="1:12">
      <c r="A8" s="612" t="s">
        <v>0</v>
      </c>
      <c r="B8" s="945" t="s">
        <v>114</v>
      </c>
      <c r="C8" s="945"/>
      <c r="D8" s="945"/>
      <c r="E8" s="945"/>
      <c r="F8" s="946" t="str">
        <f>'DADOS DO LICITANTE'!H13</f>
        <v>xx/xx/2024</v>
      </c>
      <c r="G8" s="946"/>
      <c r="H8" s="292"/>
      <c r="I8" s="292"/>
      <c r="J8" s="292"/>
      <c r="K8" s="292"/>
      <c r="L8" s="292"/>
    </row>
    <row r="9" spans="1:12">
      <c r="A9" s="284" t="s">
        <v>1</v>
      </c>
      <c r="B9" s="837" t="s">
        <v>115</v>
      </c>
      <c r="C9" s="837"/>
      <c r="D9" s="837"/>
      <c r="E9" s="837"/>
      <c r="F9" s="837" t="s">
        <v>228</v>
      </c>
      <c r="G9" s="837"/>
      <c r="H9" s="292"/>
      <c r="I9" s="292"/>
      <c r="J9" s="292"/>
      <c r="K9" s="292"/>
      <c r="L9" s="292"/>
    </row>
    <row r="10" spans="1:12">
      <c r="A10" s="837" t="s">
        <v>2</v>
      </c>
      <c r="B10" s="844" t="s">
        <v>116</v>
      </c>
      <c r="C10" s="844"/>
      <c r="D10" s="844"/>
      <c r="E10" s="844"/>
      <c r="F10" s="845">
        <v>45292</v>
      </c>
      <c r="G10" s="845"/>
      <c r="H10" s="292"/>
      <c r="I10" s="292"/>
      <c r="J10" s="292"/>
      <c r="K10" s="292"/>
      <c r="L10" s="292"/>
    </row>
    <row r="11" spans="1:12">
      <c r="A11" s="837"/>
      <c r="B11" s="844"/>
      <c r="C11" s="844"/>
      <c r="D11" s="844"/>
      <c r="E11" s="844"/>
      <c r="F11" s="845"/>
      <c r="G11" s="845"/>
      <c r="H11" s="292"/>
      <c r="I11" s="292"/>
      <c r="J11" s="292"/>
      <c r="K11" s="292"/>
      <c r="L11" s="292"/>
    </row>
    <row r="12" spans="1:12">
      <c r="A12" s="284" t="s">
        <v>3</v>
      </c>
      <c r="B12" s="837" t="s">
        <v>117</v>
      </c>
      <c r="C12" s="837"/>
      <c r="D12" s="837"/>
      <c r="E12" s="837"/>
      <c r="F12" s="837">
        <v>12</v>
      </c>
      <c r="G12" s="837"/>
      <c r="H12" s="292"/>
      <c r="I12" s="292"/>
      <c r="J12" s="292"/>
      <c r="K12" s="292"/>
      <c r="L12" s="292"/>
    </row>
    <row r="13" spans="1:12">
      <c r="A13" s="854"/>
      <c r="B13" s="854"/>
      <c r="C13" s="854"/>
      <c r="D13" s="854"/>
      <c r="E13" s="854"/>
      <c r="F13" s="854"/>
      <c r="G13" s="854"/>
      <c r="H13" s="292"/>
      <c r="I13" s="292"/>
      <c r="J13" s="292"/>
      <c r="K13" s="292"/>
      <c r="L13" s="292"/>
    </row>
    <row r="14" spans="1:12">
      <c r="A14" s="855" t="s">
        <v>118</v>
      </c>
      <c r="B14" s="855"/>
      <c r="C14" s="855"/>
      <c r="D14" s="855"/>
      <c r="E14" s="855"/>
      <c r="F14" s="855"/>
      <c r="G14" s="855"/>
      <c r="H14" s="292"/>
      <c r="I14" s="292"/>
      <c r="J14" s="292"/>
      <c r="K14" s="292"/>
      <c r="L14" s="292"/>
    </row>
    <row r="15" spans="1:12" ht="13">
      <c r="A15" s="835" t="s">
        <v>119</v>
      </c>
      <c r="B15" s="835"/>
      <c r="C15" s="835"/>
      <c r="D15" s="835"/>
      <c r="E15" s="835"/>
      <c r="F15" s="835"/>
      <c r="G15" s="835"/>
      <c r="H15" s="292"/>
      <c r="I15" s="292"/>
      <c r="J15" s="292"/>
      <c r="K15" s="292"/>
      <c r="L15" s="292"/>
    </row>
    <row r="16" spans="1:12">
      <c r="A16" s="284">
        <v>1</v>
      </c>
      <c r="B16" s="846" t="s">
        <v>120</v>
      </c>
      <c r="C16" s="846"/>
      <c r="D16" s="846"/>
      <c r="E16" s="846"/>
      <c r="F16" s="844" t="s">
        <v>27</v>
      </c>
      <c r="G16" s="844"/>
      <c r="H16" s="292"/>
      <c r="I16" s="292"/>
      <c r="J16" s="292"/>
      <c r="K16" s="292"/>
      <c r="L16" s="292"/>
    </row>
    <row r="17" spans="1:12" ht="13">
      <c r="A17" s="284">
        <v>2</v>
      </c>
      <c r="B17" s="846" t="s">
        <v>121</v>
      </c>
      <c r="C17" s="846"/>
      <c r="D17" s="846"/>
      <c r="E17" s="846"/>
      <c r="F17" s="912">
        <f>'DADOS DO LICITANTE'!D14</f>
        <v>1590</v>
      </c>
      <c r="G17" s="912"/>
      <c r="H17" s="292"/>
      <c r="I17" s="292"/>
      <c r="J17" s="292"/>
      <c r="K17" s="292"/>
      <c r="L17" s="292"/>
    </row>
    <row r="18" spans="1:12">
      <c r="A18" s="609">
        <v>3</v>
      </c>
      <c r="B18" s="841" t="s">
        <v>4</v>
      </c>
      <c r="C18" s="841"/>
      <c r="D18" s="841"/>
      <c r="E18" s="841"/>
      <c r="F18" s="842" t="s">
        <v>186</v>
      </c>
      <c r="G18" s="842"/>
      <c r="H18" s="292"/>
      <c r="I18" s="292"/>
      <c r="J18" s="292"/>
      <c r="K18" s="292"/>
      <c r="L18" s="292"/>
    </row>
    <row r="19" spans="1:12">
      <c r="A19" s="593">
        <v>4</v>
      </c>
      <c r="B19" s="884" t="s">
        <v>122</v>
      </c>
      <c r="C19" s="846"/>
      <c r="D19" s="846"/>
      <c r="E19" s="846"/>
      <c r="F19" s="913">
        <f>'DADOS DO LICITANTE'!E11</f>
        <v>45292</v>
      </c>
      <c r="G19" s="913"/>
      <c r="H19" s="292"/>
      <c r="I19" s="292"/>
      <c r="J19" s="292"/>
      <c r="K19" s="292"/>
      <c r="L19" s="292"/>
    </row>
    <row r="20" spans="1:12">
      <c r="A20" s="680"/>
      <c r="B20" s="680"/>
      <c r="C20" s="680"/>
      <c r="D20" s="680"/>
      <c r="E20" s="680"/>
      <c r="F20" s="680"/>
      <c r="G20" s="680"/>
      <c r="H20" s="292"/>
      <c r="I20" s="292"/>
      <c r="J20" s="292"/>
      <c r="K20" s="292"/>
      <c r="L20" s="292"/>
    </row>
    <row r="21" spans="1:12" ht="13">
      <c r="A21" s="914" t="s">
        <v>123</v>
      </c>
      <c r="B21" s="915"/>
      <c r="C21" s="915"/>
      <c r="D21" s="915"/>
      <c r="E21" s="915"/>
      <c r="F21" s="915"/>
      <c r="G21" s="916"/>
      <c r="H21" s="292"/>
      <c r="I21" s="292"/>
      <c r="J21" s="292"/>
      <c r="K21" s="292"/>
    </row>
    <row r="22" spans="1:12" ht="13">
      <c r="A22" s="293">
        <v>1</v>
      </c>
      <c r="B22" s="871" t="s">
        <v>124</v>
      </c>
      <c r="C22" s="871"/>
      <c r="D22" s="871"/>
      <c r="E22" s="871"/>
      <c r="F22" s="871"/>
      <c r="G22" s="51" t="s">
        <v>289</v>
      </c>
      <c r="H22" s="292"/>
      <c r="I22" s="292"/>
      <c r="J22" s="292"/>
      <c r="K22" s="292"/>
    </row>
    <row r="23" spans="1:12">
      <c r="A23" s="294" t="s">
        <v>0</v>
      </c>
      <c r="B23" s="846" t="s">
        <v>121</v>
      </c>
      <c r="C23" s="846"/>
      <c r="D23" s="846"/>
      <c r="E23" s="284"/>
      <c r="F23" s="284"/>
      <c r="G23" s="289">
        <v>954</v>
      </c>
      <c r="H23" s="292"/>
      <c r="I23" s="292"/>
      <c r="J23" s="292"/>
      <c r="K23" s="292"/>
    </row>
    <row r="24" spans="1:12">
      <c r="A24" s="294" t="s">
        <v>125</v>
      </c>
      <c r="B24" s="846" t="s">
        <v>126</v>
      </c>
      <c r="C24" s="846"/>
      <c r="D24" s="846"/>
      <c r="E24" s="846"/>
      <c r="F24" s="846"/>
      <c r="G24" s="289"/>
      <c r="H24" s="292"/>
      <c r="I24" s="292"/>
      <c r="J24" s="292"/>
      <c r="K24" s="292"/>
    </row>
    <row r="25" spans="1:12">
      <c r="A25" s="294" t="s">
        <v>1</v>
      </c>
      <c r="B25" s="846" t="s">
        <v>415</v>
      </c>
      <c r="C25" s="846"/>
      <c r="D25" s="846"/>
      <c r="E25" s="846"/>
      <c r="F25" s="291">
        <v>0</v>
      </c>
      <c r="G25" s="289">
        <f>ROUND(G23*F25,2)</f>
        <v>0</v>
      </c>
      <c r="H25" s="292"/>
      <c r="I25" s="292"/>
      <c r="J25" s="292"/>
      <c r="K25" s="292"/>
    </row>
    <row r="26" spans="1:12">
      <c r="A26" s="294" t="s">
        <v>2</v>
      </c>
      <c r="B26" s="856" t="s">
        <v>128</v>
      </c>
      <c r="C26" s="856"/>
      <c r="D26" s="856"/>
      <c r="E26" s="856"/>
      <c r="F26" s="856"/>
      <c r="G26" s="289"/>
      <c r="H26" s="292"/>
      <c r="I26" s="292"/>
      <c r="J26" s="292"/>
      <c r="K26" s="292"/>
    </row>
    <row r="27" spans="1:12" ht="13">
      <c r="A27" s="294"/>
      <c r="B27" s="857" t="s">
        <v>129</v>
      </c>
      <c r="C27" s="857"/>
      <c r="D27" s="857"/>
      <c r="E27" s="857"/>
      <c r="F27" s="857"/>
      <c r="G27" s="41">
        <f>SUM(G23:G26)</f>
        <v>954</v>
      </c>
      <c r="H27" s="292"/>
      <c r="I27" s="292"/>
      <c r="J27" s="292"/>
      <c r="K27" s="292"/>
    </row>
    <row r="28" spans="1:12">
      <c r="A28" s="687"/>
      <c r="B28" s="687"/>
      <c r="C28" s="687"/>
      <c r="D28" s="687"/>
      <c r="E28" s="687"/>
      <c r="F28" s="687"/>
      <c r="G28" s="687"/>
      <c r="H28" s="292"/>
      <c r="I28" s="292"/>
      <c r="J28" s="292"/>
      <c r="K28" s="292"/>
      <c r="L28" s="292"/>
    </row>
    <row r="29" spans="1:12" ht="13">
      <c r="A29" s="914" t="s">
        <v>130</v>
      </c>
      <c r="B29" s="915"/>
      <c r="C29" s="915"/>
      <c r="D29" s="915"/>
      <c r="E29" s="915"/>
      <c r="F29" s="915"/>
      <c r="G29" s="916"/>
      <c r="H29" s="292"/>
      <c r="I29" s="292"/>
      <c r="J29" s="292"/>
      <c r="K29" s="292"/>
    </row>
    <row r="30" spans="1:12">
      <c r="A30" s="917" t="s">
        <v>131</v>
      </c>
      <c r="B30" s="918"/>
      <c r="C30" s="918"/>
      <c r="D30" s="918"/>
      <c r="E30" s="918"/>
      <c r="F30" s="918"/>
      <c r="G30" s="919"/>
      <c r="H30" s="292"/>
      <c r="I30" s="292"/>
      <c r="J30" s="292"/>
      <c r="K30" s="292"/>
    </row>
    <row r="31" spans="1:12" ht="13">
      <c r="A31" s="293" t="s">
        <v>7</v>
      </c>
      <c r="B31" s="871" t="s">
        <v>132</v>
      </c>
      <c r="C31" s="871"/>
      <c r="D31" s="871"/>
      <c r="E31" s="871"/>
      <c r="F31" s="871"/>
      <c r="G31" s="51" t="s">
        <v>8</v>
      </c>
      <c r="H31" s="292"/>
      <c r="I31" s="292"/>
      <c r="J31" s="292"/>
      <c r="K31" s="292"/>
    </row>
    <row r="32" spans="1:12">
      <c r="A32" s="294" t="s">
        <v>0</v>
      </c>
      <c r="B32" s="846" t="s">
        <v>132</v>
      </c>
      <c r="C32" s="846"/>
      <c r="D32" s="846"/>
      <c r="E32" s="846"/>
      <c r="F32" s="287">
        <v>8.3299999999999999E-2</v>
      </c>
      <c r="G32" s="290">
        <f>ROUND(F32*$G$27,2)</f>
        <v>79.47</v>
      </c>
      <c r="H32" s="292"/>
      <c r="I32" s="292"/>
      <c r="J32" s="292"/>
      <c r="K32" s="292"/>
    </row>
    <row r="33" spans="1:12">
      <c r="A33" s="294" t="s">
        <v>1</v>
      </c>
      <c r="B33" s="846" t="s">
        <v>133</v>
      </c>
      <c r="C33" s="846"/>
      <c r="D33" s="846"/>
      <c r="E33" s="846"/>
      <c r="F33" s="152">
        <v>3.0249999999999999E-2</v>
      </c>
      <c r="G33" s="290">
        <f>ROUND(F33*$G$27,2)</f>
        <v>28.86</v>
      </c>
      <c r="H33" s="292"/>
      <c r="I33" s="292"/>
      <c r="J33" s="292"/>
      <c r="K33" s="292"/>
    </row>
    <row r="34" spans="1:12" ht="13">
      <c r="A34" s="294"/>
      <c r="B34" s="857" t="s">
        <v>9</v>
      </c>
      <c r="C34" s="857"/>
      <c r="D34" s="857"/>
      <c r="E34" s="857"/>
      <c r="F34" s="43">
        <f>F32+F33</f>
        <v>0.11355</v>
      </c>
      <c r="G34" s="18">
        <f>SUM(G32:G33)</f>
        <v>108.33</v>
      </c>
      <c r="H34" s="292"/>
      <c r="I34" s="292"/>
      <c r="J34" s="292"/>
      <c r="K34" s="292"/>
    </row>
    <row r="35" spans="1:12">
      <c r="A35" s="282"/>
      <c r="B35" s="282"/>
      <c r="C35" s="282"/>
      <c r="D35" s="282"/>
      <c r="E35" s="282"/>
      <c r="F35" s="282"/>
      <c r="G35" s="282"/>
      <c r="H35" s="292"/>
      <c r="I35" s="292"/>
      <c r="J35" s="292"/>
      <c r="K35" s="292"/>
      <c r="L35" s="292"/>
    </row>
    <row r="36" spans="1:12">
      <c r="A36" s="917" t="s">
        <v>134</v>
      </c>
      <c r="B36" s="918"/>
      <c r="C36" s="918"/>
      <c r="D36" s="918"/>
      <c r="E36" s="918"/>
      <c r="F36" s="918"/>
      <c r="G36" s="919"/>
      <c r="H36" s="292"/>
      <c r="I36" s="292"/>
      <c r="J36" s="292"/>
      <c r="K36" s="292"/>
    </row>
    <row r="37" spans="1:12" ht="13">
      <c r="A37" s="293" t="s">
        <v>10</v>
      </c>
      <c r="B37" s="871" t="s">
        <v>135</v>
      </c>
      <c r="C37" s="871"/>
      <c r="D37" s="871"/>
      <c r="E37" s="871"/>
      <c r="F37" s="293" t="s">
        <v>136</v>
      </c>
      <c r="G37" s="51" t="s">
        <v>137</v>
      </c>
      <c r="H37" s="292"/>
      <c r="I37" s="292"/>
      <c r="J37" s="292"/>
      <c r="K37" s="292"/>
    </row>
    <row r="38" spans="1:12">
      <c r="A38" s="294" t="s">
        <v>0</v>
      </c>
      <c r="B38" s="846" t="s">
        <v>12</v>
      </c>
      <c r="C38" s="846"/>
      <c r="D38" s="846"/>
      <c r="E38" s="846"/>
      <c r="F38" s="291">
        <v>0.2</v>
      </c>
      <c r="G38" s="67">
        <f t="shared" ref="G38:G46" si="0">ROUND(F38*($G$27+$G$34),2)</f>
        <v>212.47</v>
      </c>
      <c r="H38" s="292"/>
      <c r="I38" s="292"/>
      <c r="J38" s="292"/>
      <c r="K38" s="292"/>
    </row>
    <row r="39" spans="1:12">
      <c r="A39" s="294" t="s">
        <v>1</v>
      </c>
      <c r="B39" s="846" t="s">
        <v>13</v>
      </c>
      <c r="C39" s="846"/>
      <c r="D39" s="846"/>
      <c r="E39" s="846"/>
      <c r="F39" s="291">
        <v>2.5000000000000001E-2</v>
      </c>
      <c r="G39" s="67">
        <f t="shared" si="0"/>
        <v>26.56</v>
      </c>
      <c r="H39" s="292"/>
      <c r="I39" s="292"/>
      <c r="J39" s="292"/>
      <c r="K39" s="292"/>
    </row>
    <row r="40" spans="1:12">
      <c r="A40" s="294" t="s">
        <v>2</v>
      </c>
      <c r="B40" s="846" t="s">
        <v>14</v>
      </c>
      <c r="C40" s="846"/>
      <c r="D40" s="846"/>
      <c r="E40" s="846"/>
      <c r="F40" s="281">
        <v>1.4999999999999999E-2</v>
      </c>
      <c r="G40" s="67">
        <f t="shared" si="0"/>
        <v>15.93</v>
      </c>
      <c r="H40" s="292"/>
      <c r="I40" s="292"/>
      <c r="J40" s="292"/>
      <c r="K40" s="292"/>
    </row>
    <row r="41" spans="1:12">
      <c r="A41" s="294" t="s">
        <v>3</v>
      </c>
      <c r="B41" s="846" t="s">
        <v>15</v>
      </c>
      <c r="C41" s="846"/>
      <c r="D41" s="846"/>
      <c r="E41" s="846"/>
      <c r="F41" s="281">
        <v>0.01</v>
      </c>
      <c r="G41" s="67">
        <f t="shared" si="0"/>
        <v>10.62</v>
      </c>
      <c r="H41" s="292"/>
      <c r="I41" s="292"/>
      <c r="J41" s="292"/>
      <c r="K41" s="292"/>
    </row>
    <row r="42" spans="1:12">
      <c r="A42" s="294" t="s">
        <v>5</v>
      </c>
      <c r="B42" s="846" t="s">
        <v>16</v>
      </c>
      <c r="C42" s="846"/>
      <c r="D42" s="846"/>
      <c r="E42" s="846"/>
      <c r="F42" s="281">
        <v>6.000000000000001E-3</v>
      </c>
      <c r="G42" s="67">
        <f t="shared" si="0"/>
        <v>6.37</v>
      </c>
      <c r="H42" s="292"/>
      <c r="I42" s="292"/>
      <c r="J42" s="292"/>
      <c r="K42" s="292"/>
    </row>
    <row r="43" spans="1:12">
      <c r="A43" s="294" t="s">
        <v>6</v>
      </c>
      <c r="B43" s="846" t="s">
        <v>18</v>
      </c>
      <c r="C43" s="846"/>
      <c r="D43" s="846"/>
      <c r="E43" s="846"/>
      <c r="F43" s="291">
        <v>2E-3</v>
      </c>
      <c r="G43" s="67">
        <f t="shared" si="0"/>
        <v>2.12</v>
      </c>
      <c r="H43" s="292"/>
      <c r="I43" s="292"/>
      <c r="J43" s="292"/>
      <c r="K43" s="292"/>
    </row>
    <row r="44" spans="1:12">
      <c r="A44" s="294" t="s">
        <v>17</v>
      </c>
      <c r="B44" s="285" t="s">
        <v>138</v>
      </c>
      <c r="C44" s="28">
        <f>'DADOS DO LICITANTE'!B22</f>
        <v>0.03</v>
      </c>
      <c r="D44" s="283" t="s">
        <v>139</v>
      </c>
      <c r="E44" s="44">
        <f>'DADOS DO LICITANTE'!F22</f>
        <v>1</v>
      </c>
      <c r="F44" s="291">
        <f>C44*E44</f>
        <v>0.03</v>
      </c>
      <c r="G44" s="67">
        <f t="shared" si="0"/>
        <v>31.87</v>
      </c>
      <c r="H44" s="292"/>
      <c r="I44" s="292"/>
      <c r="J44" s="292"/>
      <c r="K44" s="292"/>
    </row>
    <row r="45" spans="1:12">
      <c r="A45" s="294" t="s">
        <v>19</v>
      </c>
      <c r="B45" s="846" t="s">
        <v>20</v>
      </c>
      <c r="C45" s="846"/>
      <c r="D45" s="846"/>
      <c r="E45" s="846"/>
      <c r="F45" s="291">
        <v>0.08</v>
      </c>
      <c r="G45" s="67">
        <f t="shared" si="0"/>
        <v>84.99</v>
      </c>
      <c r="H45" s="292"/>
      <c r="I45" s="292"/>
      <c r="J45" s="292"/>
      <c r="K45" s="292"/>
    </row>
    <row r="46" spans="1:12" ht="13">
      <c r="A46" s="294"/>
      <c r="B46" s="857" t="s">
        <v>9</v>
      </c>
      <c r="C46" s="857"/>
      <c r="D46" s="857"/>
      <c r="E46" s="857"/>
      <c r="F46" s="68">
        <f>SUM(F38:F45)</f>
        <v>0.36800000000000005</v>
      </c>
      <c r="G46" s="154">
        <f t="shared" si="0"/>
        <v>390.94</v>
      </c>
      <c r="H46" s="292"/>
      <c r="I46" s="292"/>
      <c r="J46" s="292"/>
      <c r="K46" s="292"/>
    </row>
    <row r="47" spans="1:12">
      <c r="A47" s="292" t="s">
        <v>140</v>
      </c>
      <c r="B47" s="863" t="s">
        <v>141</v>
      </c>
      <c r="C47" s="863"/>
      <c r="D47" s="863"/>
      <c r="E47" s="863"/>
      <c r="F47" s="863"/>
      <c r="G47" s="863"/>
      <c r="H47" s="292"/>
      <c r="I47" s="292"/>
      <c r="J47" s="292"/>
      <c r="K47" s="292"/>
      <c r="L47" s="292"/>
    </row>
    <row r="48" spans="1:12">
      <c r="A48" s="292"/>
      <c r="B48" s="45"/>
      <c r="C48" s="292"/>
      <c r="D48" s="292"/>
      <c r="E48" s="292"/>
      <c r="F48" s="292"/>
      <c r="G48" s="292"/>
      <c r="H48" s="292"/>
      <c r="I48" s="292"/>
      <c r="J48" s="292"/>
      <c r="K48" s="292"/>
      <c r="L48" s="292"/>
    </row>
    <row r="49" spans="1:12">
      <c r="A49" s="282"/>
      <c r="B49" s="282"/>
      <c r="C49" s="282"/>
      <c r="D49" s="282"/>
      <c r="E49" s="282"/>
      <c r="F49" s="282"/>
      <c r="G49" s="46" t="s">
        <v>431</v>
      </c>
      <c r="H49" s="47" t="s">
        <v>432</v>
      </c>
      <c r="I49" s="47" t="s">
        <v>275</v>
      </c>
      <c r="J49" s="47" t="s">
        <v>277</v>
      </c>
      <c r="K49" s="47" t="s">
        <v>278</v>
      </c>
      <c r="L49" s="47" t="s">
        <v>279</v>
      </c>
    </row>
    <row r="50" spans="1:12" ht="13">
      <c r="A50" s="864" t="s">
        <v>21</v>
      </c>
      <c r="B50" s="864"/>
      <c r="C50" s="864"/>
      <c r="D50" s="864"/>
      <c r="E50" s="864"/>
      <c r="F50" s="864"/>
      <c r="G50" s="864"/>
      <c r="H50" s="864"/>
      <c r="I50" s="864"/>
      <c r="J50" s="864"/>
      <c r="K50" s="864"/>
      <c r="L50" s="864"/>
    </row>
    <row r="51" spans="1:12" ht="13">
      <c r="A51" s="293" t="s">
        <v>22</v>
      </c>
      <c r="B51" s="871" t="s">
        <v>142</v>
      </c>
      <c r="C51" s="871"/>
      <c r="D51" s="871"/>
      <c r="E51" s="871"/>
      <c r="F51" s="934"/>
      <c r="G51" s="69" t="s">
        <v>137</v>
      </c>
      <c r="H51" s="69" t="s">
        <v>137</v>
      </c>
      <c r="I51" s="69" t="s">
        <v>137</v>
      </c>
      <c r="J51" s="69" t="s">
        <v>137</v>
      </c>
      <c r="K51" s="69" t="s">
        <v>137</v>
      </c>
      <c r="L51" s="69" t="s">
        <v>137</v>
      </c>
    </row>
    <row r="52" spans="1:12">
      <c r="A52" s="49" t="s">
        <v>0</v>
      </c>
      <c r="B52" s="846" t="s">
        <v>143</v>
      </c>
      <c r="C52" s="846"/>
      <c r="D52" s="846"/>
      <c r="E52" s="846"/>
      <c r="F52" s="846"/>
      <c r="G52" s="615">
        <f>'DADOS DO LICITANTE'!K43</f>
        <v>136.12139999999999</v>
      </c>
      <c r="H52" s="295">
        <f>'DADOS DO LICITANTE'!K44</f>
        <v>160.01999999999998</v>
      </c>
      <c r="I52" s="295">
        <f>'DADOS DO LICITANTE'!K45</f>
        <v>173.05559999999997</v>
      </c>
      <c r="J52" s="295">
        <f>'DADOS DO LICITANTE'!K47</f>
        <v>181.74599999999998</v>
      </c>
      <c r="K52" s="295">
        <f>'DADOS DO LICITANTE'!K48</f>
        <v>196.95419999999996</v>
      </c>
      <c r="L52" s="295">
        <f>'DADOS DO LICITANTE'!K49</f>
        <v>120.91319999999997</v>
      </c>
    </row>
    <row r="53" spans="1:12">
      <c r="A53" s="49" t="s">
        <v>1</v>
      </c>
      <c r="B53" s="846" t="s">
        <v>43</v>
      </c>
      <c r="C53" s="846"/>
      <c r="D53" s="846"/>
      <c r="E53" s="846"/>
      <c r="F53" s="846"/>
      <c r="G53" s="615">
        <v>0</v>
      </c>
      <c r="H53" s="295">
        <v>0</v>
      </c>
      <c r="I53" s="295">
        <v>0</v>
      </c>
      <c r="J53" s="295">
        <v>0</v>
      </c>
      <c r="K53" s="295">
        <v>0</v>
      </c>
      <c r="L53" s="295">
        <v>0</v>
      </c>
    </row>
    <row r="54" spans="1:12">
      <c r="A54" s="49" t="s">
        <v>2</v>
      </c>
      <c r="B54" s="846" t="s">
        <v>53</v>
      </c>
      <c r="C54" s="846"/>
      <c r="D54" s="846"/>
      <c r="E54" s="846"/>
      <c r="F54" s="846"/>
      <c r="G54" s="615">
        <f>'DADOS DO LICITANTE'!$I33</f>
        <v>137.79</v>
      </c>
      <c r="H54" s="295">
        <f>'DADOS DO LICITANTE'!$I33</f>
        <v>137.79</v>
      </c>
      <c r="I54" s="295">
        <f>'DADOS DO LICITANTE'!$I33</f>
        <v>137.79</v>
      </c>
      <c r="J54" s="295">
        <f>'DADOS DO LICITANTE'!$I33</f>
        <v>137.79</v>
      </c>
      <c r="K54" s="295">
        <f>'DADOS DO LICITANTE'!$I33</f>
        <v>137.79</v>
      </c>
      <c r="L54" s="295">
        <f>'DADOS DO LICITANTE'!$I33</f>
        <v>137.79</v>
      </c>
    </row>
    <row r="55" spans="1:12">
      <c r="A55" s="49" t="s">
        <v>3</v>
      </c>
      <c r="B55" s="846" t="s">
        <v>48</v>
      </c>
      <c r="C55" s="846"/>
      <c r="D55" s="846"/>
      <c r="E55" s="846"/>
      <c r="F55" s="846"/>
      <c r="G55" s="615">
        <f>'DADOS DO LICITANTE'!$I28</f>
        <v>0</v>
      </c>
      <c r="H55" s="295">
        <f>'DADOS DO LICITANTE'!$I28</f>
        <v>0</v>
      </c>
      <c r="I55" s="295">
        <f>'DADOS DO LICITANTE'!$I28</f>
        <v>0</v>
      </c>
      <c r="J55" s="295">
        <f>'DADOS DO LICITANTE'!$I28</f>
        <v>0</v>
      </c>
      <c r="K55" s="295">
        <f>'DADOS DO LICITANTE'!$I28</f>
        <v>0</v>
      </c>
      <c r="L55" s="295">
        <f>'DADOS DO LICITANTE'!$I28</f>
        <v>0</v>
      </c>
    </row>
    <row r="56" spans="1:12">
      <c r="A56" s="49" t="s">
        <v>5</v>
      </c>
      <c r="B56" s="846" t="s">
        <v>50</v>
      </c>
      <c r="C56" s="846"/>
      <c r="D56" s="846"/>
      <c r="E56" s="846"/>
      <c r="F56" s="846"/>
      <c r="G56" s="615">
        <f>'DADOS DO LICITANTE'!$I30</f>
        <v>4.9419999999999999E-2</v>
      </c>
      <c r="H56" s="295">
        <f>'DADOS DO LICITANTE'!$I30</f>
        <v>4.9419999999999999E-2</v>
      </c>
      <c r="I56" s="295">
        <f>'DADOS DO LICITANTE'!$I30</f>
        <v>4.9419999999999999E-2</v>
      </c>
      <c r="J56" s="295">
        <f>'DADOS DO LICITANTE'!$I30</f>
        <v>4.9419999999999999E-2</v>
      </c>
      <c r="K56" s="295">
        <f>'DADOS DO LICITANTE'!$I30</f>
        <v>4.9419999999999999E-2</v>
      </c>
      <c r="L56" s="295">
        <f>'DADOS DO LICITANTE'!$I30</f>
        <v>4.9419999999999999E-2</v>
      </c>
    </row>
    <row r="57" spans="1:12">
      <c r="A57" s="49" t="s">
        <v>6</v>
      </c>
      <c r="B57" s="846" t="s">
        <v>191</v>
      </c>
      <c r="C57" s="846"/>
      <c r="D57" s="846"/>
      <c r="E57" s="846"/>
      <c r="F57" s="846"/>
      <c r="G57" s="615">
        <f>'DADOS DO LICITANTE'!$I32</f>
        <v>33.65</v>
      </c>
      <c r="H57" s="295">
        <f>'DADOS DO LICITANTE'!$I32</f>
        <v>33.65</v>
      </c>
      <c r="I57" s="295">
        <f>'DADOS DO LICITANTE'!$I32</f>
        <v>33.65</v>
      </c>
      <c r="J57" s="295">
        <f>'DADOS DO LICITANTE'!$I32</f>
        <v>33.65</v>
      </c>
      <c r="K57" s="295">
        <f>'DADOS DO LICITANTE'!$I32</f>
        <v>33.65</v>
      </c>
      <c r="L57" s="295">
        <f>'DADOS DO LICITANTE'!$I32</f>
        <v>33.65</v>
      </c>
    </row>
    <row r="58" spans="1:12">
      <c r="A58" s="49" t="s">
        <v>17</v>
      </c>
      <c r="B58" s="872" t="str">
        <f>'DADOS DO LICITANTE'!A34</f>
        <v>Benefício Social Sindical</v>
      </c>
      <c r="C58" s="873"/>
      <c r="D58" s="873"/>
      <c r="E58" s="873"/>
      <c r="F58" s="874"/>
      <c r="G58" s="615">
        <f>'DADOS DO LICITANTE'!$I35</f>
        <v>15.2</v>
      </c>
      <c r="H58" s="295">
        <f>'DADOS DO LICITANTE'!$I35</f>
        <v>15.2</v>
      </c>
      <c r="I58" s="295">
        <f>'DADOS DO LICITANTE'!$I35</f>
        <v>15.2</v>
      </c>
      <c r="J58" s="295">
        <f>'DADOS DO LICITANTE'!$I35</f>
        <v>15.2</v>
      </c>
      <c r="K58" s="295">
        <f>'DADOS DO LICITANTE'!$I35</f>
        <v>15.2</v>
      </c>
      <c r="L58" s="295">
        <f>'DADOS DO LICITANTE'!$I35</f>
        <v>15.2</v>
      </c>
    </row>
    <row r="59" spans="1:12" ht="13">
      <c r="A59" s="294"/>
      <c r="B59" s="857" t="s">
        <v>144</v>
      </c>
      <c r="C59" s="857"/>
      <c r="D59" s="857"/>
      <c r="E59" s="857"/>
      <c r="F59" s="921"/>
      <c r="G59" s="21">
        <f t="shared" ref="G59:K59" si="1">ROUND(SUM(G52:G58),2)</f>
        <v>322.81</v>
      </c>
      <c r="H59" s="21">
        <f t="shared" si="1"/>
        <v>346.71</v>
      </c>
      <c r="I59" s="21">
        <f t="shared" si="1"/>
        <v>359.75</v>
      </c>
      <c r="J59" s="21">
        <f t="shared" si="1"/>
        <v>368.44</v>
      </c>
      <c r="K59" s="21">
        <f t="shared" si="1"/>
        <v>383.64</v>
      </c>
      <c r="L59" s="21">
        <f t="shared" ref="L59" si="2">ROUND(SUM(L52:L58),2)</f>
        <v>307.60000000000002</v>
      </c>
    </row>
    <row r="60" spans="1:12">
      <c r="A60" s="292"/>
      <c r="B60" s="687"/>
      <c r="C60" s="687"/>
      <c r="D60" s="687"/>
      <c r="E60" s="687"/>
      <c r="F60" s="687"/>
      <c r="G60" s="680"/>
      <c r="H60" s="292"/>
      <c r="I60" s="292"/>
      <c r="J60" s="292"/>
      <c r="K60" s="292"/>
      <c r="L60" s="292"/>
    </row>
    <row r="61" spans="1:12" ht="13">
      <c r="A61" s="867" t="s">
        <v>145</v>
      </c>
      <c r="B61" s="867"/>
      <c r="C61" s="867"/>
      <c r="D61" s="867"/>
      <c r="E61" s="867"/>
      <c r="F61" s="867"/>
      <c r="G61" s="867"/>
      <c r="H61" s="867"/>
      <c r="I61" s="867"/>
      <c r="J61" s="867"/>
      <c r="K61" s="867"/>
      <c r="L61" s="867"/>
    </row>
    <row r="62" spans="1:12">
      <c r="A62" s="927" t="s">
        <v>0</v>
      </c>
      <c r="B62" s="907" t="s">
        <v>146</v>
      </c>
      <c r="C62" s="907"/>
      <c r="D62" s="907"/>
      <c r="E62" s="612" t="s">
        <v>147</v>
      </c>
      <c r="F62" s="940">
        <f>E63/30/12*D63</f>
        <v>4.1666666666666666E-3</v>
      </c>
      <c r="G62" s="936">
        <f>ROUND(($G$27+$G$34)*$F$62,2)</f>
        <v>4.43</v>
      </c>
      <c r="H62" s="936">
        <f t="shared" ref="H62:L62" si="3">ROUND(($G$27+$G$34)*$F$62,2)</f>
        <v>4.43</v>
      </c>
      <c r="I62" s="936">
        <f t="shared" si="3"/>
        <v>4.43</v>
      </c>
      <c r="J62" s="936">
        <f t="shared" si="3"/>
        <v>4.43</v>
      </c>
      <c r="K62" s="936">
        <f t="shared" si="3"/>
        <v>4.43</v>
      </c>
      <c r="L62" s="936">
        <f t="shared" si="3"/>
        <v>4.43</v>
      </c>
    </row>
    <row r="63" spans="1:12">
      <c r="A63" s="833"/>
      <c r="B63" s="837" t="s">
        <v>148</v>
      </c>
      <c r="C63" s="837"/>
      <c r="D63" s="28">
        <f>'DADOS DO LICITANTE'!E52</f>
        <v>0.05</v>
      </c>
      <c r="E63" s="286">
        <v>30</v>
      </c>
      <c r="F63" s="878"/>
      <c r="G63" s="880"/>
      <c r="H63" s="880"/>
      <c r="I63" s="880"/>
      <c r="J63" s="880"/>
      <c r="K63" s="880"/>
      <c r="L63" s="880"/>
    </row>
    <row r="64" spans="1:12">
      <c r="A64" s="49" t="s">
        <v>1</v>
      </c>
      <c r="B64" s="881" t="s">
        <v>149</v>
      </c>
      <c r="C64" s="882"/>
      <c r="D64" s="882"/>
      <c r="E64" s="882"/>
      <c r="F64" s="883"/>
      <c r="G64" s="289">
        <f>ROUND(G62*$F$45,2)</f>
        <v>0.35</v>
      </c>
      <c r="H64" s="580">
        <f t="shared" ref="H64:L64" si="4">ROUND(H62*$F$45,2)</f>
        <v>0.35</v>
      </c>
      <c r="I64" s="580">
        <f t="shared" si="4"/>
        <v>0.35</v>
      </c>
      <c r="J64" s="580">
        <f t="shared" si="4"/>
        <v>0.35</v>
      </c>
      <c r="K64" s="580">
        <f t="shared" si="4"/>
        <v>0.35</v>
      </c>
      <c r="L64" s="580">
        <f t="shared" si="4"/>
        <v>0.35</v>
      </c>
    </row>
    <row r="65" spans="1:12">
      <c r="A65" s="49" t="s">
        <v>2</v>
      </c>
      <c r="B65" s="941" t="s">
        <v>416</v>
      </c>
      <c r="C65" s="942"/>
      <c r="D65" s="577">
        <f>'DADOS DO LICITANTE'!E53</f>
        <v>1</v>
      </c>
      <c r="E65" s="576"/>
      <c r="F65" s="287">
        <f>7/30/12</f>
        <v>1.9444444444444445E-2</v>
      </c>
      <c r="G65" s="288">
        <f>ROUND($G$27*$F$65*$D$65,2)</f>
        <v>18.55</v>
      </c>
      <c r="H65" s="579">
        <f t="shared" ref="H65:L65" si="5">ROUND($G$27*$F$65*$D$65,2)</f>
        <v>18.55</v>
      </c>
      <c r="I65" s="579">
        <f t="shared" si="5"/>
        <v>18.55</v>
      </c>
      <c r="J65" s="579">
        <f t="shared" si="5"/>
        <v>18.55</v>
      </c>
      <c r="K65" s="579">
        <f t="shared" si="5"/>
        <v>18.55</v>
      </c>
      <c r="L65" s="579">
        <f t="shared" si="5"/>
        <v>18.55</v>
      </c>
    </row>
    <row r="66" spans="1:12">
      <c r="A66" s="49" t="s">
        <v>3</v>
      </c>
      <c r="B66" s="885" t="s">
        <v>150</v>
      </c>
      <c r="C66" s="886"/>
      <c r="D66" s="886"/>
      <c r="E66" s="886"/>
      <c r="F66" s="883"/>
      <c r="G66" s="289">
        <f>ROUND(G65*$F$46,2)</f>
        <v>6.83</v>
      </c>
      <c r="H66" s="580">
        <f t="shared" ref="H66:L66" si="6">ROUND(H65*$F$46,2)</f>
        <v>6.83</v>
      </c>
      <c r="I66" s="580">
        <f t="shared" si="6"/>
        <v>6.83</v>
      </c>
      <c r="J66" s="580">
        <f t="shared" si="6"/>
        <v>6.83</v>
      </c>
      <c r="K66" s="580">
        <f t="shared" si="6"/>
        <v>6.83</v>
      </c>
      <c r="L66" s="580">
        <f t="shared" si="6"/>
        <v>6.83</v>
      </c>
    </row>
    <row r="67" spans="1:12">
      <c r="A67" s="49" t="s">
        <v>5</v>
      </c>
      <c r="B67" s="841" t="s">
        <v>413</v>
      </c>
      <c r="C67" s="841"/>
      <c r="D67" s="841"/>
      <c r="E67" s="841"/>
      <c r="F67" s="575">
        <v>0.04</v>
      </c>
      <c r="G67" s="288">
        <f>ROUND($G$27*$F$67,2)</f>
        <v>38.159999999999997</v>
      </c>
      <c r="H67" s="579">
        <f t="shared" ref="H67:L67" si="7">ROUND($G$27*$F$67,2)</f>
        <v>38.159999999999997</v>
      </c>
      <c r="I67" s="579">
        <f t="shared" si="7"/>
        <v>38.159999999999997</v>
      </c>
      <c r="J67" s="579">
        <f t="shared" si="7"/>
        <v>38.159999999999997</v>
      </c>
      <c r="K67" s="579">
        <f t="shared" si="7"/>
        <v>38.159999999999997</v>
      </c>
      <c r="L67" s="579">
        <f t="shared" si="7"/>
        <v>38.159999999999997</v>
      </c>
    </row>
    <row r="68" spans="1:12" ht="13">
      <c r="A68" s="294"/>
      <c r="B68" s="887" t="s">
        <v>9</v>
      </c>
      <c r="C68" s="888"/>
      <c r="D68" s="888"/>
      <c r="E68" s="888"/>
      <c r="F68" s="920"/>
      <c r="G68" s="41">
        <f t="shared" ref="G68:L68" si="8">ROUND(SUM(G62:G67),2)</f>
        <v>68.319999999999993</v>
      </c>
      <c r="H68" s="41">
        <f t="shared" si="8"/>
        <v>68.319999999999993</v>
      </c>
      <c r="I68" s="41">
        <f t="shared" si="8"/>
        <v>68.319999999999993</v>
      </c>
      <c r="J68" s="41">
        <f t="shared" si="8"/>
        <v>68.319999999999993</v>
      </c>
      <c r="K68" s="41">
        <f t="shared" si="8"/>
        <v>68.319999999999993</v>
      </c>
      <c r="L68" s="41">
        <f t="shared" si="8"/>
        <v>68.319999999999993</v>
      </c>
    </row>
    <row r="69" spans="1:12">
      <c r="A69" s="863" t="s">
        <v>414</v>
      </c>
      <c r="B69" s="863"/>
      <c r="C69" s="863"/>
      <c r="D69" s="863"/>
      <c r="E69" s="863"/>
      <c r="F69" s="863"/>
      <c r="G69" s="863"/>
      <c r="H69" s="863"/>
      <c r="I69" s="863"/>
      <c r="J69" s="863"/>
      <c r="K69" s="863"/>
    </row>
    <row r="70" spans="1:12">
      <c r="A70" s="680"/>
      <c r="B70" s="680"/>
      <c r="C70" s="680"/>
      <c r="D70" s="680"/>
      <c r="E70" s="680"/>
      <c r="F70" s="680"/>
      <c r="G70" s="680"/>
      <c r="H70" s="292"/>
      <c r="I70" s="292"/>
      <c r="J70" s="292"/>
      <c r="K70" s="292"/>
      <c r="L70" s="292"/>
    </row>
    <row r="71" spans="1:12" ht="13">
      <c r="A71" s="867" t="s">
        <v>151</v>
      </c>
      <c r="B71" s="867"/>
      <c r="C71" s="867"/>
      <c r="D71" s="867"/>
      <c r="E71" s="867"/>
      <c r="F71" s="867"/>
      <c r="G71" s="867"/>
      <c r="H71" s="867"/>
      <c r="I71" s="867"/>
      <c r="J71" s="867"/>
      <c r="K71" s="867"/>
      <c r="L71" s="867"/>
    </row>
    <row r="72" spans="1:12">
      <c r="A72" s="924" t="s">
        <v>152</v>
      </c>
      <c r="B72" s="924"/>
      <c r="C72" s="924"/>
      <c r="D72" s="924"/>
      <c r="E72" s="924"/>
      <c r="F72" s="924"/>
      <c r="G72" s="924"/>
      <c r="H72" s="924"/>
      <c r="I72" s="924"/>
      <c r="J72" s="924"/>
      <c r="K72" s="924"/>
      <c r="L72" s="924"/>
    </row>
    <row r="73" spans="1:12" ht="13">
      <c r="A73" s="293"/>
      <c r="B73" s="871" t="s">
        <v>153</v>
      </c>
      <c r="C73" s="871"/>
      <c r="D73" s="871"/>
      <c r="E73" s="871"/>
      <c r="F73" s="871"/>
      <c r="G73" s="51" t="s">
        <v>137</v>
      </c>
      <c r="H73" s="51" t="s">
        <v>137</v>
      </c>
      <c r="I73" s="51" t="s">
        <v>137</v>
      </c>
      <c r="J73" s="51" t="s">
        <v>137</v>
      </c>
      <c r="K73" s="51" t="s">
        <v>137</v>
      </c>
      <c r="L73" s="51" t="s">
        <v>137</v>
      </c>
    </row>
    <row r="74" spans="1:12" ht="12.5" customHeight="1">
      <c r="A74" s="294" t="s">
        <v>0</v>
      </c>
      <c r="B74" s="868" t="s">
        <v>154</v>
      </c>
      <c r="C74" s="869"/>
      <c r="D74" s="869"/>
      <c r="E74" s="870"/>
      <c r="F74" s="153">
        <v>9.0749999999999997E-2</v>
      </c>
      <c r="G74" s="290">
        <f>ROUND(($G$27*$F$74)+(($G$27*$F$74)*$F$46),2)</f>
        <v>118.44</v>
      </c>
      <c r="H74" s="578">
        <f t="shared" ref="H74:L74" si="9">ROUND(($G$27*$F$74)+(($G$27*$F$74)*$F$46),2)</f>
        <v>118.44</v>
      </c>
      <c r="I74" s="578">
        <f t="shared" si="9"/>
        <v>118.44</v>
      </c>
      <c r="J74" s="578">
        <f t="shared" si="9"/>
        <v>118.44</v>
      </c>
      <c r="K74" s="578">
        <f t="shared" si="9"/>
        <v>118.44</v>
      </c>
      <c r="L74" s="578">
        <f t="shared" si="9"/>
        <v>118.44</v>
      </c>
    </row>
    <row r="75" spans="1:12">
      <c r="A75" s="832" t="s">
        <v>1</v>
      </c>
      <c r="B75" s="846" t="s">
        <v>155</v>
      </c>
      <c r="C75" s="846"/>
      <c r="D75" s="846"/>
      <c r="E75" s="846"/>
      <c r="F75" s="878">
        <f>'DADOS DO LICITANTE'!G58</f>
        <v>2.7378507871321013E-3</v>
      </c>
      <c r="G75" s="866">
        <f>ROUND($F$75*($G$27+$G$34+$G$46+G59-G52-G53+G68+G74),2)</f>
        <v>5</v>
      </c>
      <c r="H75" s="866">
        <f t="shared" ref="H75:L75" si="10">ROUND($F$75*($G$27+$G$34+$G$46+H59-H52-H53+H68+H74),2)</f>
        <v>5</v>
      </c>
      <c r="I75" s="866">
        <f t="shared" si="10"/>
        <v>5</v>
      </c>
      <c r="J75" s="866">
        <f t="shared" si="10"/>
        <v>5</v>
      </c>
      <c r="K75" s="866">
        <f t="shared" si="10"/>
        <v>5</v>
      </c>
      <c r="L75" s="866">
        <f t="shared" si="10"/>
        <v>5</v>
      </c>
    </row>
    <row r="76" spans="1:12">
      <c r="A76" s="833"/>
      <c r="B76" s="836" t="s">
        <v>156</v>
      </c>
      <c r="C76" s="836"/>
      <c r="D76" s="836"/>
      <c r="E76" s="286">
        <f>'DADOS DO LICITANTE'!E58</f>
        <v>1</v>
      </c>
      <c r="F76" s="878"/>
      <c r="G76" s="866"/>
      <c r="H76" s="866"/>
      <c r="I76" s="866"/>
      <c r="J76" s="866"/>
      <c r="K76" s="866"/>
      <c r="L76" s="866"/>
    </row>
    <row r="77" spans="1:12">
      <c r="A77" s="832" t="s">
        <v>2</v>
      </c>
      <c r="B77" s="846" t="s">
        <v>157</v>
      </c>
      <c r="C77" s="846"/>
      <c r="D77" s="284" t="s">
        <v>158</v>
      </c>
      <c r="E77" s="286">
        <f>'DADOS DO LICITANTE'!E59</f>
        <v>5</v>
      </c>
      <c r="F77" s="878">
        <f>'DADOS DO LICITANTE'!G59</f>
        <v>2.0533880903490757E-4</v>
      </c>
      <c r="G77" s="866">
        <f>ROUND($F$77*($G$27+$G$34+$G$46+G59-G52-G53+G68+G74),2)</f>
        <v>0.38</v>
      </c>
      <c r="H77" s="866">
        <f t="shared" ref="H77:L77" si="11">ROUND($F$77*($G$27+$G$34+$G$46+H59-H52-H53+H68+H74),2)</f>
        <v>0.38</v>
      </c>
      <c r="I77" s="866">
        <f t="shared" si="11"/>
        <v>0.38</v>
      </c>
      <c r="J77" s="866">
        <f t="shared" si="11"/>
        <v>0.38</v>
      </c>
      <c r="K77" s="866">
        <f t="shared" si="11"/>
        <v>0.38</v>
      </c>
      <c r="L77" s="866">
        <f t="shared" si="11"/>
        <v>0.38</v>
      </c>
    </row>
    <row r="78" spans="1:12">
      <c r="A78" s="833"/>
      <c r="B78" s="836" t="s">
        <v>148</v>
      </c>
      <c r="C78" s="836"/>
      <c r="D78" s="836"/>
      <c r="E78" s="28">
        <f>'DADOS DO LICITANTE'!F59</f>
        <v>1.4999999999999999E-2</v>
      </c>
      <c r="F78" s="878">
        <v>0.121</v>
      </c>
      <c r="G78" s="866"/>
      <c r="H78" s="866"/>
      <c r="I78" s="866"/>
      <c r="J78" s="866"/>
      <c r="K78" s="866"/>
      <c r="L78" s="866"/>
    </row>
    <row r="79" spans="1:12">
      <c r="A79" s="832" t="s">
        <v>3</v>
      </c>
      <c r="B79" s="846" t="s">
        <v>159</v>
      </c>
      <c r="C79" s="846"/>
      <c r="D79" s="284" t="s">
        <v>160</v>
      </c>
      <c r="E79" s="286">
        <f>'DADOS DO LICITANTE'!E60</f>
        <v>0.97</v>
      </c>
      <c r="F79" s="878">
        <f>'DADOS DO LICITANTE'!G60</f>
        <v>2.6557152635181382E-3</v>
      </c>
      <c r="G79" s="866">
        <f>ROUND($F$79*($G$27+$G$34+$G$46+G59-G52-G53+G68+G74),2)</f>
        <v>4.8499999999999996</v>
      </c>
      <c r="H79" s="866">
        <f t="shared" ref="H79:L79" si="12">ROUND($F$79*($G$27+$G$34+$G$46+H59-H52-H53+H68+H74),2)</f>
        <v>4.8499999999999996</v>
      </c>
      <c r="I79" s="866">
        <f t="shared" si="12"/>
        <v>4.8499999999999996</v>
      </c>
      <c r="J79" s="866">
        <f t="shared" si="12"/>
        <v>4.8499999999999996</v>
      </c>
      <c r="K79" s="866">
        <f t="shared" si="12"/>
        <v>4.8499999999999996</v>
      </c>
      <c r="L79" s="866">
        <f t="shared" si="12"/>
        <v>4.8499999999999996</v>
      </c>
    </row>
    <row r="80" spans="1:12">
      <c r="A80" s="833"/>
      <c r="B80" s="836" t="s">
        <v>148</v>
      </c>
      <c r="C80" s="836"/>
      <c r="D80" s="836"/>
      <c r="E80" s="28">
        <f>'DADOS DO LICITANTE'!F60</f>
        <v>1</v>
      </c>
      <c r="F80" s="878"/>
      <c r="G80" s="866"/>
      <c r="H80" s="866"/>
      <c r="I80" s="866"/>
      <c r="J80" s="866"/>
      <c r="K80" s="866"/>
      <c r="L80" s="866"/>
    </row>
    <row r="81" spans="1:12">
      <c r="A81" s="832" t="s">
        <v>5</v>
      </c>
      <c r="B81" s="846" t="s">
        <v>161</v>
      </c>
      <c r="C81" s="846"/>
      <c r="D81" s="284" t="s">
        <v>162</v>
      </c>
      <c r="E81" s="28">
        <f>'DADOS DO LICITANTE'!F61</f>
        <v>0.02</v>
      </c>
      <c r="F81" s="878">
        <f>'DADOS DO LICITANTE'!G61</f>
        <v>6.570841889117043E-3</v>
      </c>
      <c r="G81" s="866">
        <f>ROUND((($G$27*0.121)+($G$27*0.121)*$F$46)*$F$81+(($G$27*$F$45+$F$46*$G$32+G59+G68-G52-G53)*$F$81),2)</f>
        <v>3.41</v>
      </c>
      <c r="H81" s="866">
        <f t="shared" ref="H81:L81" si="13">ROUND((($G$27*0.121)+($G$27*0.121)*$F$46)*$F$81+(($G$27*$F$45+$F$46*$G$32+H59+H68-H52-H53)*$F$81),2)</f>
        <v>3.41</v>
      </c>
      <c r="I81" s="866">
        <f t="shared" si="13"/>
        <v>3.41</v>
      </c>
      <c r="J81" s="866">
        <f t="shared" si="13"/>
        <v>3.41</v>
      </c>
      <c r="K81" s="866">
        <f t="shared" si="13"/>
        <v>3.41</v>
      </c>
      <c r="L81" s="866">
        <f t="shared" si="13"/>
        <v>3.41</v>
      </c>
    </row>
    <row r="82" spans="1:12">
      <c r="A82" s="833"/>
      <c r="B82" s="837"/>
      <c r="C82" s="837"/>
      <c r="D82" s="581" t="s">
        <v>163</v>
      </c>
      <c r="E82" s="598">
        <v>4</v>
      </c>
      <c r="F82" s="878"/>
      <c r="G82" s="866"/>
      <c r="H82" s="866"/>
      <c r="I82" s="866"/>
      <c r="J82" s="866"/>
      <c r="K82" s="866"/>
      <c r="L82" s="866"/>
    </row>
    <row r="83" spans="1:12">
      <c r="A83" s="96" t="s">
        <v>6</v>
      </c>
      <c r="B83" s="862" t="s">
        <v>236</v>
      </c>
      <c r="C83" s="939"/>
      <c r="D83" s="584" t="s">
        <v>158</v>
      </c>
      <c r="E83" s="584">
        <v>3</v>
      </c>
      <c r="F83" s="597">
        <f>'DADOS DO LICITANTE'!G62</f>
        <v>8.2135523613963042E-3</v>
      </c>
      <c r="G83" s="98">
        <f>ROUND($F$83*($G$27+$G$34+$G$46+G59-G52-G53+G68+G74),2)</f>
        <v>15</v>
      </c>
      <c r="H83" s="98">
        <f t="shared" ref="H83:L83" si="14">ROUND($F$83*($G$27+$G$34+$G$46+H59-H52-H53+H68+H74),2)</f>
        <v>15</v>
      </c>
      <c r="I83" s="98">
        <f t="shared" si="14"/>
        <v>15</v>
      </c>
      <c r="J83" s="98">
        <f t="shared" si="14"/>
        <v>15</v>
      </c>
      <c r="K83" s="98">
        <f t="shared" si="14"/>
        <v>15</v>
      </c>
      <c r="L83" s="98">
        <f t="shared" si="14"/>
        <v>15</v>
      </c>
    </row>
    <row r="84" spans="1:12">
      <c r="A84" s="294" t="s">
        <v>17</v>
      </c>
      <c r="B84" s="846" t="str">
        <f>'DADOS DO LICITANTE'!C63</f>
        <v>Outros</v>
      </c>
      <c r="C84" s="846"/>
      <c r="D84" s="907"/>
      <c r="E84" s="907"/>
      <c r="F84" s="287">
        <f>'DADOS DO LICITANTE'!G63</f>
        <v>0</v>
      </c>
      <c r="G84" s="290">
        <f>ROUND($F$84*($G$27+$G$34+$G$46+G59-G52-G53+G68+G74),2)</f>
        <v>0</v>
      </c>
      <c r="H84" s="587">
        <f t="shared" ref="H84:L84" si="15">ROUND($F$84*($G$27+$G$34+$G$46+H59-H52-H53+H68+H74),2)</f>
        <v>0</v>
      </c>
      <c r="I84" s="587">
        <f t="shared" si="15"/>
        <v>0</v>
      </c>
      <c r="J84" s="587">
        <f t="shared" si="15"/>
        <v>0</v>
      </c>
      <c r="K84" s="587">
        <f t="shared" si="15"/>
        <v>0</v>
      </c>
      <c r="L84" s="587">
        <f t="shared" si="15"/>
        <v>0</v>
      </c>
    </row>
    <row r="85" spans="1:12" ht="13">
      <c r="A85" s="898" t="s">
        <v>9</v>
      </c>
      <c r="B85" s="898"/>
      <c r="C85" s="898"/>
      <c r="D85" s="898"/>
      <c r="E85" s="898"/>
      <c r="F85" s="898"/>
      <c r="G85" s="18">
        <f>SUM(G74:G84)</f>
        <v>147.07999999999998</v>
      </c>
      <c r="H85" s="18">
        <f t="shared" ref="H85:K85" si="16">SUM(H74:H84)</f>
        <v>147.07999999999998</v>
      </c>
      <c r="I85" s="18">
        <f t="shared" si="16"/>
        <v>147.07999999999998</v>
      </c>
      <c r="J85" s="18">
        <f t="shared" si="16"/>
        <v>147.07999999999998</v>
      </c>
      <c r="K85" s="18">
        <f t="shared" si="16"/>
        <v>147.07999999999998</v>
      </c>
      <c r="L85" s="18">
        <f t="shared" ref="L85" si="17">SUM(L74:L84)</f>
        <v>147.07999999999998</v>
      </c>
    </row>
    <row r="86" spans="1:12">
      <c r="A86" s="687"/>
      <c r="B86" s="687"/>
      <c r="C86" s="687"/>
      <c r="D86" s="687"/>
      <c r="E86" s="687"/>
      <c r="F86" s="687"/>
      <c r="G86" s="687"/>
      <c r="H86" s="292"/>
      <c r="I86" s="292"/>
      <c r="J86" s="292"/>
      <c r="K86" s="292"/>
      <c r="L86" s="292"/>
    </row>
    <row r="87" spans="1:12" ht="13">
      <c r="A87" s="867" t="s">
        <v>164</v>
      </c>
      <c r="B87" s="867"/>
      <c r="C87" s="867"/>
      <c r="D87" s="867"/>
      <c r="E87" s="867"/>
      <c r="F87" s="867"/>
      <c r="G87" s="867"/>
      <c r="H87" s="867"/>
      <c r="I87" s="867"/>
      <c r="J87" s="867"/>
      <c r="K87" s="867"/>
      <c r="L87" s="867"/>
    </row>
    <row r="88" spans="1:12" ht="13">
      <c r="A88" s="293"/>
      <c r="B88" s="871" t="s">
        <v>165</v>
      </c>
      <c r="C88" s="871"/>
      <c r="D88" s="871"/>
      <c r="E88" s="871"/>
      <c r="F88" s="871"/>
      <c r="G88" s="51" t="s">
        <v>8</v>
      </c>
      <c r="H88" s="51" t="s">
        <v>8</v>
      </c>
      <c r="I88" s="51" t="s">
        <v>8</v>
      </c>
      <c r="J88" s="51" t="s">
        <v>8</v>
      </c>
      <c r="K88" s="51" t="s">
        <v>8</v>
      </c>
      <c r="L88" s="51" t="s">
        <v>8</v>
      </c>
    </row>
    <row r="89" spans="1:12">
      <c r="A89" s="294" t="s">
        <v>0</v>
      </c>
      <c r="B89" s="846" t="s">
        <v>166</v>
      </c>
      <c r="C89" s="846"/>
      <c r="D89" s="846"/>
      <c r="E89" s="846"/>
      <c r="F89" s="846"/>
      <c r="G89" s="289">
        <f>UNIFORMES!$E$11</f>
        <v>116.11416666666666</v>
      </c>
      <c r="H89" s="289">
        <f>UNIFORMES!$E$11</f>
        <v>116.11416666666666</v>
      </c>
      <c r="I89" s="289">
        <f>UNIFORMES!$E$11</f>
        <v>116.11416666666666</v>
      </c>
      <c r="J89" s="289">
        <f>UNIFORMES!$E$11</f>
        <v>116.11416666666666</v>
      </c>
      <c r="K89" s="289">
        <f>UNIFORMES!$E$11</f>
        <v>116.11416666666666</v>
      </c>
      <c r="L89" s="289">
        <f>UNIFORMES!$E$11</f>
        <v>116.11416666666666</v>
      </c>
    </row>
    <row r="90" spans="1:12">
      <c r="A90" s="294" t="s">
        <v>1</v>
      </c>
      <c r="B90" s="846" t="s">
        <v>285</v>
      </c>
      <c r="C90" s="846"/>
      <c r="D90" s="846"/>
      <c r="E90" s="846"/>
      <c r="F90" s="846"/>
      <c r="G90" s="289">
        <f t="shared" ref="G90:L90" si="18">ROUND(($G$27+$G$34+$G$46+G59+G68+G85+G89)*0.12,2)</f>
        <v>252.91</v>
      </c>
      <c r="H90" s="289">
        <f t="shared" si="18"/>
        <v>255.78</v>
      </c>
      <c r="I90" s="289">
        <f t="shared" si="18"/>
        <v>257.33999999999997</v>
      </c>
      <c r="J90" s="289">
        <f t="shared" si="18"/>
        <v>258.39</v>
      </c>
      <c r="K90" s="289">
        <f t="shared" si="18"/>
        <v>260.20999999999998</v>
      </c>
      <c r="L90" s="289">
        <f t="shared" si="18"/>
        <v>251.09</v>
      </c>
    </row>
    <row r="91" spans="1:12">
      <c r="A91" s="294" t="s">
        <v>2</v>
      </c>
      <c r="B91" s="903" t="str">
        <f>'DADOS DO LICITANTE'!A69</f>
        <v>Outros (especificar)</v>
      </c>
      <c r="C91" s="903"/>
      <c r="D91" s="903"/>
      <c r="E91" s="903"/>
      <c r="F91" s="903"/>
      <c r="G91" s="150">
        <f>'DADOS DO LICITANTE'!G69</f>
        <v>0</v>
      </c>
      <c r="H91" s="150">
        <f>'DADOS DO LICITANTE'!G69</f>
        <v>0</v>
      </c>
      <c r="I91" s="150">
        <f>'DADOS DO LICITANTE'!G69</f>
        <v>0</v>
      </c>
      <c r="J91" s="150">
        <f>'DADOS DO LICITANTE'!G69</f>
        <v>0</v>
      </c>
      <c r="K91" s="150">
        <f>'DADOS DO LICITANTE'!G69</f>
        <v>0</v>
      </c>
      <c r="L91" s="150">
        <f>'DADOS DO LICITANTE'!H69</f>
        <v>0</v>
      </c>
    </row>
    <row r="92" spans="1:12" ht="13">
      <c r="A92" s="294"/>
      <c r="B92" s="857" t="s">
        <v>167</v>
      </c>
      <c r="C92" s="857"/>
      <c r="D92" s="857"/>
      <c r="E92" s="857"/>
      <c r="F92" s="857"/>
      <c r="G92" s="52">
        <f t="shared" ref="G92:K92" si="19">G89+G90+G91</f>
        <v>369.02416666666664</v>
      </c>
      <c r="H92" s="52">
        <f t="shared" si="19"/>
        <v>371.89416666666665</v>
      </c>
      <c r="I92" s="52">
        <f t="shared" si="19"/>
        <v>373.45416666666665</v>
      </c>
      <c r="J92" s="52">
        <f t="shared" si="19"/>
        <v>374.50416666666666</v>
      </c>
      <c r="K92" s="52">
        <f t="shared" si="19"/>
        <v>376.32416666666666</v>
      </c>
      <c r="L92" s="52">
        <f t="shared" ref="L92" si="20">L89+L90+L91</f>
        <v>367.20416666666665</v>
      </c>
    </row>
    <row r="93" spans="1:12">
      <c r="A93" s="292" t="s">
        <v>168</v>
      </c>
      <c r="B93" s="901" t="s">
        <v>169</v>
      </c>
      <c r="C93" s="901"/>
      <c r="D93" s="901"/>
      <c r="E93" s="901"/>
      <c r="F93" s="901"/>
      <c r="G93" s="901"/>
      <c r="H93" s="901"/>
      <c r="I93" s="901"/>
      <c r="J93" s="901"/>
      <c r="K93" s="901"/>
    </row>
    <row r="94" spans="1:12">
      <c r="A94" s="900"/>
      <c r="B94" s="900"/>
      <c r="C94" s="900"/>
      <c r="D94" s="900"/>
      <c r="E94" s="900"/>
      <c r="F94" s="900"/>
      <c r="G94" s="900"/>
      <c r="H94" s="900"/>
      <c r="I94" s="900"/>
      <c r="J94" s="900"/>
      <c r="K94" s="900"/>
    </row>
    <row r="95" spans="1:12" ht="13">
      <c r="A95" s="867" t="s">
        <v>170</v>
      </c>
      <c r="B95" s="867"/>
      <c r="C95" s="867"/>
      <c r="D95" s="867"/>
      <c r="E95" s="867"/>
      <c r="F95" s="867"/>
      <c r="G95" s="867"/>
      <c r="H95" s="867"/>
      <c r="I95" s="867"/>
      <c r="J95" s="867"/>
      <c r="K95" s="867"/>
      <c r="L95" s="867"/>
    </row>
    <row r="96" spans="1:12" ht="13">
      <c r="A96" s="53" t="s">
        <v>0</v>
      </c>
      <c r="B96" s="902" t="s">
        <v>123</v>
      </c>
      <c r="C96" s="902"/>
      <c r="D96" s="902"/>
      <c r="E96" s="902"/>
      <c r="F96" s="902"/>
      <c r="G96" s="54">
        <f>$G$27</f>
        <v>954</v>
      </c>
      <c r="H96" s="54">
        <f t="shared" ref="H96:L96" si="21">$G$27</f>
        <v>954</v>
      </c>
      <c r="I96" s="54">
        <f t="shared" si="21"/>
        <v>954</v>
      </c>
      <c r="J96" s="54">
        <f t="shared" si="21"/>
        <v>954</v>
      </c>
      <c r="K96" s="54">
        <f t="shared" si="21"/>
        <v>954</v>
      </c>
      <c r="L96" s="54">
        <f t="shared" si="21"/>
        <v>954</v>
      </c>
    </row>
    <row r="97" spans="1:12" ht="13">
      <c r="A97" s="55" t="s">
        <v>1</v>
      </c>
      <c r="B97" s="895" t="s">
        <v>130</v>
      </c>
      <c r="C97" s="895"/>
      <c r="D97" s="895"/>
      <c r="E97" s="895"/>
      <c r="F97" s="895"/>
      <c r="G97" s="56">
        <f t="shared" ref="G97:L97" si="22">$G$34+$G$46+G59</f>
        <v>822.07999999999993</v>
      </c>
      <c r="H97" s="56">
        <f t="shared" si="22"/>
        <v>845.98</v>
      </c>
      <c r="I97" s="56">
        <f t="shared" si="22"/>
        <v>859.02</v>
      </c>
      <c r="J97" s="56">
        <f t="shared" si="22"/>
        <v>867.71</v>
      </c>
      <c r="K97" s="56">
        <f t="shared" si="22"/>
        <v>882.91</v>
      </c>
      <c r="L97" s="56">
        <f t="shared" si="22"/>
        <v>806.87</v>
      </c>
    </row>
    <row r="98" spans="1:12" ht="13">
      <c r="A98" s="55" t="s">
        <v>2</v>
      </c>
      <c r="B98" s="891" t="s">
        <v>145</v>
      </c>
      <c r="C98" s="891"/>
      <c r="D98" s="891"/>
      <c r="E98" s="891"/>
      <c r="F98" s="891"/>
      <c r="G98" s="56">
        <f t="shared" ref="G98:K98" si="23">G68</f>
        <v>68.319999999999993</v>
      </c>
      <c r="H98" s="56">
        <f t="shared" si="23"/>
        <v>68.319999999999993</v>
      </c>
      <c r="I98" s="56">
        <f t="shared" si="23"/>
        <v>68.319999999999993</v>
      </c>
      <c r="J98" s="56">
        <f t="shared" si="23"/>
        <v>68.319999999999993</v>
      </c>
      <c r="K98" s="56">
        <f t="shared" si="23"/>
        <v>68.319999999999993</v>
      </c>
      <c r="L98" s="56">
        <f t="shared" ref="L98" si="24">L68</f>
        <v>68.319999999999993</v>
      </c>
    </row>
    <row r="99" spans="1:12" ht="13">
      <c r="A99" s="55" t="s">
        <v>3</v>
      </c>
      <c r="B99" s="891" t="s">
        <v>151</v>
      </c>
      <c r="C99" s="891"/>
      <c r="D99" s="891"/>
      <c r="E99" s="891"/>
      <c r="F99" s="891"/>
      <c r="G99" s="56">
        <f t="shared" ref="G99:K99" si="25">G85</f>
        <v>147.07999999999998</v>
      </c>
      <c r="H99" s="56">
        <f t="shared" si="25"/>
        <v>147.07999999999998</v>
      </c>
      <c r="I99" s="56">
        <f t="shared" si="25"/>
        <v>147.07999999999998</v>
      </c>
      <c r="J99" s="56">
        <f t="shared" si="25"/>
        <v>147.07999999999998</v>
      </c>
      <c r="K99" s="56">
        <f t="shared" si="25"/>
        <v>147.07999999999998</v>
      </c>
      <c r="L99" s="56">
        <f t="shared" ref="L99" si="26">L85</f>
        <v>147.07999999999998</v>
      </c>
    </row>
    <row r="100" spans="1:12" ht="13">
      <c r="A100" s="55" t="s">
        <v>5</v>
      </c>
      <c r="B100" s="891" t="s">
        <v>164</v>
      </c>
      <c r="C100" s="891"/>
      <c r="D100" s="891"/>
      <c r="E100" s="891"/>
      <c r="F100" s="891"/>
      <c r="G100" s="56">
        <f t="shared" ref="G100:K100" si="27">G92</f>
        <v>369.02416666666664</v>
      </c>
      <c r="H100" s="56">
        <f t="shared" si="27"/>
        <v>371.89416666666665</v>
      </c>
      <c r="I100" s="56">
        <f t="shared" si="27"/>
        <v>373.45416666666665</v>
      </c>
      <c r="J100" s="56">
        <f t="shared" si="27"/>
        <v>374.50416666666666</v>
      </c>
      <c r="K100" s="56">
        <f t="shared" si="27"/>
        <v>376.32416666666666</v>
      </c>
      <c r="L100" s="56">
        <f t="shared" ref="L100" si="28">L92</f>
        <v>367.20416666666665</v>
      </c>
    </row>
    <row r="101" spans="1:12" ht="13">
      <c r="A101" s="898" t="s">
        <v>9</v>
      </c>
      <c r="B101" s="898"/>
      <c r="C101" s="898"/>
      <c r="D101" s="898"/>
      <c r="E101" s="898"/>
      <c r="F101" s="898"/>
      <c r="G101" s="57">
        <f>SUM(G96:G100)</f>
        <v>2360.5041666666666</v>
      </c>
      <c r="H101" s="57">
        <f t="shared" ref="H101:K101" si="29">SUM(H96:H100)</f>
        <v>2387.2741666666666</v>
      </c>
      <c r="I101" s="57">
        <f t="shared" si="29"/>
        <v>2401.8741666666665</v>
      </c>
      <c r="J101" s="57">
        <f t="shared" si="29"/>
        <v>2411.6141666666667</v>
      </c>
      <c r="K101" s="57">
        <f t="shared" si="29"/>
        <v>2428.6341666666667</v>
      </c>
      <c r="L101" s="57">
        <f t="shared" ref="L101" si="30">SUM(L96:L100)</f>
        <v>2343.4741666666664</v>
      </c>
    </row>
    <row r="102" spans="1:12" ht="13" customHeight="1">
      <c r="A102" s="922"/>
      <c r="B102" s="923"/>
      <c r="C102" s="923"/>
      <c r="D102" s="923"/>
      <c r="E102" s="923"/>
      <c r="F102" s="923"/>
      <c r="G102" s="923"/>
      <c r="H102" s="923"/>
      <c r="I102" s="923"/>
      <c r="J102" s="923"/>
      <c r="K102" s="923"/>
      <c r="L102" s="923"/>
    </row>
    <row r="103" spans="1:12">
      <c r="A103" s="58"/>
      <c r="B103" s="322"/>
      <c r="C103" s="322"/>
      <c r="D103" s="322"/>
      <c r="E103" s="322"/>
      <c r="F103" s="322"/>
      <c r="G103" s="46" t="s">
        <v>274</v>
      </c>
      <c r="H103" s="47" t="s">
        <v>292</v>
      </c>
      <c r="I103" s="47" t="s">
        <v>275</v>
      </c>
      <c r="J103" s="47" t="s">
        <v>277</v>
      </c>
      <c r="K103" s="47" t="s">
        <v>278</v>
      </c>
      <c r="L103" s="47" t="s">
        <v>279</v>
      </c>
    </row>
    <row r="104" spans="1:12" ht="13">
      <c r="A104" s="867" t="s">
        <v>171</v>
      </c>
      <c r="B104" s="867"/>
      <c r="C104" s="867"/>
      <c r="D104" s="867"/>
      <c r="E104" s="867"/>
      <c r="F104" s="867"/>
      <c r="G104" s="867"/>
      <c r="H104" s="867"/>
      <c r="I104" s="867"/>
      <c r="J104" s="867"/>
      <c r="K104" s="867"/>
      <c r="L104" s="867"/>
    </row>
    <row r="105" spans="1:12" ht="13">
      <c r="A105" s="293">
        <v>5</v>
      </c>
      <c r="B105" s="871" t="s">
        <v>172</v>
      </c>
      <c r="C105" s="871"/>
      <c r="D105" s="871"/>
      <c r="E105" s="871"/>
      <c r="F105" s="293" t="s">
        <v>11</v>
      </c>
      <c r="G105" s="293" t="s">
        <v>8</v>
      </c>
      <c r="H105" s="293" t="s">
        <v>8</v>
      </c>
      <c r="I105" s="293" t="s">
        <v>8</v>
      </c>
      <c r="J105" s="293" t="s">
        <v>8</v>
      </c>
      <c r="K105" s="293" t="s">
        <v>8</v>
      </c>
      <c r="L105" s="293" t="s">
        <v>8</v>
      </c>
    </row>
    <row r="106" spans="1:12">
      <c r="A106" s="294" t="s">
        <v>0</v>
      </c>
      <c r="B106" s="846" t="s">
        <v>173</v>
      </c>
      <c r="C106" s="846"/>
      <c r="D106" s="846"/>
      <c r="E106" s="846"/>
      <c r="F106" s="59">
        <f>'DADOS DO LICITANTE'!D74</f>
        <v>0.05</v>
      </c>
      <c r="G106" s="290">
        <f t="shared" ref="G106:K106" si="31">ROUND(G101*$F$106,2)</f>
        <v>118.03</v>
      </c>
      <c r="H106" s="290">
        <f t="shared" si="31"/>
        <v>119.36</v>
      </c>
      <c r="I106" s="290">
        <f t="shared" si="31"/>
        <v>120.09</v>
      </c>
      <c r="J106" s="290">
        <f t="shared" si="31"/>
        <v>120.58</v>
      </c>
      <c r="K106" s="290">
        <f t="shared" si="31"/>
        <v>121.43</v>
      </c>
      <c r="L106" s="290">
        <f t="shared" ref="L106" si="32">ROUND(L101*$F$106,2)</f>
        <v>117.17</v>
      </c>
    </row>
    <row r="107" spans="1:12">
      <c r="A107" s="294" t="s">
        <v>1</v>
      </c>
      <c r="B107" s="846" t="s">
        <v>25</v>
      </c>
      <c r="C107" s="846"/>
      <c r="D107" s="846"/>
      <c r="E107" s="846"/>
      <c r="F107" s="59">
        <f>'DADOS DO LICITANTE'!D75</f>
        <v>0.1</v>
      </c>
      <c r="G107" s="290">
        <f t="shared" ref="G107:K107" si="33">ROUND((G101+G106)*$F$107,2)</f>
        <v>247.85</v>
      </c>
      <c r="H107" s="290">
        <f t="shared" si="33"/>
        <v>250.66</v>
      </c>
      <c r="I107" s="290">
        <f t="shared" si="33"/>
        <v>252.2</v>
      </c>
      <c r="J107" s="290">
        <f t="shared" si="33"/>
        <v>253.22</v>
      </c>
      <c r="K107" s="290">
        <f t="shared" si="33"/>
        <v>255.01</v>
      </c>
      <c r="L107" s="290">
        <f t="shared" ref="L107" si="34">ROUND((L101+L106)*$F$107,2)</f>
        <v>246.06</v>
      </c>
    </row>
    <row r="108" spans="1:12">
      <c r="A108" s="294" t="s">
        <v>2</v>
      </c>
      <c r="B108" s="846" t="s">
        <v>26</v>
      </c>
      <c r="C108" s="846"/>
      <c r="D108" s="846"/>
      <c r="E108" s="846"/>
      <c r="F108" s="896">
        <f>SUM(E109:E112)</f>
        <v>8.6499999999999994E-2</v>
      </c>
      <c r="G108" s="866" t="s">
        <v>23</v>
      </c>
      <c r="H108" s="866" t="s">
        <v>23</v>
      </c>
      <c r="I108" s="866" t="s">
        <v>23</v>
      </c>
      <c r="J108" s="866" t="s">
        <v>23</v>
      </c>
      <c r="K108" s="866" t="s">
        <v>23</v>
      </c>
      <c r="L108" s="866">
        <f>((L101+L106+L107)/(1-$F$108))*$F$108</f>
        <v>256.29984719941609</v>
      </c>
    </row>
    <row r="109" spans="1:12">
      <c r="A109" s="925" t="s">
        <v>174</v>
      </c>
      <c r="B109" s="846" t="s">
        <v>175</v>
      </c>
      <c r="C109" s="846"/>
      <c r="D109" s="60" t="s">
        <v>176</v>
      </c>
      <c r="E109" s="61">
        <f>'DADOS DO LICITANTE'!D78</f>
        <v>6.4999999999999997E-3</v>
      </c>
      <c r="F109" s="896"/>
      <c r="G109" s="866"/>
      <c r="H109" s="866"/>
      <c r="I109" s="866"/>
      <c r="J109" s="866"/>
      <c r="K109" s="866"/>
      <c r="L109" s="866"/>
    </row>
    <row r="110" spans="1:12">
      <c r="A110" s="926"/>
      <c r="B110" s="846"/>
      <c r="C110" s="846"/>
      <c r="D110" s="60" t="s">
        <v>177</v>
      </c>
      <c r="E110" s="61">
        <f>'DADOS DO LICITANTE'!D79</f>
        <v>0.03</v>
      </c>
      <c r="F110" s="896"/>
      <c r="G110" s="866"/>
      <c r="H110" s="866"/>
      <c r="I110" s="866"/>
      <c r="J110" s="866"/>
      <c r="K110" s="866"/>
      <c r="L110" s="866"/>
    </row>
    <row r="111" spans="1:12">
      <c r="A111" s="294" t="s">
        <v>178</v>
      </c>
      <c r="B111" s="846" t="s">
        <v>179</v>
      </c>
      <c r="C111" s="846"/>
      <c r="D111" s="846"/>
      <c r="E111" s="28">
        <f>'DADOS DO LICITANTE'!D84</f>
        <v>0</v>
      </c>
      <c r="F111" s="896"/>
      <c r="G111" s="866"/>
      <c r="H111" s="866"/>
      <c r="I111" s="866"/>
      <c r="J111" s="866"/>
      <c r="K111" s="866"/>
      <c r="L111" s="866"/>
    </row>
    <row r="112" spans="1:12" ht="51.5" customHeight="1">
      <c r="A112" s="925" t="s">
        <v>180</v>
      </c>
      <c r="B112" s="846" t="s">
        <v>181</v>
      </c>
      <c r="C112" s="846"/>
      <c r="D112" s="62" t="str">
        <f>'DADOS DO LICITANTE'!A80</f>
        <v>Guarulhos, São Sebastião, Taubaté, Pindamonhangaba, Campos do Jordão</v>
      </c>
      <c r="E112" s="63">
        <f>'DADOS DO LICITANTE'!D80</f>
        <v>0.05</v>
      </c>
      <c r="F112" s="896"/>
      <c r="G112" s="866"/>
      <c r="H112" s="866"/>
      <c r="I112" s="866"/>
      <c r="J112" s="866"/>
      <c r="K112" s="866"/>
      <c r="L112" s="866"/>
    </row>
    <row r="113" spans="1:12" ht="38.25" customHeight="1">
      <c r="A113" s="927"/>
      <c r="B113" s="928"/>
      <c r="C113" s="928"/>
      <c r="D113" s="319" t="str">
        <f>'DADOS DO LICITANTE'!A81</f>
        <v>Suzano</v>
      </c>
      <c r="E113" s="320">
        <f>'DADOS DO LICITANTE'!D81</f>
        <v>0.04</v>
      </c>
      <c r="F113" s="321">
        <f>'DADOS DO LICITANTE'!E81</f>
        <v>7.6499999999999999E-2</v>
      </c>
      <c r="G113" s="98"/>
      <c r="H113" s="98"/>
      <c r="I113" s="98">
        <f>((I101+I106+I107)/(1-$F$113))*$F$113</f>
        <v>229.80352869518134</v>
      </c>
      <c r="J113" s="98"/>
      <c r="K113" s="98"/>
      <c r="L113" s="98"/>
    </row>
    <row r="114" spans="1:12" ht="18.5" customHeight="1">
      <c r="A114" s="927"/>
      <c r="B114" s="846"/>
      <c r="C114" s="846"/>
      <c r="D114" s="62" t="str">
        <f>'DADOS DO LICITANTE'!A82</f>
        <v>Mogi das Cruzes</v>
      </c>
      <c r="E114" s="63">
        <f>'DADOS DO LICITANTE'!D82</f>
        <v>3.5000000000000003E-2</v>
      </c>
      <c r="F114" s="291">
        <f>E109+E110+E111+E114</f>
        <v>7.1500000000000008E-2</v>
      </c>
      <c r="G114" s="290" t="s">
        <v>23</v>
      </c>
      <c r="H114" s="290">
        <f>((H101+H106+H107)/(1-$F$114))*$F$114</f>
        <v>212.32798375516069</v>
      </c>
      <c r="I114" s="290" t="s">
        <v>23</v>
      </c>
      <c r="J114" s="290" t="s">
        <v>23</v>
      </c>
      <c r="K114" s="290" t="s">
        <v>23</v>
      </c>
      <c r="L114" s="290" t="s">
        <v>23</v>
      </c>
    </row>
    <row r="115" spans="1:12" ht="29.5" customHeight="1">
      <c r="A115" s="926"/>
      <c r="B115" s="846"/>
      <c r="C115" s="846"/>
      <c r="D115" s="62" t="str">
        <f>'DADOS DO LICITANTE'!A83</f>
        <v>SJC, Jacareí,Guaratinguetá</v>
      </c>
      <c r="E115" s="63">
        <f>'DADOS DO LICITANTE'!D83</f>
        <v>0.03</v>
      </c>
      <c r="F115" s="291">
        <f>E109+E110+E111+E115</f>
        <v>6.6500000000000004E-2</v>
      </c>
      <c r="G115" s="290">
        <f>((G101+G106+G107)/(1-$F$115))*$F$115</f>
        <v>194.2201896982682</v>
      </c>
      <c r="H115" s="290" t="s">
        <v>23</v>
      </c>
      <c r="I115" s="290" t="s">
        <v>23</v>
      </c>
      <c r="J115" s="290" t="s">
        <v>23</v>
      </c>
      <c r="K115" s="290">
        <f>((K101+K106+K107)/(1-$F$115))*$F$115</f>
        <v>199.82585118728795</v>
      </c>
      <c r="L115" s="290" t="s">
        <v>23</v>
      </c>
    </row>
    <row r="116" spans="1:12" ht="17" customHeight="1">
      <c r="A116" s="294"/>
      <c r="B116" s="857" t="s">
        <v>9</v>
      </c>
      <c r="C116" s="857"/>
      <c r="D116" s="857"/>
      <c r="E116" s="857"/>
      <c r="F116" s="857"/>
      <c r="G116" s="18">
        <f t="shared" ref="G116:K116" si="35">SUM(G106:G115)</f>
        <v>560.1001896982682</v>
      </c>
      <c r="H116" s="18">
        <f t="shared" si="35"/>
        <v>582.34798375516061</v>
      </c>
      <c r="I116" s="18">
        <f t="shared" si="35"/>
        <v>602.09352869518125</v>
      </c>
      <c r="J116" s="18">
        <f t="shared" si="35"/>
        <v>373.8</v>
      </c>
      <c r="K116" s="18">
        <f t="shared" si="35"/>
        <v>576.26585118728792</v>
      </c>
      <c r="L116" s="18">
        <f t="shared" ref="L116" si="36">SUM(L106:L115)</f>
        <v>619.52984719941605</v>
      </c>
    </row>
    <row r="117" spans="1:12">
      <c r="A117" s="687"/>
      <c r="B117" s="687"/>
      <c r="C117" s="687"/>
      <c r="D117" s="687"/>
      <c r="E117" s="687"/>
      <c r="F117" s="687"/>
      <c r="G117" s="687"/>
      <c r="H117" s="292"/>
      <c r="I117" s="292"/>
      <c r="J117" s="292"/>
      <c r="K117" s="292"/>
      <c r="L117" s="292"/>
    </row>
    <row r="118" spans="1:12" ht="13">
      <c r="A118" s="937" t="s">
        <v>288</v>
      </c>
      <c r="B118" s="938"/>
      <c r="C118" s="938"/>
      <c r="D118" s="938"/>
      <c r="E118" s="938"/>
      <c r="F118" s="938"/>
      <c r="G118" s="938"/>
      <c r="H118" s="938"/>
      <c r="I118" s="938"/>
      <c r="J118" s="938"/>
      <c r="K118" s="938"/>
      <c r="L118" s="938"/>
    </row>
    <row r="119" spans="1:12" ht="13">
      <c r="A119" s="871" t="s">
        <v>182</v>
      </c>
      <c r="B119" s="871"/>
      <c r="C119" s="871"/>
      <c r="D119" s="871"/>
      <c r="E119" s="871"/>
      <c r="F119" s="871"/>
      <c r="G119" s="51" t="s">
        <v>183</v>
      </c>
      <c r="H119" s="51" t="s">
        <v>183</v>
      </c>
      <c r="I119" s="51" t="s">
        <v>183</v>
      </c>
      <c r="J119" s="51" t="s">
        <v>183</v>
      </c>
      <c r="K119" s="51" t="s">
        <v>183</v>
      </c>
      <c r="L119" s="51" t="s">
        <v>183</v>
      </c>
    </row>
    <row r="120" spans="1:12" ht="13">
      <c r="A120" s="294" t="s">
        <v>0</v>
      </c>
      <c r="B120" s="891" t="s">
        <v>123</v>
      </c>
      <c r="C120" s="891"/>
      <c r="D120" s="891"/>
      <c r="E120" s="891"/>
      <c r="F120" s="891"/>
      <c r="G120" s="289">
        <f t="shared" ref="G120:K124" si="37">G96</f>
        <v>954</v>
      </c>
      <c r="H120" s="289">
        <f t="shared" si="37"/>
        <v>954</v>
      </c>
      <c r="I120" s="289">
        <f t="shared" si="37"/>
        <v>954</v>
      </c>
      <c r="J120" s="289">
        <f t="shared" si="37"/>
        <v>954</v>
      </c>
      <c r="K120" s="289">
        <f t="shared" si="37"/>
        <v>954</v>
      </c>
      <c r="L120" s="289">
        <f t="shared" ref="L120" si="38">L96</f>
        <v>954</v>
      </c>
    </row>
    <row r="121" spans="1:12" ht="13">
      <c r="A121" s="294" t="s">
        <v>1</v>
      </c>
      <c r="B121" s="895" t="s">
        <v>130</v>
      </c>
      <c r="C121" s="895"/>
      <c r="D121" s="895"/>
      <c r="E121" s="895"/>
      <c r="F121" s="895"/>
      <c r="G121" s="289">
        <f t="shared" si="37"/>
        <v>822.07999999999993</v>
      </c>
      <c r="H121" s="289">
        <f t="shared" si="37"/>
        <v>845.98</v>
      </c>
      <c r="I121" s="289">
        <f t="shared" si="37"/>
        <v>859.02</v>
      </c>
      <c r="J121" s="289">
        <f t="shared" si="37"/>
        <v>867.71</v>
      </c>
      <c r="K121" s="289">
        <f t="shared" si="37"/>
        <v>882.91</v>
      </c>
      <c r="L121" s="289">
        <f t="shared" ref="L121" si="39">L97</f>
        <v>806.87</v>
      </c>
    </row>
    <row r="122" spans="1:12" ht="13">
      <c r="A122" s="294" t="s">
        <v>2</v>
      </c>
      <c r="B122" s="891" t="s">
        <v>145</v>
      </c>
      <c r="C122" s="891"/>
      <c r="D122" s="891"/>
      <c r="E122" s="891"/>
      <c r="F122" s="891"/>
      <c r="G122" s="289">
        <f t="shared" si="37"/>
        <v>68.319999999999993</v>
      </c>
      <c r="H122" s="289">
        <f t="shared" si="37"/>
        <v>68.319999999999993</v>
      </c>
      <c r="I122" s="289">
        <f t="shared" si="37"/>
        <v>68.319999999999993</v>
      </c>
      <c r="J122" s="289">
        <f t="shared" si="37"/>
        <v>68.319999999999993</v>
      </c>
      <c r="K122" s="289">
        <f t="shared" si="37"/>
        <v>68.319999999999993</v>
      </c>
      <c r="L122" s="289">
        <f t="shared" ref="L122" si="40">L98</f>
        <v>68.319999999999993</v>
      </c>
    </row>
    <row r="123" spans="1:12" ht="13">
      <c r="A123" s="294" t="s">
        <v>3</v>
      </c>
      <c r="B123" s="891" t="s">
        <v>151</v>
      </c>
      <c r="C123" s="891"/>
      <c r="D123" s="891"/>
      <c r="E123" s="891"/>
      <c r="F123" s="891"/>
      <c r="G123" s="289">
        <f t="shared" si="37"/>
        <v>147.07999999999998</v>
      </c>
      <c r="H123" s="289">
        <f t="shared" si="37"/>
        <v>147.07999999999998</v>
      </c>
      <c r="I123" s="289">
        <f t="shared" si="37"/>
        <v>147.07999999999998</v>
      </c>
      <c r="J123" s="289">
        <f t="shared" si="37"/>
        <v>147.07999999999998</v>
      </c>
      <c r="K123" s="289">
        <f t="shared" si="37"/>
        <v>147.07999999999998</v>
      </c>
      <c r="L123" s="289">
        <f t="shared" ref="L123" si="41">L99</f>
        <v>147.07999999999998</v>
      </c>
    </row>
    <row r="124" spans="1:12" ht="13">
      <c r="A124" s="294"/>
      <c r="B124" s="891" t="s">
        <v>164</v>
      </c>
      <c r="C124" s="891"/>
      <c r="D124" s="891"/>
      <c r="E124" s="891"/>
      <c r="F124" s="891"/>
      <c r="G124" s="289">
        <f t="shared" si="37"/>
        <v>369.02416666666664</v>
      </c>
      <c r="H124" s="289">
        <f t="shared" si="37"/>
        <v>371.89416666666665</v>
      </c>
      <c r="I124" s="289">
        <f t="shared" si="37"/>
        <v>373.45416666666665</v>
      </c>
      <c r="J124" s="289">
        <f t="shared" si="37"/>
        <v>374.50416666666666</v>
      </c>
      <c r="K124" s="289">
        <f t="shared" si="37"/>
        <v>376.32416666666666</v>
      </c>
      <c r="L124" s="289">
        <f t="shared" ref="L124" si="42">L100</f>
        <v>367.20416666666665</v>
      </c>
    </row>
    <row r="125" spans="1:12" ht="13">
      <c r="A125" s="294" t="s">
        <v>5</v>
      </c>
      <c r="B125" s="891" t="s">
        <v>184</v>
      </c>
      <c r="C125" s="891"/>
      <c r="D125" s="891"/>
      <c r="E125" s="891"/>
      <c r="F125" s="891"/>
      <c r="G125" s="289">
        <f t="shared" ref="G125:K125" si="43">G116</f>
        <v>560.1001896982682</v>
      </c>
      <c r="H125" s="289">
        <f t="shared" si="43"/>
        <v>582.34798375516061</v>
      </c>
      <c r="I125" s="289">
        <f t="shared" si="43"/>
        <v>602.09352869518125</v>
      </c>
      <c r="J125" s="289">
        <f t="shared" si="43"/>
        <v>373.8</v>
      </c>
      <c r="K125" s="289">
        <f t="shared" si="43"/>
        <v>576.26585118728792</v>
      </c>
      <c r="L125" s="289">
        <f t="shared" ref="L125" si="44">L116</f>
        <v>619.52984719941605</v>
      </c>
    </row>
    <row r="126" spans="1:12" ht="13">
      <c r="A126" s="294"/>
      <c r="B126" s="857" t="s">
        <v>185</v>
      </c>
      <c r="C126" s="857"/>
      <c r="D126" s="857"/>
      <c r="E126" s="857"/>
      <c r="F126" s="857"/>
      <c r="G126" s="64">
        <f t="shared" ref="G126:K126" si="45">SUM(G120:G125)</f>
        <v>2920.6043563649346</v>
      </c>
      <c r="H126" s="64">
        <f t="shared" si="45"/>
        <v>2969.6221504218274</v>
      </c>
      <c r="I126" s="64">
        <f t="shared" si="45"/>
        <v>3003.9676953618477</v>
      </c>
      <c r="J126" s="64">
        <f t="shared" si="45"/>
        <v>2785.4141666666669</v>
      </c>
      <c r="K126" s="64">
        <f t="shared" si="45"/>
        <v>3004.9000178539545</v>
      </c>
      <c r="L126" s="64">
        <f t="shared" ref="L126" si="46">SUM(L120:L125)</f>
        <v>2963.0040138660825</v>
      </c>
    </row>
    <row r="127" spans="1:12">
      <c r="A127" s="292"/>
      <c r="B127" s="292"/>
      <c r="C127" s="292"/>
      <c r="D127" s="292"/>
      <c r="E127" s="292"/>
      <c r="F127" s="292"/>
      <c r="G127" s="65" t="s">
        <v>433</v>
      </c>
      <c r="H127" s="66" t="s">
        <v>292</v>
      </c>
      <c r="I127" s="66" t="s">
        <v>275</v>
      </c>
      <c r="J127" s="66" t="s">
        <v>277</v>
      </c>
      <c r="K127" s="66" t="s">
        <v>278</v>
      </c>
      <c r="L127" s="66" t="s">
        <v>279</v>
      </c>
    </row>
    <row r="130" spans="5:12" hidden="1">
      <c r="E130" s="935" t="s">
        <v>232</v>
      </c>
      <c r="F130" s="935"/>
      <c r="G130" s="141">
        <f>Líder!G123</f>
        <v>5104.4286734511688</v>
      </c>
      <c r="H130" s="142">
        <f>Líder!H123</f>
        <v>5274.9689837620863</v>
      </c>
      <c r="I130" s="27"/>
      <c r="J130" s="27"/>
      <c r="K130" s="27"/>
      <c r="L130" s="27"/>
    </row>
    <row r="131" spans="5:12" hidden="1">
      <c r="E131" s="935" t="s">
        <v>233</v>
      </c>
      <c r="F131" s="935"/>
      <c r="G131" s="142">
        <f>G130-G126</f>
        <v>2183.8243170862343</v>
      </c>
      <c r="H131" s="142">
        <f>H130-H126</f>
        <v>2305.3468333402589</v>
      </c>
    </row>
  </sheetData>
  <mergeCells count="180">
    <mergeCell ref="A102:L102"/>
    <mergeCell ref="A1:G1"/>
    <mergeCell ref="A2:G2"/>
    <mergeCell ref="B3:D3"/>
    <mergeCell ref="E3:G3"/>
    <mergeCell ref="A4:B4"/>
    <mergeCell ref="C4:D4"/>
    <mergeCell ref="B9:E9"/>
    <mergeCell ref="F9:G9"/>
    <mergeCell ref="A10:A11"/>
    <mergeCell ref="B10:E11"/>
    <mergeCell ref="F10:G11"/>
    <mergeCell ref="B12:E12"/>
    <mergeCell ref="F12:G12"/>
    <mergeCell ref="A5:B5"/>
    <mergeCell ref="C5:D5"/>
    <mergeCell ref="F5:G5"/>
    <mergeCell ref="A6:G6"/>
    <mergeCell ref="A7:G7"/>
    <mergeCell ref="B8:E8"/>
    <mergeCell ref="F8:G8"/>
    <mergeCell ref="B18:E18"/>
    <mergeCell ref="F18:G18"/>
    <mergeCell ref="B19:E19"/>
    <mergeCell ref="F19:G19"/>
    <mergeCell ref="A20:G20"/>
    <mergeCell ref="A13:G13"/>
    <mergeCell ref="A14:G14"/>
    <mergeCell ref="A15:G15"/>
    <mergeCell ref="B16:E16"/>
    <mergeCell ref="F16:G16"/>
    <mergeCell ref="B17:E17"/>
    <mergeCell ref="F17:G17"/>
    <mergeCell ref="A28:G28"/>
    <mergeCell ref="B31:F31"/>
    <mergeCell ref="B32:E32"/>
    <mergeCell ref="B33:E33"/>
    <mergeCell ref="B22:F22"/>
    <mergeCell ref="B23:D23"/>
    <mergeCell ref="B24:F24"/>
    <mergeCell ref="B25:E25"/>
    <mergeCell ref="B26:F26"/>
    <mergeCell ref="B27:F27"/>
    <mergeCell ref="A50:L50"/>
    <mergeCell ref="B41:E41"/>
    <mergeCell ref="B42:E42"/>
    <mergeCell ref="B43:E43"/>
    <mergeCell ref="B45:E45"/>
    <mergeCell ref="B46:E46"/>
    <mergeCell ref="B47:G47"/>
    <mergeCell ref="B34:E34"/>
    <mergeCell ref="B37:E37"/>
    <mergeCell ref="B38:E38"/>
    <mergeCell ref="B39:E39"/>
    <mergeCell ref="B40:E40"/>
    <mergeCell ref="B56:F56"/>
    <mergeCell ref="B57:F57"/>
    <mergeCell ref="B58:F58"/>
    <mergeCell ref="B59:F59"/>
    <mergeCell ref="B60:G60"/>
    <mergeCell ref="A61:L61"/>
    <mergeCell ref="B51:F51"/>
    <mergeCell ref="B52:F52"/>
    <mergeCell ref="B53:F53"/>
    <mergeCell ref="B54:F54"/>
    <mergeCell ref="B55:F55"/>
    <mergeCell ref="I75:I76"/>
    <mergeCell ref="A77:A78"/>
    <mergeCell ref="B76:D76"/>
    <mergeCell ref="A75:A76"/>
    <mergeCell ref="I62:I63"/>
    <mergeCell ref="J62:J63"/>
    <mergeCell ref="K62:K63"/>
    <mergeCell ref="B63:C63"/>
    <mergeCell ref="B64:F64"/>
    <mergeCell ref="A62:A63"/>
    <mergeCell ref="B62:D62"/>
    <mergeCell ref="F62:F63"/>
    <mergeCell ref="G62:G63"/>
    <mergeCell ref="H62:H63"/>
    <mergeCell ref="B65:C65"/>
    <mergeCell ref="B67:E67"/>
    <mergeCell ref="B66:F66"/>
    <mergeCell ref="B68:F68"/>
    <mergeCell ref="A69:K69"/>
    <mergeCell ref="J75:J76"/>
    <mergeCell ref="K75:K76"/>
    <mergeCell ref="A70:G70"/>
    <mergeCell ref="B73:F73"/>
    <mergeCell ref="B74:E74"/>
    <mergeCell ref="B75:E75"/>
    <mergeCell ref="F75:F76"/>
    <mergeCell ref="G75:G76"/>
    <mergeCell ref="H75:H76"/>
    <mergeCell ref="J77:J78"/>
    <mergeCell ref="K77:K78"/>
    <mergeCell ref="B78:D78"/>
    <mergeCell ref="B79:C79"/>
    <mergeCell ref="F79:F80"/>
    <mergeCell ref="G79:G80"/>
    <mergeCell ref="H79:H80"/>
    <mergeCell ref="I79:I80"/>
    <mergeCell ref="J79:J80"/>
    <mergeCell ref="K79:K80"/>
    <mergeCell ref="B80:D80"/>
    <mergeCell ref="B77:C77"/>
    <mergeCell ref="F77:F78"/>
    <mergeCell ref="G77:G78"/>
    <mergeCell ref="H77:H78"/>
    <mergeCell ref="I77:I78"/>
    <mergeCell ref="B89:F89"/>
    <mergeCell ref="I81:I82"/>
    <mergeCell ref="J81:J82"/>
    <mergeCell ref="K81:K82"/>
    <mergeCell ref="B82:C82"/>
    <mergeCell ref="B96:F96"/>
    <mergeCell ref="B97:F97"/>
    <mergeCell ref="B81:C81"/>
    <mergeCell ref="F81:F82"/>
    <mergeCell ref="G81:G82"/>
    <mergeCell ref="H81:H82"/>
    <mergeCell ref="B84:E84"/>
    <mergeCell ref="A85:F85"/>
    <mergeCell ref="A86:G86"/>
    <mergeCell ref="B88:F88"/>
    <mergeCell ref="B83:C83"/>
    <mergeCell ref="B98:F98"/>
    <mergeCell ref="B99:F99"/>
    <mergeCell ref="B100:F100"/>
    <mergeCell ref="A101:F101"/>
    <mergeCell ref="B90:F90"/>
    <mergeCell ref="B91:F91"/>
    <mergeCell ref="B92:F92"/>
    <mergeCell ref="B93:K93"/>
    <mergeCell ref="A94:K94"/>
    <mergeCell ref="A95:L95"/>
    <mergeCell ref="B105:E105"/>
    <mergeCell ref="B106:E106"/>
    <mergeCell ref="B107:E107"/>
    <mergeCell ref="B108:E108"/>
    <mergeCell ref="F108:F112"/>
    <mergeCell ref="G108:G112"/>
    <mergeCell ref="H108:H112"/>
    <mergeCell ref="A104:L104"/>
    <mergeCell ref="A119:F119"/>
    <mergeCell ref="B120:F120"/>
    <mergeCell ref="B121:F121"/>
    <mergeCell ref="I108:I112"/>
    <mergeCell ref="J108:J112"/>
    <mergeCell ref="K108:K112"/>
    <mergeCell ref="A109:A110"/>
    <mergeCell ref="B109:C110"/>
    <mergeCell ref="B111:D111"/>
    <mergeCell ref="A112:A115"/>
    <mergeCell ref="B112:C115"/>
    <mergeCell ref="A118:L118"/>
    <mergeCell ref="A79:A80"/>
    <mergeCell ref="A81:A82"/>
    <mergeCell ref="A21:G21"/>
    <mergeCell ref="A29:G29"/>
    <mergeCell ref="A30:G30"/>
    <mergeCell ref="A36:G36"/>
    <mergeCell ref="E131:F131"/>
    <mergeCell ref="L62:L63"/>
    <mergeCell ref="L75:L76"/>
    <mergeCell ref="L77:L78"/>
    <mergeCell ref="L79:L80"/>
    <mergeCell ref="L81:L82"/>
    <mergeCell ref="L108:L112"/>
    <mergeCell ref="A71:L71"/>
    <mergeCell ref="A72:L72"/>
    <mergeCell ref="A87:L87"/>
    <mergeCell ref="B122:F122"/>
    <mergeCell ref="B123:F123"/>
    <mergeCell ref="B124:F124"/>
    <mergeCell ref="B125:F125"/>
    <mergeCell ref="B126:F126"/>
    <mergeCell ref="E130:F130"/>
    <mergeCell ref="B116:F116"/>
    <mergeCell ref="A117:G117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13789042622C419C1AE5F698B1DC17" ma:contentTypeVersion="14" ma:contentTypeDescription="Crie um novo documento." ma:contentTypeScope="" ma:versionID="ba6b4eddbd35ef42c0ddd743be458ee7">
  <xsd:schema xmlns:xsd="http://www.w3.org/2001/XMLSchema" xmlns:xs="http://www.w3.org/2001/XMLSchema" xmlns:p="http://schemas.microsoft.com/office/2006/metadata/properties" xmlns:ns2="1d2ab21d-0e01-4cd7-967e-e16d1f8fb22e" xmlns:ns3="02a275f7-2134-49b0-af79-1e7aafbe977d" targetNamespace="http://schemas.microsoft.com/office/2006/metadata/properties" ma:root="true" ma:fieldsID="abe4fcc435ca7a6f0c3c0c38c1e3045f" ns2:_="" ns3:_="">
    <xsd:import namespace="1d2ab21d-0e01-4cd7-967e-e16d1f8fb22e"/>
    <xsd:import namespace="02a275f7-2134-49b0-af79-1e7aafbe97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2ab21d-0e01-4cd7-967e-e16d1f8fb2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a275f7-2134-49b0-af79-1e7aafbe977d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87f160b-0b7e-4297-8e16-b9d5eba94a12}" ma:internalName="TaxCatchAll" ma:showField="CatchAllData" ma:web="02a275f7-2134-49b0-af79-1e7aafbe97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2a275f7-2134-49b0-af79-1e7aafbe977d" xsi:nil="true"/>
    <lcf76f155ced4ddcb4097134ff3c332f xmlns="1d2ab21d-0e01-4cd7-967e-e16d1f8fb22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F37F33D-65CF-44C7-A909-22782EB64D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2ab21d-0e01-4cd7-967e-e16d1f8fb22e"/>
    <ds:schemaRef ds:uri="02a275f7-2134-49b0-af79-1e7aafbe97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ACB12E-1AA8-41B1-9EF4-16ED077578C3}">
  <ds:schemaRefs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1d2ab21d-0e01-4cd7-967e-e16d1f8fb22e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02a275f7-2134-49b0-af79-1e7aafbe977d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9308AF7-B4FF-491F-92DC-A16C8B0643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16</vt:i4>
      </vt:variant>
    </vt:vector>
  </HeadingPairs>
  <TitlesOfParts>
    <vt:vector size="16" baseType="lpstr">
      <vt:lpstr>INFORMAÇÕES RELEVANTES</vt:lpstr>
      <vt:lpstr>DADOS DO LICITANTE</vt:lpstr>
      <vt:lpstr>UNIFORMES</vt:lpstr>
      <vt:lpstr>Materiais de Higiene </vt:lpstr>
      <vt:lpstr>Outros Serviços </vt:lpstr>
      <vt:lpstr>Áreas, Produt. e Postos</vt:lpstr>
      <vt:lpstr>Líder</vt:lpstr>
      <vt:lpstr>Servente 40h</vt:lpstr>
      <vt:lpstr>Servente 20h</vt:lpstr>
      <vt:lpstr>Agente de Higienização</vt:lpstr>
      <vt:lpstr>Limp Vidros</vt:lpstr>
      <vt:lpstr>Limp Vidros c risco</vt:lpstr>
      <vt:lpstr>Valores por m²</vt:lpstr>
      <vt:lpstr>Preço por localidade - m2</vt:lpstr>
      <vt:lpstr>Preço por localidade - posto</vt:lpstr>
      <vt:lpstr>Valor Total do Contrato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de Moraes Siqueira</dc:creator>
  <cp:lastModifiedBy>Marilda Cortez Cesar Caselato</cp:lastModifiedBy>
  <cp:lastPrinted>2023-08-04T17:01:25Z</cp:lastPrinted>
  <dcterms:created xsi:type="dcterms:W3CDTF">2023-02-24T16:43:28Z</dcterms:created>
  <dcterms:modified xsi:type="dcterms:W3CDTF">2024-04-29T15:44:31Z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0x0101008713789042622C419C1AE5F698B1DC17</vt:lpwstr>
  </property>
  <property fmtid="{D5CDD505-2E9C-101B-9397-08002B2CF9AE}" pid="3" name="MediaServiceImageTags">
    <vt:lpwstr/>
  </property>
</Properties>
</file>