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Y:\Licitações - EM ANDAMENTO\Licitações em andamento 2022\3 Vigilância Guarulhos\"/>
    </mc:Choice>
  </mc:AlternateContent>
  <xr:revisionPtr revIDLastSave="0" documentId="13_ncr:1_{08160959-8362-4CEE-B503-6C53DE37E49B}" xr6:coauthVersionLast="47" xr6:coauthVersionMax="47" xr10:uidLastSave="{00000000-0000-0000-0000-000000000000}"/>
  <bookViews>
    <workbookView xWindow="-120" yWindow="-120" windowWidth="29040" windowHeight="15840" tabRatio="500" activeTab="1" xr2:uid="{00000000-000D-0000-FFFF-FFFF00000000}"/>
  </bookViews>
  <sheets>
    <sheet name="Licitante" sheetId="1" r:id="rId1"/>
    <sheet name="44h" sheetId="7" r:id="rId2"/>
    <sheet name="44h Líder" sheetId="2" r:id="rId3"/>
    <sheet name="12x36_diurno" sheetId="3" r:id="rId4"/>
    <sheet name="12x36_noturno" sheetId="4" r:id="rId5"/>
    <sheet name="Cálculos Noturnos" sheetId="6" r:id="rId6"/>
    <sheet name="Planilha Resumo dos itens" sheetId="5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1" i="3" l="1"/>
  <c r="G55" i="7"/>
  <c r="F97" i="7" l="1"/>
  <c r="G63" i="1"/>
  <c r="G40" i="7"/>
  <c r="G62" i="1" l="1"/>
  <c r="F23" i="3"/>
  <c r="F92" i="1" l="1"/>
  <c r="F91" i="1"/>
  <c r="H78" i="1"/>
  <c r="F115" i="1"/>
  <c r="F114" i="1"/>
  <c r="F113" i="1"/>
  <c r="H101" i="1" l="1"/>
  <c r="F101" i="1"/>
  <c r="H110" i="1"/>
  <c r="F110" i="1"/>
  <c r="H109" i="1"/>
  <c r="F109" i="1"/>
  <c r="H108" i="1"/>
  <c r="F108" i="1"/>
  <c r="H107" i="1"/>
  <c r="F107" i="1"/>
  <c r="H106" i="1"/>
  <c r="F106" i="1"/>
  <c r="H105" i="1"/>
  <c r="F105" i="1"/>
  <c r="H104" i="1"/>
  <c r="F104" i="1"/>
  <c r="H103" i="1"/>
  <c r="F103" i="1"/>
  <c r="H102" i="1"/>
  <c r="F102" i="1"/>
  <c r="H100" i="1"/>
  <c r="F100" i="1"/>
  <c r="H99" i="1"/>
  <c r="F99" i="1"/>
  <c r="H98" i="1"/>
  <c r="F98" i="1"/>
  <c r="H97" i="1"/>
  <c r="F97" i="1"/>
  <c r="H90" i="4"/>
  <c r="H46" i="4"/>
  <c r="C19" i="6"/>
  <c r="H45" i="3"/>
  <c r="F98" i="7"/>
  <c r="H81" i="7"/>
  <c r="B81" i="7"/>
  <c r="E54" i="7"/>
  <c r="E53" i="7"/>
  <c r="D50" i="7"/>
  <c r="F49" i="7" s="1"/>
  <c r="F51" i="7" s="1"/>
  <c r="G43" i="7"/>
  <c r="E32" i="7"/>
  <c r="C32" i="7"/>
  <c r="F22" i="7"/>
  <c r="F6" i="7"/>
  <c r="G12" i="7" s="1"/>
  <c r="H83" i="2"/>
  <c r="C12" i="6"/>
  <c r="C13" i="6" s="1"/>
  <c r="C14" i="6" s="1"/>
  <c r="C4" i="6"/>
  <c r="C5" i="6" s="1"/>
  <c r="C6" i="6" s="1"/>
  <c r="C3" i="6"/>
  <c r="F50" i="1"/>
  <c r="E50" i="1"/>
  <c r="F46" i="1"/>
  <c r="E46" i="1"/>
  <c r="F76" i="3"/>
  <c r="H87" i="1"/>
  <c r="F87" i="1"/>
  <c r="E54" i="2"/>
  <c r="H32" i="1"/>
  <c r="I32" i="1" s="1"/>
  <c r="G45" i="7" s="1"/>
  <c r="G64" i="1"/>
  <c r="F73" i="7" s="1"/>
  <c r="D51" i="2"/>
  <c r="F50" i="2" s="1"/>
  <c r="H33" i="1"/>
  <c r="I33" i="1" s="1"/>
  <c r="H44" i="3" s="1"/>
  <c r="E56" i="3"/>
  <c r="F54" i="3" s="1"/>
  <c r="B90" i="4"/>
  <c r="B77" i="4"/>
  <c r="B88" i="3"/>
  <c r="H77" i="1"/>
  <c r="G81" i="7" s="1"/>
  <c r="B83" i="2"/>
  <c r="F72" i="7"/>
  <c r="E33" i="3"/>
  <c r="C33" i="3"/>
  <c r="E32" i="2"/>
  <c r="C32" i="2"/>
  <c r="F38" i="1"/>
  <c r="F6" i="3"/>
  <c r="G12" i="3" s="1"/>
  <c r="G45" i="3"/>
  <c r="D52" i="3"/>
  <c r="F51" i="3" s="1"/>
  <c r="F104" i="3"/>
  <c r="F105" i="3"/>
  <c r="F6" i="4"/>
  <c r="G12" i="4" s="1"/>
  <c r="F24" i="4"/>
  <c r="F34" i="4"/>
  <c r="F36" i="4" s="1"/>
  <c r="G46" i="4"/>
  <c r="D53" i="4"/>
  <c r="F52" i="4" s="1"/>
  <c r="E57" i="4"/>
  <c r="F55" i="4" s="1"/>
  <c r="F106" i="4"/>
  <c r="F107" i="4"/>
  <c r="F6" i="2"/>
  <c r="G12" i="2" s="1"/>
  <c r="G14" i="2" s="1"/>
  <c r="F22" i="2"/>
  <c r="G44" i="2"/>
  <c r="H44" i="2" s="1"/>
  <c r="E55" i="2"/>
  <c r="F99" i="2"/>
  <c r="F100" i="2"/>
  <c r="H23" i="1"/>
  <c r="I23" i="1" s="1"/>
  <c r="G42" i="2" s="1"/>
  <c r="H42" i="2" s="1"/>
  <c r="H25" i="1"/>
  <c r="I25" i="1" s="1"/>
  <c r="H44" i="4" s="1"/>
  <c r="D30" i="1"/>
  <c r="I30" i="1" s="1"/>
  <c r="H47" i="4" s="1"/>
  <c r="E38" i="1"/>
  <c r="E42" i="1"/>
  <c r="F42" i="1"/>
  <c r="G59" i="1"/>
  <c r="F68" i="7" s="1"/>
  <c r="G60" i="1"/>
  <c r="F69" i="7" s="1"/>
  <c r="G61" i="1"/>
  <c r="F70" i="7" s="1"/>
  <c r="H68" i="1"/>
  <c r="H69" i="1"/>
  <c r="H70" i="1"/>
  <c r="H71" i="1"/>
  <c r="H72" i="1"/>
  <c r="H73" i="1"/>
  <c r="H74" i="1"/>
  <c r="H75" i="1"/>
  <c r="H76" i="1"/>
  <c r="F83" i="1"/>
  <c r="H83" i="1"/>
  <c r="F84" i="1"/>
  <c r="H84" i="1"/>
  <c r="F85" i="1"/>
  <c r="H85" i="1"/>
  <c r="F86" i="1"/>
  <c r="H86" i="1"/>
  <c r="F88" i="1"/>
  <c r="H88" i="1"/>
  <c r="F89" i="1"/>
  <c r="H89" i="1"/>
  <c r="G129" i="1"/>
  <c r="H129" i="1" s="1"/>
  <c r="D125" i="1" s="1"/>
  <c r="E102" i="7" s="1"/>
  <c r="F54" i="4" l="1"/>
  <c r="F53" i="3"/>
  <c r="H88" i="3"/>
  <c r="G44" i="7"/>
  <c r="H46" i="3"/>
  <c r="H48" i="4"/>
  <c r="F32" i="7"/>
  <c r="F34" i="7" s="1"/>
  <c r="G41" i="7"/>
  <c r="H45" i="4"/>
  <c r="G42" i="7"/>
  <c r="H43" i="3"/>
  <c r="H47" i="3"/>
  <c r="F52" i="7"/>
  <c r="F58" i="4"/>
  <c r="G13" i="7"/>
  <c r="G15" i="7" s="1"/>
  <c r="C26" i="6"/>
  <c r="C7" i="6"/>
  <c r="C25" i="6" s="1"/>
  <c r="I50" i="1"/>
  <c r="I46" i="1"/>
  <c r="F53" i="2"/>
  <c r="F52" i="2"/>
  <c r="F33" i="3"/>
  <c r="F35" i="3" s="1"/>
  <c r="I42" i="1"/>
  <c r="G42" i="3" s="1"/>
  <c r="I38" i="1"/>
  <c r="H81" i="2"/>
  <c r="F32" i="2"/>
  <c r="F34" i="2" s="1"/>
  <c r="J129" i="1"/>
  <c r="D124" i="1" s="1"/>
  <c r="I129" i="1"/>
  <c r="D123" i="1" s="1"/>
  <c r="G83" i="2"/>
  <c r="G13" i="2"/>
  <c r="G15" i="2" s="1"/>
  <c r="F74" i="4"/>
  <c r="F73" i="3"/>
  <c r="F72" i="2"/>
  <c r="F73" i="4"/>
  <c r="F72" i="3"/>
  <c r="F71" i="2"/>
  <c r="F72" i="4"/>
  <c r="F71" i="3"/>
  <c r="F70" i="2"/>
  <c r="F76" i="4"/>
  <c r="F75" i="3"/>
  <c r="F74" i="2"/>
  <c r="F77" i="4"/>
  <c r="F75" i="2"/>
  <c r="G90" i="4"/>
  <c r="G88" i="3"/>
  <c r="G13" i="4"/>
  <c r="C16" i="6" s="1"/>
  <c r="C17" i="6" s="1"/>
  <c r="C30" i="6" s="1"/>
  <c r="C31" i="6" s="1"/>
  <c r="G13" i="3"/>
  <c r="B15" i="3" s="1"/>
  <c r="E109" i="3"/>
  <c r="E111" i="4"/>
  <c r="E104" i="2"/>
  <c r="G44" i="3"/>
  <c r="G45" i="4"/>
  <c r="G43" i="2"/>
  <c r="H43" i="2" s="1"/>
  <c r="G47" i="3"/>
  <c r="G48" i="4"/>
  <c r="G46" i="2"/>
  <c r="H46" i="2" s="1"/>
  <c r="G46" i="3"/>
  <c r="G47" i="4"/>
  <c r="G45" i="2"/>
  <c r="H45" i="2" s="1"/>
  <c r="G43" i="3"/>
  <c r="G44" i="4"/>
  <c r="A65" i="2" l="1"/>
  <c r="G53" i="2"/>
  <c r="G56" i="2" s="1"/>
  <c r="H89" i="2"/>
  <c r="G109" i="2"/>
  <c r="H109" i="2"/>
  <c r="A64" i="7"/>
  <c r="F55" i="7"/>
  <c r="G52" i="7"/>
  <c r="H80" i="7"/>
  <c r="G80" i="7"/>
  <c r="H82" i="2"/>
  <c r="H84" i="2" s="1"/>
  <c r="H93" i="2" s="1"/>
  <c r="H113" i="2" s="1"/>
  <c r="H87" i="3"/>
  <c r="H89" i="4"/>
  <c r="H107" i="7"/>
  <c r="G107" i="7"/>
  <c r="H87" i="7"/>
  <c r="H88" i="4"/>
  <c r="H86" i="3"/>
  <c r="H79" i="7"/>
  <c r="H41" i="2"/>
  <c r="H47" i="2" s="1"/>
  <c r="E102" i="2"/>
  <c r="E100" i="7"/>
  <c r="H43" i="4"/>
  <c r="H49" i="4" s="1"/>
  <c r="H42" i="3"/>
  <c r="H48" i="3" s="1"/>
  <c r="E108" i="3"/>
  <c r="E101" i="7"/>
  <c r="G41" i="2"/>
  <c r="G47" i="2" s="1"/>
  <c r="G46" i="7"/>
  <c r="F75" i="4"/>
  <c r="F71" i="7"/>
  <c r="G88" i="4"/>
  <c r="G79" i="7"/>
  <c r="G82" i="2"/>
  <c r="C22" i="6"/>
  <c r="G15" i="4" s="1"/>
  <c r="C18" i="6"/>
  <c r="C20" i="6" s="1"/>
  <c r="G14" i="4" s="1"/>
  <c r="G21" i="7"/>
  <c r="G20" i="7"/>
  <c r="G49" i="7" s="1"/>
  <c r="G51" i="7" s="1"/>
  <c r="G87" i="7"/>
  <c r="G56" i="7"/>
  <c r="G22" i="7"/>
  <c r="G57" i="2"/>
  <c r="G86" i="3"/>
  <c r="G81" i="2"/>
  <c r="G43" i="4"/>
  <c r="G49" i="4" s="1"/>
  <c r="E103" i="2"/>
  <c r="E123" i="1"/>
  <c r="E109" i="4"/>
  <c r="E107" i="3"/>
  <c r="E110" i="4"/>
  <c r="F73" i="2"/>
  <c r="F74" i="3"/>
  <c r="G89" i="4"/>
  <c r="G87" i="3"/>
  <c r="G16" i="3"/>
  <c r="A66" i="3" s="1"/>
  <c r="C15" i="3"/>
  <c r="G80" i="3" s="1"/>
  <c r="G81" i="3" s="1"/>
  <c r="G48" i="3"/>
  <c r="F57" i="3"/>
  <c r="G89" i="2"/>
  <c r="G20" i="2"/>
  <c r="G50" i="2" s="1"/>
  <c r="G52" i="2" s="1"/>
  <c r="G21" i="2"/>
  <c r="F56" i="2"/>
  <c r="G22" i="2"/>
  <c r="G70" i="3" l="1"/>
  <c r="G69" i="2"/>
  <c r="G67" i="7"/>
  <c r="H94" i="3"/>
  <c r="H115" i="3" s="1"/>
  <c r="G54" i="3"/>
  <c r="G57" i="3" s="1"/>
  <c r="H89" i="3"/>
  <c r="H98" i="3" s="1"/>
  <c r="H119" i="3" s="1"/>
  <c r="G57" i="7"/>
  <c r="E64" i="7" s="1"/>
  <c r="G27" i="7"/>
  <c r="H91" i="4"/>
  <c r="H100" i="4" s="1"/>
  <c r="H121" i="4" s="1"/>
  <c r="F106" i="3"/>
  <c r="H82" i="7"/>
  <c r="H91" i="7" s="1"/>
  <c r="G84" i="2"/>
  <c r="G93" i="2" s="1"/>
  <c r="G113" i="2" s="1"/>
  <c r="G82" i="7"/>
  <c r="G91" i="4"/>
  <c r="G100" i="4" s="1"/>
  <c r="G121" i="4" s="1"/>
  <c r="C32" i="6"/>
  <c r="C33" i="6" s="1"/>
  <c r="G81" i="4" s="1"/>
  <c r="F101" i="2"/>
  <c r="G29" i="7"/>
  <c r="F99" i="7"/>
  <c r="C24" i="6"/>
  <c r="C27" i="6" s="1"/>
  <c r="G16" i="4" s="1"/>
  <c r="G34" i="7"/>
  <c r="C64" i="7" s="1"/>
  <c r="G26" i="7"/>
  <c r="G32" i="7"/>
  <c r="G30" i="7"/>
  <c r="G31" i="7"/>
  <c r="G33" i="7"/>
  <c r="G28" i="7"/>
  <c r="G23" i="3"/>
  <c r="G89" i="3"/>
  <c r="F108" i="4"/>
  <c r="G22" i="3"/>
  <c r="G21" i="3"/>
  <c r="G58" i="3"/>
  <c r="G94" i="3"/>
  <c r="G33" i="2"/>
  <c r="G31" i="2"/>
  <c r="G30" i="2"/>
  <c r="G29" i="2"/>
  <c r="G28" i="2"/>
  <c r="G27" i="2"/>
  <c r="G26" i="2"/>
  <c r="G32" i="2"/>
  <c r="G34" i="2"/>
  <c r="G64" i="7" l="1"/>
  <c r="G70" i="7" s="1"/>
  <c r="G68" i="7"/>
  <c r="G69" i="7"/>
  <c r="G71" i="7"/>
  <c r="G53" i="3"/>
  <c r="C65" i="2"/>
  <c r="G91" i="7"/>
  <c r="G111" i="7" s="1"/>
  <c r="H90" i="2"/>
  <c r="H110" i="2" s="1"/>
  <c r="H111" i="7"/>
  <c r="H88" i="7"/>
  <c r="H108" i="7" s="1"/>
  <c r="G88" i="7"/>
  <c r="G108" i="7" s="1"/>
  <c r="G35" i="3"/>
  <c r="G30" i="3"/>
  <c r="G33" i="3"/>
  <c r="G27" i="3"/>
  <c r="G31" i="3"/>
  <c r="G28" i="3"/>
  <c r="G32" i="3"/>
  <c r="G29" i="3"/>
  <c r="G34" i="3"/>
  <c r="G98" i="3"/>
  <c r="G119" i="3" s="1"/>
  <c r="G58" i="2"/>
  <c r="E65" i="2" s="1"/>
  <c r="G115" i="3"/>
  <c r="G90" i="2"/>
  <c r="H95" i="3" l="1"/>
  <c r="H116" i="3" s="1"/>
  <c r="C66" i="3"/>
  <c r="G73" i="2"/>
  <c r="G72" i="7"/>
  <c r="G59" i="3"/>
  <c r="E66" i="3" s="1"/>
  <c r="G65" i="2"/>
  <c r="H91" i="2"/>
  <c r="H111" i="2" s="1"/>
  <c r="H89" i="7"/>
  <c r="G73" i="7"/>
  <c r="G17" i="4"/>
  <c r="G82" i="4"/>
  <c r="G95" i="3"/>
  <c r="G116" i="3" s="1"/>
  <c r="G89" i="7"/>
  <c r="G91" i="2"/>
  <c r="G111" i="2" s="1"/>
  <c r="G110" i="2"/>
  <c r="A67" i="4" l="1"/>
  <c r="G71" i="4" s="1"/>
  <c r="G55" i="4"/>
  <c r="G58" i="4" s="1"/>
  <c r="G66" i="3"/>
  <c r="G73" i="3"/>
  <c r="G75" i="3"/>
  <c r="G76" i="3"/>
  <c r="G72" i="3"/>
  <c r="G71" i="3"/>
  <c r="G74" i="3"/>
  <c r="G74" i="2"/>
  <c r="G75" i="2"/>
  <c r="G71" i="2"/>
  <c r="H96" i="4"/>
  <c r="H117" i="4" s="1"/>
  <c r="G72" i="2"/>
  <c r="G70" i="2"/>
  <c r="H96" i="3"/>
  <c r="H117" i="3" s="1"/>
  <c r="G23" i="4"/>
  <c r="G22" i="4"/>
  <c r="G52" i="4" s="1"/>
  <c r="G54" i="4" s="1"/>
  <c r="G24" i="4"/>
  <c r="G96" i="4"/>
  <c r="G117" i="4" s="1"/>
  <c r="G59" i="4"/>
  <c r="G96" i="3"/>
  <c r="G117" i="3" s="1"/>
  <c r="G109" i="7"/>
  <c r="G74" i="7"/>
  <c r="H109" i="7"/>
  <c r="G76" i="2" l="1"/>
  <c r="G36" i="4"/>
  <c r="H97" i="4" s="1"/>
  <c r="H118" i="4" s="1"/>
  <c r="G77" i="3"/>
  <c r="H90" i="7"/>
  <c r="H92" i="7" s="1"/>
  <c r="G90" i="7"/>
  <c r="G110" i="7" s="1"/>
  <c r="G30" i="4"/>
  <c r="G32" i="4"/>
  <c r="G34" i="4"/>
  <c r="G28" i="4"/>
  <c r="G35" i="4"/>
  <c r="G33" i="4"/>
  <c r="G31" i="4"/>
  <c r="G29" i="4"/>
  <c r="C67" i="4" l="1"/>
  <c r="G97" i="3"/>
  <c r="G99" i="3" s="1"/>
  <c r="H97" i="3"/>
  <c r="H118" i="3" s="1"/>
  <c r="G92" i="2"/>
  <c r="G112" i="2" s="1"/>
  <c r="H92" i="2"/>
  <c r="G97" i="4"/>
  <c r="G118" i="4" s="1"/>
  <c r="G60" i="4"/>
  <c r="G92" i="7"/>
  <c r="G97" i="7" s="1"/>
  <c r="H110" i="7"/>
  <c r="G104" i="3"/>
  <c r="G105" i="3" s="1"/>
  <c r="H97" i="7"/>
  <c r="G75" i="4" l="1"/>
  <c r="E67" i="4"/>
  <c r="G67" i="4" s="1"/>
  <c r="G76" i="4" s="1"/>
  <c r="G118" i="3"/>
  <c r="H99" i="3"/>
  <c r="H104" i="3" s="1"/>
  <c r="H105" i="3" s="1"/>
  <c r="G94" i="2"/>
  <c r="G99" i="2" s="1"/>
  <c r="G100" i="2" s="1"/>
  <c r="G101" i="2" s="1"/>
  <c r="H94" i="2"/>
  <c r="H112" i="2"/>
  <c r="H98" i="7"/>
  <c r="H99" i="7" s="1"/>
  <c r="G98" i="7"/>
  <c r="G77" i="4"/>
  <c r="G98" i="4"/>
  <c r="G119" i="4" s="1"/>
  <c r="H98" i="4"/>
  <c r="H119" i="4" s="1"/>
  <c r="G121" i="3"/>
  <c r="G72" i="4" l="1"/>
  <c r="G73" i="4"/>
  <c r="G74" i="4"/>
  <c r="H121" i="3"/>
  <c r="H106" i="3" s="1"/>
  <c r="H110" i="3" s="1"/>
  <c r="G105" i="2"/>
  <c r="G114" i="2" s="1"/>
  <c r="G115" i="2" s="1"/>
  <c r="E8" i="5" s="1"/>
  <c r="G8" i="5" s="1"/>
  <c r="I8" i="5" s="1"/>
  <c r="H99" i="2"/>
  <c r="H100" i="2" s="1"/>
  <c r="H103" i="7"/>
  <c r="H112" i="7" s="1"/>
  <c r="H113" i="7" s="1"/>
  <c r="E10" i="5" s="1"/>
  <c r="G10" i="5" s="1"/>
  <c r="I10" i="5" s="1"/>
  <c r="G99" i="7"/>
  <c r="G103" i="7" s="1"/>
  <c r="G106" i="3"/>
  <c r="G110" i="3" s="1"/>
  <c r="G120" i="3" s="1"/>
  <c r="E11" i="5"/>
  <c r="G11" i="5" s="1"/>
  <c r="I11" i="5" s="1"/>
  <c r="G78" i="4" l="1"/>
  <c r="E12" i="5"/>
  <c r="G12" i="5" s="1"/>
  <c r="I12" i="5" s="1"/>
  <c r="H101" i="2"/>
  <c r="H105" i="2" s="1"/>
  <c r="H114" i="2" s="1"/>
  <c r="H115" i="2" s="1"/>
  <c r="G112" i="7"/>
  <c r="G113" i="7" s="1"/>
  <c r="E9" i="5" s="1"/>
  <c r="G9" i="5" s="1"/>
  <c r="I9" i="5" s="1"/>
  <c r="H99" i="4" l="1"/>
  <c r="G99" i="4"/>
  <c r="G120" i="4" l="1"/>
  <c r="G101" i="4"/>
  <c r="G106" i="4" s="1"/>
  <c r="G107" i="4" s="1"/>
  <c r="G108" i="4" s="1"/>
  <c r="G112" i="4" s="1"/>
  <c r="G122" i="4" s="1"/>
  <c r="H101" i="4"/>
  <c r="H120" i="4"/>
  <c r="H120" i="3"/>
  <c r="H106" i="4" l="1"/>
  <c r="H107" i="4" s="1"/>
  <c r="H108" i="4" s="1"/>
  <c r="H112" i="4" s="1"/>
  <c r="H122" i="4" s="1"/>
  <c r="H123" i="4" s="1"/>
  <c r="E14" i="5" s="1"/>
  <c r="G14" i="5" s="1"/>
  <c r="I14" i="5" s="1"/>
  <c r="G123" i="4"/>
  <c r="E13" i="5" s="1"/>
  <c r="G13" i="5" s="1"/>
  <c r="I13" i="5" s="1"/>
  <c r="I15" i="5" l="1"/>
  <c r="I17" i="5" s="1"/>
</calcChain>
</file>

<file path=xl/sharedStrings.xml><?xml version="1.0" encoding="utf-8"?>
<sst xmlns="http://schemas.openxmlformats.org/spreadsheetml/2006/main" count="1061" uniqueCount="336">
  <si>
    <t>MODELO DE PLANILHA DE CUSTOS E FORMAÇÃO DE PREÇOS</t>
  </si>
  <si>
    <t>Processo nº</t>
  </si>
  <si>
    <t>Licitação nº</t>
  </si>
  <si>
    <t>Data do pregão:</t>
  </si>
  <si>
    <t>Discriminação dos Serviços (dados referentes à contratação)</t>
  </si>
  <si>
    <t>A</t>
  </si>
  <si>
    <t>Data de apresentação da proposta(dia/mês/ano):</t>
  </si>
  <si>
    <t>B</t>
  </si>
  <si>
    <t>Município/ UF:</t>
  </si>
  <si>
    <t>Guarulhos</t>
  </si>
  <si>
    <t>C</t>
  </si>
  <si>
    <t>Ano do acordo coletivo, convenção coletiva ou sentença normativa em  dissidio coletivo:</t>
  </si>
  <si>
    <t>D</t>
  </si>
  <si>
    <t>Numero de meses de execução contratual:</t>
  </si>
  <si>
    <t>APENAS PREENCHER CÉLULAS DE FUNDO AMARELO. ATENÇÃO: NÃO ALTERAR FÓRMULAS DE CÁLCULO</t>
  </si>
  <si>
    <t>REMUNERAÇÃO</t>
  </si>
  <si>
    <t>Módulo 2</t>
  </si>
  <si>
    <t>Submódulo 2.2</t>
  </si>
  <si>
    <t>RAT</t>
  </si>
  <si>
    <t>FAP</t>
  </si>
  <si>
    <t>BENEFÍCIOS LEGAIS ACORDADOS (auxiliar para submódulo 2.3)</t>
  </si>
  <si>
    <t>Vale Refeição postos 44 horas</t>
  </si>
  <si>
    <t>Dias</t>
  </si>
  <si>
    <t>Valor unitário</t>
  </si>
  <si>
    <t>Empregado</t>
  </si>
  <si>
    <t>Custo total mensal</t>
  </si>
  <si>
    <t>Vale Refeição postos 12 x 36 horas</t>
  </si>
  <si>
    <t>Seguro de Vida</t>
  </si>
  <si>
    <t>Auxílio Funeral</t>
  </si>
  <si>
    <t>1,5 * Salário</t>
  </si>
  <si>
    <t>Valor unitário Ocorrência anual (%)</t>
  </si>
  <si>
    <t>Assistência Médica</t>
  </si>
  <si>
    <t>Quantidade</t>
  </si>
  <si>
    <t>VALE TRANSPORTE POSTOS 44 HORAS (auxiliar para submódulo 2.3)</t>
  </si>
  <si>
    <t>Cidade</t>
  </si>
  <si>
    <t>bilhete/dia</t>
  </si>
  <si>
    <t>nº dias/mês</t>
  </si>
  <si>
    <t>Valor tarifa</t>
  </si>
  <si>
    <t>Custo total</t>
  </si>
  <si>
    <t>Custo empregado</t>
  </si>
  <si>
    <t>Valor</t>
  </si>
  <si>
    <t>VALE TRANSPORTE POSTOS 12 X 36 HORAS (auxilar para submódulo 2.3)</t>
  </si>
  <si>
    <t>Módulo 3 - Provisão para Rescisão</t>
  </si>
  <si>
    <t>Percentual de ocorrência aviso prévio indenizado</t>
  </si>
  <si>
    <t>Percentual de ocorrência de aviso prévo trabalhado</t>
  </si>
  <si>
    <t>Módulo 4 - Ausências legais</t>
  </si>
  <si>
    <t>SM 4.1</t>
  </si>
  <si>
    <t>Ausências Legais</t>
  </si>
  <si>
    <t>Número ausências por ano</t>
  </si>
  <si>
    <t>% de ocorrência</t>
  </si>
  <si>
    <t>%</t>
  </si>
  <si>
    <t>Número ausências /365,25 *% ocorrência</t>
  </si>
  <si>
    <t>Licença Paternidade</t>
  </si>
  <si>
    <t>Ausência por acidente de trabalho</t>
  </si>
  <si>
    <t>Afastamento Maternidade</t>
  </si>
  <si>
    <t>E</t>
  </si>
  <si>
    <t>Auxilio Doença</t>
  </si>
  <si>
    <t>F</t>
  </si>
  <si>
    <t>Outros (especificar)</t>
  </si>
  <si>
    <t>UNIFORMES (auxiliar para módulo 5)</t>
  </si>
  <si>
    <t>Item</t>
  </si>
  <si>
    <t>Custo unitário</t>
  </si>
  <si>
    <t>Vida útil (meses)</t>
  </si>
  <si>
    <t>Custo mensal</t>
  </si>
  <si>
    <t>Calça</t>
  </si>
  <si>
    <t>Camisa manga curta</t>
  </si>
  <si>
    <t>Sapato ou coturno</t>
  </si>
  <si>
    <t>Cinto de nylon</t>
  </si>
  <si>
    <t>Capa de de chuva</t>
  </si>
  <si>
    <t>Boné</t>
  </si>
  <si>
    <t>Crachá de identificação</t>
  </si>
  <si>
    <t>Custo total mensal:</t>
  </si>
  <si>
    <t>Postos 44 horas</t>
  </si>
  <si>
    <t>Postos 12 x 36</t>
  </si>
  <si>
    <t>CUSTO UNITÁRIO (R$)</t>
  </si>
  <si>
    <t>VIDA ÚTIL (MESES)</t>
  </si>
  <si>
    <t>QTD</t>
  </si>
  <si>
    <t>CUSTO MENSAL (R$)</t>
  </si>
  <si>
    <t>Livro de ocorrências</t>
  </si>
  <si>
    <t>Cassetete</t>
  </si>
  <si>
    <t>Porta Cassetete</t>
  </si>
  <si>
    <t>Apito metal com cordão</t>
  </si>
  <si>
    <t>Capa de rádio</t>
  </si>
  <si>
    <t>Rádio Transmissor</t>
  </si>
  <si>
    <t>Custo Total Mensal para postos 44 horas sem armamento</t>
  </si>
  <si>
    <t>Custo Total Mensal para postos 12 x 36 horas sem armamento</t>
  </si>
  <si>
    <t>Planilha auxiliar para módulo 6</t>
  </si>
  <si>
    <t>ANEXO IV DA LEI COMPLEMENTAR Nº 123, DE 14 DE DEZEMBRO DE 2006 (vigência: 01/01/2018)</t>
  </si>
  <si>
    <t>Custos Indiretos / Despesas Administrativas</t>
  </si>
  <si>
    <t>Alíquotas e Partilha do Simples Nacional - Receitas decorrentes da prestação de serviços relacionados no § 5º-C do art. 18 desta Lei Complementar.</t>
  </si>
  <si>
    <t>Lucro</t>
  </si>
  <si>
    <t>Receita Bruta em 12 meses (em R$)</t>
  </si>
  <si>
    <t>Alíquota</t>
  </si>
  <si>
    <t>Regime Tributário
(Selecione)</t>
  </si>
  <si>
    <t xml:space="preserve"> Se o regime tributário for Simples Nacional informe o faturamento dos últimos 12 meses na célula abaixo</t>
  </si>
  <si>
    <t>1ª Faixa</t>
  </si>
  <si>
    <t>Até R$180.000,00</t>
  </si>
  <si>
    <t>2ª Faixa</t>
  </si>
  <si>
    <t xml:space="preserve">De 180.000,01 a 360.000,00 </t>
  </si>
  <si>
    <t>Tributos</t>
  </si>
  <si>
    <t>PIS</t>
  </si>
  <si>
    <t>3ª Faixa</t>
  </si>
  <si>
    <t>De 360.000,01 a 720.000,00</t>
  </si>
  <si>
    <t>COFINS</t>
  </si>
  <si>
    <t>4ª Faixa</t>
  </si>
  <si>
    <t xml:space="preserve">De 720.000,01 a 1.800.000,00 </t>
  </si>
  <si>
    <t>ISS</t>
  </si>
  <si>
    <t>5ª Faixa</t>
  </si>
  <si>
    <t>De 1.800.000,01 a 3.600.000,00</t>
  </si>
  <si>
    <t>6ª Faixa</t>
  </si>
  <si>
    <t>De 3.600.000,01 a 4.800.000,00</t>
  </si>
  <si>
    <t>Faturamento:</t>
  </si>
  <si>
    <t>Posto 44h diurno líder</t>
  </si>
  <si>
    <t>Mão de obra vinculada à execução contratual</t>
  </si>
  <si>
    <t>Dados complementares para composição dos custos referente à mão de obra</t>
  </si>
  <si>
    <t>Tipo de serviço ( mesmo serviço com características distintas)</t>
  </si>
  <si>
    <t>44h diurno</t>
  </si>
  <si>
    <t>Salário Normativo da Categoria Profissional</t>
  </si>
  <si>
    <t>Categoria Profissional (vinculada à execução contratual)</t>
  </si>
  <si>
    <t>Vigilante / líder</t>
  </si>
  <si>
    <t xml:space="preserve">Data base da categoria (dia/mês/ano) </t>
  </si>
  <si>
    <t>Módulo 1: Composição da remuneração</t>
  </si>
  <si>
    <t>Composição da remuneração</t>
  </si>
  <si>
    <t>Valor (R$)</t>
  </si>
  <si>
    <t>Dias trabalho-mês</t>
  </si>
  <si>
    <t>Adicional de periculosidade</t>
  </si>
  <si>
    <t>Adicional de vigilante líder (12%)</t>
  </si>
  <si>
    <t>Total da Remuneração</t>
  </si>
  <si>
    <t>Módulo 2: Encargos e Benefícios Anuais, Mensais e Diários</t>
  </si>
  <si>
    <t>Submódulo 2.1 – 13º Salário, Férias e Adicional de Férias</t>
  </si>
  <si>
    <t>2.1</t>
  </si>
  <si>
    <t>13º ( décimo terceiro salário)</t>
  </si>
  <si>
    <t>Adicional de Férias</t>
  </si>
  <si>
    <t>Total</t>
  </si>
  <si>
    <t>Submódulo 2.2 : Encargos previdenciários, FGTS e outras contribuições</t>
  </si>
  <si>
    <t>2.2</t>
  </si>
  <si>
    <t>Encargos previdenciários, FGTS e outras contribuições</t>
  </si>
  <si>
    <t>Percentual(%)</t>
  </si>
  <si>
    <t>Valor(R$)</t>
  </si>
  <si>
    <t>INSS</t>
  </si>
  <si>
    <t>Salário Educação</t>
  </si>
  <si>
    <t>SESC ou SESI</t>
  </si>
  <si>
    <t>SENAC ou SENAI</t>
  </si>
  <si>
    <t>SEBRAE</t>
  </si>
  <si>
    <t>INCRA</t>
  </si>
  <si>
    <t>G</t>
  </si>
  <si>
    <t>RAT:</t>
  </si>
  <si>
    <t>FAP:</t>
  </si>
  <si>
    <t>H</t>
  </si>
  <si>
    <t>FGTS</t>
  </si>
  <si>
    <t>Nota1:</t>
  </si>
  <si>
    <t>Os percentuais dos encargos previdenciários, do FGTS e demais contribuições são aqueles estabelecidos pela legislação vigente</t>
  </si>
  <si>
    <t>Nota 2:</t>
  </si>
  <si>
    <t>Percentuais incidentes sobre remuneração.</t>
  </si>
  <si>
    <t>Submódulo 2.3 – Benefícios Mensais e Diários</t>
  </si>
  <si>
    <t>2.3</t>
  </si>
  <si>
    <t>Benefícios mensais e diários</t>
  </si>
  <si>
    <t>Vale transporte</t>
  </si>
  <si>
    <t>Auxílio refeição</t>
  </si>
  <si>
    <t>Cesta básica</t>
  </si>
  <si>
    <t>Seguro de vida em grupo</t>
  </si>
  <si>
    <t>D'</t>
  </si>
  <si>
    <t>Assistência Médica Hospitalar</t>
  </si>
  <si>
    <t>Total de Benefícios mensais e diários</t>
  </si>
  <si>
    <t>Módulo 3 : Provisão para Rescisão</t>
  </si>
  <si>
    <t>Aviso prévio indenizado</t>
  </si>
  <si>
    <t>Nº de dias</t>
  </si>
  <si>
    <t>Percentual de ocorrência anual</t>
  </si>
  <si>
    <t>Incidência do FGTS sobre aviso prévio indenizado</t>
  </si>
  <si>
    <t>Vigência inicial (meses)</t>
  </si>
  <si>
    <t>APT na vigencia</t>
  </si>
  <si>
    <t>Dias indenizados</t>
  </si>
  <si>
    <t>Incidência de GPS, FGTS e outras contribuições sobre o APT</t>
  </si>
  <si>
    <t>(*) Após a 1ª vigência do contrato as células F50 e F53 deverão ser zeradas, em caso de não ocorrência do fato.</t>
  </si>
  <si>
    <t>Módulo 4: Custo de Reposição do Profissional Ausente</t>
  </si>
  <si>
    <t>Submódulo 4.1: Substituto nas Ausências Legais</t>
  </si>
  <si>
    <t>Substituição nas Ausências Legais</t>
  </si>
  <si>
    <t>Substituto na cobertura de Férias</t>
  </si>
  <si>
    <t>Substituto na cobertura de Ausências Legais</t>
  </si>
  <si>
    <t>Substituto na cobertura de Licença paternidade</t>
  </si>
  <si>
    <t>Substituto na cobertura Ausência por acidente de trabalho</t>
  </si>
  <si>
    <t>Substituto na cobertura de Afastamento Maternidade</t>
  </si>
  <si>
    <t>Substituto na cobertura de Auxílio doença</t>
  </si>
  <si>
    <t>Outros ( especificar)</t>
  </si>
  <si>
    <t>Módulo 5: Insumos diversos</t>
  </si>
  <si>
    <t>Insumos Diversos</t>
  </si>
  <si>
    <t>Uniformes</t>
  </si>
  <si>
    <t>Equipamentos e complementos</t>
  </si>
  <si>
    <t>Total de Insumos diversos</t>
  </si>
  <si>
    <t>Nota:</t>
  </si>
  <si>
    <t>Valores mensais por empregado.</t>
  </si>
  <si>
    <t>Tabela Resumo Módulos 1 a 5</t>
  </si>
  <si>
    <t>Módulo 6 : Custos indiretos, tributos e lucro</t>
  </si>
  <si>
    <t>Custos indiretos, tributos e lucro</t>
  </si>
  <si>
    <t>Percentual (%)</t>
  </si>
  <si>
    <t>Custos indiretos / Despesas Administrativas e Operacionais (*)</t>
  </si>
  <si>
    <t>c.1 - Tributos Federais</t>
  </si>
  <si>
    <t>PIS:</t>
  </si>
  <si>
    <t>COFINS:</t>
  </si>
  <si>
    <t>c.3 - Tributos Municipais</t>
  </si>
  <si>
    <t>ISSQN:</t>
  </si>
  <si>
    <t>Quadro - Resumo do custo por empregado</t>
  </si>
  <si>
    <t>Mão de obra vinculada à execução contratual (valor por empregado)</t>
  </si>
  <si>
    <t>(R$)</t>
  </si>
  <si>
    <t>Módulo 6: Custos Indiretos, Tributos e Lucro</t>
  </si>
  <si>
    <t>Valor total por empregado</t>
  </si>
  <si>
    <t>Posto 12x36 diurno</t>
  </si>
  <si>
    <t>12x36h diurno</t>
  </si>
  <si>
    <t>Vigilante</t>
  </si>
  <si>
    <t>Dias  trabalho-mês</t>
  </si>
  <si>
    <t>Valor da hora normal</t>
  </si>
  <si>
    <t>Hora Extra:</t>
  </si>
  <si>
    <t>Substituto na cobertura de Ausência por acidente de trabalho</t>
  </si>
  <si>
    <t>Submódulo 4.2: Substituto na Intrajornada</t>
  </si>
  <si>
    <t>Substituto na cobertura de intervalo para repouso ou alimentação</t>
  </si>
  <si>
    <t>Total de dias</t>
  </si>
  <si>
    <t>Módulo 6 - Custos indiretos, tributos e lucro</t>
  </si>
  <si>
    <t>Posto 12 x 36 noturno</t>
  </si>
  <si>
    <t>12x36h noturno</t>
  </si>
  <si>
    <t>Adicional noturno</t>
  </si>
  <si>
    <t>Hora noturna reduzida</t>
  </si>
  <si>
    <t>dias</t>
  </si>
  <si>
    <t>Anexo III</t>
  </si>
  <si>
    <t>Nº do Processo:</t>
  </si>
  <si>
    <t>Nº CNPJ:</t>
  </si>
  <si>
    <t>QUADRO RESUMO -SERVIÇO DE VIGILÂNCIA – VALOR MENSAL DOS SERVIÇOS</t>
  </si>
  <si>
    <t>VALOR POR EMPREGADO</t>
  </si>
  <si>
    <t>EMPREGADOS POR POSTO</t>
  </si>
  <si>
    <t>VALOR MENSAL POR POSTO</t>
  </si>
  <si>
    <t>QUANT. DE POSTOS</t>
  </si>
  <si>
    <t>VALOR MENSAL DOS SERVIÇOS</t>
  </si>
  <si>
    <t>Total mensal</t>
  </si>
  <si>
    <t>Período Contratual (em meses)</t>
  </si>
  <si>
    <t>TOTAL GERAL ESTIMADO PARA A LICITAÇÃO</t>
  </si>
  <si>
    <t>Guarulhos e Taubaté</t>
  </si>
  <si>
    <t>AS CÉLULAS DE FUNDO AZUL DEVEM SER PREENCHIDAS DE ACORDO COM OS VALORES CONSTANTES DA CCT OU NORMAS DE REGÊNCIA</t>
  </si>
  <si>
    <t>Cesta Básica*</t>
  </si>
  <si>
    <t>* A assistência médica poderá ser substituída por uma cesta básica mediante Acordo Coletivo com  o respectivo Sindicato Profissional da base territorial.</t>
  </si>
  <si>
    <t>Taubaté</t>
  </si>
  <si>
    <r>
      <rPr>
        <b/>
        <u/>
        <sz val="10"/>
        <rFont val="Arial"/>
        <family val="2"/>
      </rPr>
      <t>Planilha auxiliar posto 12 x 36 noturno – Módulo 1, “Adicional noturno”, “Adicional de hora noturna reduzida” e Descanso semanal remunerado (DSR)”</t>
    </r>
    <r>
      <rPr>
        <b/>
        <sz val="10"/>
        <rFont val="Arial"/>
        <family val="2"/>
      </rPr>
      <t xml:space="preserve"> </t>
    </r>
    <r>
      <rPr>
        <sz val="10"/>
        <color indexed="8"/>
        <rFont val="Arial"/>
        <family val="2"/>
      </rPr>
      <t xml:space="preserve">- </t>
    </r>
    <r>
      <rPr>
        <sz val="10"/>
        <color indexed="60"/>
        <rFont val="Arial"/>
        <family val="2"/>
      </rPr>
      <t>ATENÇÃO! Não alterar fórmulas</t>
    </r>
  </si>
  <si>
    <t>Número de feriados no ano</t>
  </si>
  <si>
    <t>Número médio de feriados por mês</t>
  </si>
  <si>
    <t>Número de dias por mês: 365,25 dias / 12</t>
  </si>
  <si>
    <t>Número de semanas por mês: número de dias por mês / 7</t>
  </si>
  <si>
    <t>Número de domingos + feriados por mês</t>
  </si>
  <si>
    <t>Número de dias uteis por mês: 30,44 - (domingos + feriados)</t>
  </si>
  <si>
    <t>Adicional Noturno</t>
  </si>
  <si>
    <t>Período noturno</t>
  </si>
  <si>
    <t>22:00 – 05:00</t>
  </si>
  <si>
    <t>Horas relógio</t>
  </si>
  <si>
    <t>Fator de conversão</t>
  </si>
  <si>
    <t>60/52,5 que é igual a 8/7</t>
  </si>
  <si>
    <t>Horas noturnas reduzidas: Horas noturnas convertidas – hora relógio</t>
  </si>
  <si>
    <t>12 x 36 noturno</t>
  </si>
  <si>
    <t>Base de cálculo:</t>
  </si>
  <si>
    <t>Salário base + adicional de periculosidade+gratificação</t>
  </si>
  <si>
    <t>Calculo de 1 hora normal</t>
  </si>
  <si>
    <t>(Salário base + adicional de periculosidade+gratificação)/220</t>
  </si>
  <si>
    <t>Calculo do valor  de 1 hora  do adicional noturno</t>
  </si>
  <si>
    <t>Número de horas noturnas por vigilante</t>
  </si>
  <si>
    <t>Valor do adicional noturno</t>
  </si>
  <si>
    <t>Nº de horas * valor adicional noturno</t>
  </si>
  <si>
    <t>Descanso Semanal Remunerado (DSR)</t>
  </si>
  <si>
    <t>Adicional noturno + Hora noturna reduzida</t>
  </si>
  <si>
    <t>Dias úteis</t>
  </si>
  <si>
    <t>Nº de domingos + feriados</t>
  </si>
  <si>
    <t>Valor do Descanso Semanal Remunerado (DSR)</t>
  </si>
  <si>
    <t>Lucro Presumido</t>
  </si>
  <si>
    <t>Outros</t>
  </si>
  <si>
    <t>Colete balístico</t>
  </si>
  <si>
    <t>Capa avulsa para colete balístico</t>
  </si>
  <si>
    <t>Coldre</t>
  </si>
  <si>
    <r>
      <rPr>
        <sz val="10"/>
        <color indexed="8"/>
        <rFont val="Arial"/>
        <family val="2"/>
        <charset val="1"/>
      </rPr>
      <t xml:space="preserve">Kit Operacional do Dispositivo Elétrico Incapacitante SPARK Z 2.0 </t>
    </r>
    <r>
      <rPr>
        <vertAlign val="superscript"/>
        <sz val="10"/>
        <color indexed="8"/>
        <rFont val="Arial"/>
        <family val="2"/>
      </rPr>
      <t>(1)</t>
    </r>
  </si>
  <si>
    <r>
      <rPr>
        <sz val="10"/>
        <color indexed="8"/>
        <rFont val="Arial"/>
        <family val="2"/>
        <charset val="1"/>
      </rPr>
      <t>Cofre com tranca eletrônica medindo 120 x 230 x 170 mm</t>
    </r>
    <r>
      <rPr>
        <vertAlign val="superscript"/>
        <sz val="10"/>
        <color indexed="8"/>
        <rFont val="Arial"/>
        <family val="2"/>
      </rPr>
      <t>(1)</t>
    </r>
  </si>
  <si>
    <t>Revólver calibre 38</t>
  </si>
  <si>
    <t>Cinturão para revólver</t>
  </si>
  <si>
    <t>Munição calibre 38</t>
  </si>
  <si>
    <t>(1) equipamentos somente para os postos 44 horas armado</t>
  </si>
  <si>
    <t>Custo Total Mensal para postos 44 horas ARF/Taubaté com armamento</t>
  </si>
  <si>
    <t>Custo Total Mensal para postos 12 x 36 horas – ARF/Taubaté e DMA</t>
  </si>
  <si>
    <t>Município da prestação do serviço</t>
  </si>
  <si>
    <t>Posto 44h diurno</t>
  </si>
  <si>
    <t xml:space="preserve"> </t>
  </si>
  <si>
    <t>Licitação Nº:</t>
  </si>
  <si>
    <t>Nome da Empresa:</t>
  </si>
  <si>
    <t>TIPO DE SERVIÇO (A)</t>
  </si>
  <si>
    <t>44 h armado</t>
  </si>
  <si>
    <t xml:space="preserve">44 h desarmado </t>
  </si>
  <si>
    <t>ARF/TAU</t>
  </si>
  <si>
    <t>DRF/GUA</t>
  </si>
  <si>
    <t xml:space="preserve">44h líder </t>
  </si>
  <si>
    <t>12x36 diurno desarmado</t>
  </si>
  <si>
    <t>12x36 diurno armado</t>
  </si>
  <si>
    <t>12x36 noturno armado</t>
  </si>
  <si>
    <t>12x36 noturno desarmado</t>
  </si>
  <si>
    <t>ARF/TAU e DMA</t>
  </si>
  <si>
    <t>Horas noturnas considerando 1 hora = 52,5 minutos: Horas relógio * fator de conversão</t>
  </si>
  <si>
    <t>Hora Noturna Reduzida (Hora extra com 20%)</t>
  </si>
  <si>
    <t>15,22*8</t>
  </si>
  <si>
    <t>Quantidade de horas reduzidas (1,00 * 15,22) * Vr. Hora Extra + adicional noturno</t>
  </si>
  <si>
    <t>Descanso Semanal Remunerado</t>
  </si>
  <si>
    <t>Cálculo da hora extra 60%</t>
  </si>
  <si>
    <t>Hora normal + 60%</t>
  </si>
  <si>
    <t>Cálculo da hora extra 60% + adicional noturno</t>
  </si>
  <si>
    <t>Hora extra 60% + 2,18</t>
  </si>
  <si>
    <t>Intrajornada</t>
  </si>
  <si>
    <t>Valor da Supressão do Intervalo Intrajornada</t>
  </si>
  <si>
    <t>(Hora extra 60% + 20% hora normal) * 15,22</t>
  </si>
  <si>
    <t>EQUIPAMENTOS E COMPLEMENTOS –  (auxiliar para módulo 5) - DRF/GUA</t>
  </si>
  <si>
    <t>EQUIPAMENTOS E COMPLEMENTOS –  (auxiliar para módulo 5) - ARF/TAU e DMA</t>
  </si>
  <si>
    <t>Armado</t>
  </si>
  <si>
    <t>Desarmado</t>
  </si>
  <si>
    <t>Custo Total Mensal para postos 44 horas ARF/Taubaté sem armamento</t>
  </si>
  <si>
    <t>Grupo</t>
  </si>
  <si>
    <t>Lanterna recarregável</t>
  </si>
  <si>
    <t>Meia (pct com 3 pares)</t>
  </si>
  <si>
    <t>16105.720010/2022-41</t>
  </si>
  <si>
    <t>09h30</t>
  </si>
  <si>
    <t>Anexo III do Edital</t>
  </si>
  <si>
    <t>Jaqueta brim</t>
  </si>
  <si>
    <t>Percentuais incidentes sobre remuneração + módulo 2.1.</t>
  </si>
  <si>
    <t>Incidência do Submódulo 2.2 sobre o Aviso Prévio Trabalhado</t>
  </si>
  <si>
    <t>Percentual de Ocorrência</t>
  </si>
  <si>
    <t>(*) Após a 1ª vigência do contrato as células F49 e F52 deverão ser zeradas, em caso de não ocorrência do fato.</t>
  </si>
  <si>
    <t>Nota 1: Os itens que constam do módulo 4 se referem ao cuto dos dias trabalhados pelo repositor/substituto quando o empregado alocado na prestação do serviço estiver ausente, conforme as previsões estabelecidas na legislação.</t>
  </si>
  <si>
    <t xml:space="preserve">Base de Cálculo </t>
  </si>
  <si>
    <t>Módulo 1</t>
  </si>
  <si>
    <t>Módulo 3</t>
  </si>
  <si>
    <t xml:space="preserve">E </t>
  </si>
  <si>
    <t>Multa do FGTS sobre o Aviso Prévio (conta vinculada)</t>
  </si>
  <si>
    <t>Nota 2: Base de cálculo para o custo de reposição do profissional ausente (substituto): Módulo 1 + Módulo 2 (menos VR e VT) + Férias + Módulo 3. Exceto o subsituto na cobertura de férias, ausência por doença e afastamento maternidade, sendo que neste último a remuneração e o 13º podem ser compensados pelo INSS, todos com base de cálculo própria, coforme consta nesses itens de custo.</t>
  </si>
  <si>
    <t>Módulo 2 -  (VR + VT) + Férias</t>
  </si>
  <si>
    <t>Aviso prévio trabalhado (*)</t>
  </si>
  <si>
    <t>(*) Após a 1ª vigência do contrato as células F51 e F54 deverão ser zeradas, em caso de não ocorrência do fato.</t>
  </si>
  <si>
    <t>(*) Após a 1ª vigência do contrato as células F52 e F55 deverão ser zeradas, em caso de não ocorrência do fato.</t>
  </si>
  <si>
    <t>DRF/SJC nº 03/22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</si>
</sst>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[$R$-416]\ #,##0.00;[Red]\-[$R$-416]\ #,##0.00"/>
    <numFmt numFmtId="165" formatCode="0.000000"/>
    <numFmt numFmtId="166" formatCode="&quot;R$ &quot;#,##0.00"/>
    <numFmt numFmtId="167" formatCode="#,##0.000"/>
    <numFmt numFmtId="168" formatCode="&quot; R$ &quot;#,##0.00\ ;&quot;-R$ &quot;#,##0.00\ ;&quot; R$ -&quot;#\ ;@\ "/>
    <numFmt numFmtId="169" formatCode="&quot;R$ &quot;#,##0.00\ ;&quot;(R$ &quot;#,##0.00\)"/>
    <numFmt numFmtId="170" formatCode="[$R$-416]\ #,##0.00;\-[$R$-416]\ #,##0.00"/>
    <numFmt numFmtId="171" formatCode="#,##0.00\ ;#,##0.00\ ;\-#\ ;@\ "/>
    <numFmt numFmtId="172" formatCode="d/m/yyyy"/>
    <numFmt numFmtId="173" formatCode="0.00000"/>
    <numFmt numFmtId="174" formatCode="_-[$R$-416]\ * #,##0.00_-;\-[$R$-416]\ * #,##0.00_-;_-[$R$-416]\ * &quot;-&quot;??_-;_-@_-"/>
    <numFmt numFmtId="175" formatCode="0.000%"/>
  </numFmts>
  <fonts count="41">
    <font>
      <sz val="10"/>
      <color indexed="8"/>
      <name val="Arial"/>
      <family val="2"/>
    </font>
    <font>
      <b/>
      <i/>
      <sz val="16"/>
      <color indexed="8"/>
      <name val="Arial"/>
      <family val="2"/>
    </font>
    <font>
      <b/>
      <i/>
      <u/>
      <sz val="10"/>
      <color indexed="8"/>
      <name val="Arial"/>
      <family val="2"/>
    </font>
    <font>
      <sz val="10"/>
      <color indexed="8"/>
      <name val="Arial"/>
      <family val="2"/>
      <charset val="1"/>
    </font>
    <font>
      <b/>
      <u/>
      <sz val="10"/>
      <color indexed="16"/>
      <name val="Arial"/>
      <family val="2"/>
      <charset val="1"/>
    </font>
    <font>
      <b/>
      <sz val="10"/>
      <color indexed="8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  <font>
      <b/>
      <u/>
      <sz val="10"/>
      <color indexed="8"/>
      <name val="Arial"/>
      <family val="2"/>
      <charset val="1"/>
    </font>
    <font>
      <sz val="10"/>
      <color indexed="16"/>
      <name val="Arial"/>
      <family val="2"/>
      <charset val="1"/>
    </font>
    <font>
      <b/>
      <sz val="10"/>
      <color indexed="10"/>
      <name val="Arial"/>
      <family val="2"/>
      <charset val="1"/>
    </font>
    <font>
      <b/>
      <sz val="14"/>
      <color indexed="8"/>
      <name val="Tahoma"/>
      <family val="2"/>
    </font>
    <font>
      <b/>
      <sz val="11"/>
      <color indexed="8"/>
      <name val="Tahoma"/>
      <family val="2"/>
    </font>
    <font>
      <b/>
      <sz val="10"/>
      <color indexed="8"/>
      <name val="Arial"/>
      <family val="2"/>
    </font>
    <font>
      <sz val="9"/>
      <color indexed="8"/>
      <name val="Tahoma"/>
      <family val="2"/>
    </font>
    <font>
      <b/>
      <sz val="9"/>
      <color indexed="8"/>
      <name val="Tahoma"/>
      <family val="2"/>
    </font>
    <font>
      <sz val="10"/>
      <color indexed="8"/>
      <name val="Arial"/>
      <family val="2"/>
    </font>
    <font>
      <sz val="10"/>
      <color rgb="FFFF0000"/>
      <name val="Arial"/>
      <family val="2"/>
      <charset val="1"/>
    </font>
    <font>
      <strike/>
      <sz val="10"/>
      <color indexed="8"/>
      <name val="Arial"/>
      <family val="2"/>
      <charset val="1"/>
    </font>
    <font>
      <strike/>
      <sz val="10"/>
      <color rgb="FFFF0000"/>
      <name val="Arial"/>
      <family val="2"/>
      <charset val="1"/>
    </font>
    <font>
      <sz val="10"/>
      <color rgb="FF000000"/>
      <name val="Arial"/>
      <family val="2"/>
      <charset val="1"/>
    </font>
    <font>
      <b/>
      <u/>
      <sz val="10"/>
      <color rgb="FFFF0000"/>
      <name val="Arial"/>
      <family val="2"/>
      <charset val="1"/>
    </font>
    <font>
      <b/>
      <sz val="10"/>
      <color indexed="16"/>
      <name val="Arial"/>
      <family val="2"/>
      <charset val="1"/>
    </font>
    <font>
      <b/>
      <strike/>
      <sz val="10"/>
      <color indexed="8"/>
      <name val="Arial"/>
      <family val="2"/>
      <charset val="1"/>
    </font>
    <font>
      <b/>
      <strike/>
      <sz val="10"/>
      <color rgb="FFFF0000"/>
      <name val="Arial"/>
      <family val="2"/>
      <charset val="1"/>
    </font>
    <font>
      <b/>
      <sz val="10"/>
      <color rgb="FF000000"/>
      <name val="Arial"/>
      <family val="2"/>
      <charset val="1"/>
    </font>
    <font>
      <strike/>
      <sz val="10"/>
      <color rgb="FF000000"/>
      <name val="Arial"/>
      <family val="2"/>
      <charset val="1"/>
    </font>
    <font>
      <b/>
      <strike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name val="Arial"/>
      <family val="2"/>
      <charset val="1"/>
    </font>
    <font>
      <b/>
      <i/>
      <sz val="10"/>
      <color indexed="8"/>
      <name val="Arial"/>
      <family val="2"/>
    </font>
    <font>
      <b/>
      <sz val="14"/>
      <color indexed="8"/>
      <name val="Arial"/>
      <family val="2"/>
      <charset val="1"/>
    </font>
    <font>
      <b/>
      <sz val="10"/>
      <color rgb="FFFF0000"/>
      <name val="Arial"/>
      <family val="2"/>
      <charset val="1"/>
    </font>
    <font>
      <b/>
      <u/>
      <sz val="10"/>
      <name val="Arial"/>
      <family val="2"/>
    </font>
    <font>
      <b/>
      <sz val="10"/>
      <name val="Arial"/>
      <family val="2"/>
    </font>
    <font>
      <sz val="10"/>
      <color indexed="60"/>
      <name val="Arial"/>
      <family val="2"/>
    </font>
    <font>
      <sz val="10"/>
      <color indexed="8"/>
      <name val="Century Gothic"/>
      <family val="2"/>
    </font>
    <font>
      <sz val="11"/>
      <color indexed="8"/>
      <name val="Arial2"/>
      <charset val="1"/>
    </font>
    <font>
      <vertAlign val="superscript"/>
      <sz val="10"/>
      <color indexed="8"/>
      <name val="Arial"/>
      <family val="2"/>
    </font>
    <font>
      <i/>
      <sz val="9"/>
      <color indexed="8"/>
      <name val="Arial"/>
      <family val="2"/>
    </font>
    <font>
      <b/>
      <u/>
      <sz val="9"/>
      <color indexed="8"/>
      <name val="Arial"/>
      <family val="2"/>
      <charset val="1"/>
    </font>
  </fonts>
  <fills count="21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4"/>
        <bgColor indexed="42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26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15"/>
        <bgColor indexed="35"/>
      </patternFill>
    </fill>
    <fill>
      <patternFill patternType="solid">
        <fgColor indexed="27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theme="0"/>
        <bgColor indexed="3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55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41"/>
      </patternFill>
    </fill>
  </fills>
  <borders count="9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rgb="FF000000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rgb="FF000000"/>
      </right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8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rgb="FF000000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8">
    <xf numFmtId="0" fontId="0" fillId="0" borderId="0"/>
    <xf numFmtId="168" fontId="16" fillId="0" borderId="0" applyBorder="0" applyProtection="0"/>
    <xf numFmtId="9" fontId="16" fillId="0" borderId="0" applyBorder="0" applyProtection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  <xf numFmtId="9" fontId="6" fillId="0" borderId="0" applyBorder="0" applyProtection="0"/>
  </cellStyleXfs>
  <cellXfs count="622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9" fontId="3" fillId="5" borderId="1" xfId="7" applyFont="1" applyFill="1" applyBorder="1" applyAlignment="1" applyProtection="1">
      <alignment horizontal="center" vertical="center"/>
    </xf>
    <xf numFmtId="165" fontId="3" fillId="5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9" fontId="3" fillId="5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9" fontId="8" fillId="0" borderId="1" xfId="1" applyNumberFormat="1" applyFont="1" applyBorder="1" applyAlignment="1" applyProtection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10" fontId="3" fillId="5" borderId="1" xfId="0" applyNumberFormat="1" applyFont="1" applyFill="1" applyBorder="1" applyAlignment="1">
      <alignment horizontal="center" vertical="center"/>
    </xf>
    <xf numFmtId="170" fontId="3" fillId="0" borderId="1" xfId="0" applyNumberFormat="1" applyFont="1" applyBorder="1" applyAlignment="1">
      <alignment horizontal="center" vertical="center"/>
    </xf>
    <xf numFmtId="0" fontId="3" fillId="0" borderId="3" xfId="0" applyFont="1" applyBorder="1"/>
    <xf numFmtId="0" fontId="5" fillId="0" borderId="1" xfId="0" applyFont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/>
    <xf numFmtId="0" fontId="5" fillId="6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10" fontId="8" fillId="0" borderId="1" xfId="7" applyNumberFormat="1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169" fontId="3" fillId="0" borderId="1" xfId="1" applyNumberFormat="1" applyFont="1" applyBorder="1" applyAlignment="1" applyProtection="1">
      <alignment horizontal="center" wrapText="1"/>
    </xf>
    <xf numFmtId="169" fontId="3" fillId="0" borderId="1" xfId="1" applyNumberFormat="1" applyFont="1" applyBorder="1" applyAlignment="1" applyProtection="1">
      <alignment horizontal="center"/>
    </xf>
    <xf numFmtId="169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169" fontId="8" fillId="0" borderId="0" xfId="0" applyNumberFormat="1" applyFont="1" applyAlignment="1">
      <alignment horizontal="center" vertical="center" wrapText="1"/>
    </xf>
    <xf numFmtId="169" fontId="3" fillId="0" borderId="4" xfId="1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71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3" fillId="7" borderId="2" xfId="0" applyFont="1" applyFill="1" applyBorder="1" applyAlignment="1">
      <alignment horizontal="center"/>
    </xf>
    <xf numFmtId="4" fontId="5" fillId="6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10" fontId="3" fillId="0" borderId="1" xfId="2" applyNumberFormat="1" applyFont="1" applyBorder="1" applyAlignment="1" applyProtection="1">
      <alignment horizontal="center" vertical="center"/>
    </xf>
    <xf numFmtId="168" fontId="3" fillId="0" borderId="1" xfId="1" applyFont="1" applyBorder="1" applyAlignment="1" applyProtection="1">
      <alignment horizontal="center" vertical="center"/>
    </xf>
    <xf numFmtId="10" fontId="5" fillId="6" borderId="1" xfId="0" applyNumberFormat="1" applyFont="1" applyFill="1" applyBorder="1" applyAlignment="1">
      <alignment horizontal="center" vertical="center"/>
    </xf>
    <xf numFmtId="168" fontId="5" fillId="6" borderId="1" xfId="1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6" borderId="4" xfId="0" applyFont="1" applyFill="1" applyBorder="1" applyAlignment="1">
      <alignment horizontal="center" vertical="center"/>
    </xf>
    <xf numFmtId="10" fontId="3" fillId="4" borderId="1" xfId="0" applyNumberFormat="1" applyFont="1" applyFill="1" applyBorder="1" applyAlignment="1" applyProtection="1">
      <alignment horizontal="center" vertical="center"/>
      <protection locked="0"/>
    </xf>
    <xf numFmtId="10" fontId="3" fillId="4" borderId="1" xfId="2" applyNumberFormat="1" applyFont="1" applyFill="1" applyBorder="1" applyAlignment="1" applyProtection="1">
      <alignment horizontal="center" vertical="center"/>
      <protection locked="0"/>
    </xf>
    <xf numFmtId="0" fontId="3" fillId="6" borderId="6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0" fillId="0" borderId="0" xfId="0" applyNumberFormat="1"/>
    <xf numFmtId="0" fontId="17" fillId="0" borderId="0" xfId="0" applyFont="1" applyAlignment="1">
      <alignment horizontal="center" vertical="center"/>
    </xf>
    <xf numFmtId="0" fontId="17" fillId="0" borderId="0" xfId="0" applyFont="1"/>
    <xf numFmtId="166" fontId="21" fillId="0" borderId="7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0" fontId="3" fillId="1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4" fontId="5" fillId="6" borderId="4" xfId="0" applyNumberFormat="1" applyFont="1" applyFill="1" applyBorder="1" applyAlignment="1">
      <alignment horizontal="center" vertical="center"/>
    </xf>
    <xf numFmtId="168" fontId="3" fillId="0" borderId="4" xfId="1" applyFont="1" applyBorder="1" applyAlignment="1" applyProtection="1">
      <alignment horizontal="center" vertical="center"/>
    </xf>
    <xf numFmtId="168" fontId="5" fillId="6" borderId="4" xfId="1" applyFont="1" applyFill="1" applyBorder="1" applyAlignment="1" applyProtection="1">
      <alignment horizontal="center" vertical="center"/>
    </xf>
    <xf numFmtId="164" fontId="5" fillId="6" borderId="4" xfId="0" applyNumberFormat="1" applyFont="1" applyFill="1" applyBorder="1" applyAlignment="1">
      <alignment horizontal="center" vertical="center"/>
    </xf>
    <xf numFmtId="0" fontId="3" fillId="10" borderId="0" xfId="0" applyFont="1" applyFill="1" applyAlignment="1">
      <alignment vertical="center"/>
    </xf>
    <xf numFmtId="10" fontId="3" fillId="10" borderId="1" xfId="0" applyNumberFormat="1" applyFont="1" applyFill="1" applyBorder="1" applyAlignment="1" applyProtection="1">
      <alignment horizontal="center" vertical="center"/>
      <protection locked="0"/>
    </xf>
    <xf numFmtId="0" fontId="3" fillId="10" borderId="1" xfId="0" applyFont="1" applyFill="1" applyBorder="1" applyAlignment="1">
      <alignment horizontal="right" vertical="center"/>
    </xf>
    <xf numFmtId="173" fontId="3" fillId="10" borderId="1" xfId="0" applyNumberFormat="1" applyFont="1" applyFill="1" applyBorder="1" applyAlignment="1" applyProtection="1">
      <alignment horizontal="center" vertical="center"/>
      <protection locked="0"/>
    </xf>
    <xf numFmtId="1" fontId="3" fillId="10" borderId="1" xfId="0" applyNumberFormat="1" applyFont="1" applyFill="1" applyBorder="1" applyAlignment="1" applyProtection="1">
      <alignment horizontal="center" vertical="center"/>
      <protection locked="0"/>
    </xf>
    <xf numFmtId="0" fontId="3" fillId="10" borderId="1" xfId="0" applyFont="1" applyFill="1" applyBorder="1" applyAlignment="1" applyProtection="1">
      <alignment horizontal="center" vertical="center"/>
      <protection locked="0"/>
    </xf>
    <xf numFmtId="0" fontId="3" fillId="0" borderId="1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0" fontId="5" fillId="6" borderId="6" xfId="0" applyNumberFormat="1" applyFont="1" applyFill="1" applyBorder="1" applyAlignment="1">
      <alignment horizontal="center" vertical="center"/>
    </xf>
    <xf numFmtId="164" fontId="5" fillId="6" borderId="16" xfId="0" applyNumberFormat="1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10" fontId="3" fillId="0" borderId="7" xfId="2" applyNumberFormat="1" applyFont="1" applyBorder="1" applyAlignment="1" applyProtection="1">
      <alignment horizontal="center" vertical="center"/>
    </xf>
    <xf numFmtId="10" fontId="3" fillId="0" borderId="14" xfId="2" applyNumberFormat="1" applyFont="1" applyBorder="1" applyAlignment="1" applyProtection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10" fontId="3" fillId="10" borderId="1" xfId="2" applyNumberFormat="1" applyFont="1" applyFill="1" applyBorder="1" applyAlignment="1" applyProtection="1">
      <alignment horizontal="center" vertical="center"/>
      <protection locked="0"/>
    </xf>
    <xf numFmtId="0" fontId="3" fillId="0" borderId="22" xfId="0" applyFont="1" applyBorder="1" applyAlignment="1">
      <alignment horizontal="left" vertical="center"/>
    </xf>
    <xf numFmtId="168" fontId="5" fillId="6" borderId="12" xfId="1" applyFont="1" applyFill="1" applyBorder="1" applyAlignment="1" applyProtection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3" fillId="10" borderId="5" xfId="0" applyFont="1" applyFill="1" applyBorder="1" applyAlignment="1">
      <alignment vertical="center"/>
    </xf>
    <xf numFmtId="168" fontId="3" fillId="0" borderId="16" xfId="1" applyFont="1" applyBorder="1" applyAlignment="1" applyProtection="1">
      <alignment horizontal="center" vertical="center"/>
    </xf>
    <xf numFmtId="164" fontId="5" fillId="6" borderId="14" xfId="0" applyNumberFormat="1" applyFont="1" applyFill="1" applyBorder="1" applyAlignment="1">
      <alignment horizontal="center" vertical="center"/>
    </xf>
    <xf numFmtId="0" fontId="3" fillId="6" borderId="32" xfId="0" applyFont="1" applyFill="1" applyBorder="1" applyAlignment="1">
      <alignment horizontal="center" vertical="center"/>
    </xf>
    <xf numFmtId="0" fontId="3" fillId="10" borderId="32" xfId="0" applyFont="1" applyFill="1" applyBorder="1" applyAlignment="1">
      <alignment horizontal="left" vertical="center"/>
    </xf>
    <xf numFmtId="0" fontId="3" fillId="10" borderId="32" xfId="0" applyFont="1" applyFill="1" applyBorder="1" applyAlignment="1">
      <alignment horizontal="center" vertical="center"/>
    </xf>
    <xf numFmtId="10" fontId="3" fillId="10" borderId="32" xfId="0" applyNumberFormat="1" applyFont="1" applyFill="1" applyBorder="1" applyAlignment="1">
      <alignment horizontal="center" vertical="center"/>
    </xf>
    <xf numFmtId="164" fontId="3" fillId="10" borderId="32" xfId="0" applyNumberFormat="1" applyFont="1" applyFill="1" applyBorder="1" applyAlignment="1">
      <alignment horizontal="center" vertical="center"/>
    </xf>
    <xf numFmtId="174" fontId="3" fillId="0" borderId="1" xfId="1" applyNumberFormat="1" applyFont="1" applyBorder="1" applyAlignment="1" applyProtection="1">
      <alignment horizontal="center" wrapText="1"/>
    </xf>
    <xf numFmtId="0" fontId="3" fillId="11" borderId="1" xfId="0" applyFont="1" applyFill="1" applyBorder="1" applyAlignment="1">
      <alignment horizontal="center" wrapText="1"/>
    </xf>
    <xf numFmtId="0" fontId="3" fillId="6" borderId="26" xfId="0" applyFont="1" applyFill="1" applyBorder="1" applyAlignment="1">
      <alignment horizontal="center" vertical="center"/>
    </xf>
    <xf numFmtId="166" fontId="3" fillId="10" borderId="1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0" fontId="3" fillId="0" borderId="6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3" fillId="10" borderId="4" xfId="0" applyNumberFormat="1" applyFont="1" applyFill="1" applyBorder="1" applyAlignment="1" applyProtection="1">
      <alignment horizontal="center" vertical="center"/>
      <protection locked="0"/>
    </xf>
    <xf numFmtId="164" fontId="3" fillId="0" borderId="4" xfId="0" applyNumberFormat="1" applyFont="1" applyBorder="1" applyAlignment="1">
      <alignment horizontal="center"/>
    </xf>
    <xf numFmtId="164" fontId="5" fillId="6" borderId="4" xfId="0" applyNumberFormat="1" applyFont="1" applyFill="1" applyBorder="1" applyAlignment="1">
      <alignment horizontal="center"/>
    </xf>
    <xf numFmtId="0" fontId="5" fillId="0" borderId="1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4" fontId="5" fillId="0" borderId="13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164" fontId="3" fillId="0" borderId="0" xfId="0" applyNumberFormat="1" applyFont="1" applyAlignment="1" applyProtection="1">
      <alignment horizontal="center" vertical="center"/>
      <protection locked="0"/>
    </xf>
    <xf numFmtId="168" fontId="3" fillId="0" borderId="13" xfId="1" applyFont="1" applyBorder="1" applyAlignment="1" applyProtection="1">
      <alignment horizontal="center" vertical="center"/>
    </xf>
    <xf numFmtId="168" fontId="3" fillId="0" borderId="0" xfId="1" applyFont="1" applyBorder="1" applyAlignment="1" applyProtection="1">
      <alignment horizontal="center" vertical="center"/>
    </xf>
    <xf numFmtId="0" fontId="3" fillId="0" borderId="0" xfId="1" applyNumberFormat="1" applyFont="1" applyBorder="1" applyAlignment="1" applyProtection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8" fontId="5" fillId="0" borderId="0" xfId="1" applyFont="1" applyBorder="1" applyAlignment="1" applyProtection="1">
      <alignment horizontal="center" vertical="center"/>
    </xf>
    <xf numFmtId="164" fontId="17" fillId="0" borderId="13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3" fillId="0" borderId="13" xfId="0" applyFont="1" applyBorder="1" applyAlignment="1">
      <alignment vertical="center"/>
    </xf>
    <xf numFmtId="4" fontId="23" fillId="0" borderId="0" xfId="0" applyNumberFormat="1" applyFont="1" applyAlignment="1">
      <alignment horizontal="center" vertical="center"/>
    </xf>
    <xf numFmtId="168" fontId="18" fillId="0" borderId="0" xfId="1" applyFont="1" applyBorder="1" applyAlignment="1" applyProtection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168" fontId="5" fillId="0" borderId="13" xfId="1" applyFont="1" applyBorder="1" applyAlignment="1" applyProtection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168" fontId="19" fillId="0" borderId="0" xfId="1" applyFont="1" applyBorder="1" applyAlignment="1" applyProtection="1">
      <alignment horizontal="center" vertical="center"/>
    </xf>
    <xf numFmtId="0" fontId="3" fillId="0" borderId="13" xfId="0" applyFont="1" applyBorder="1" applyAlignment="1">
      <alignment horizontal="center" vertical="center"/>
    </xf>
    <xf numFmtId="164" fontId="26" fillId="0" borderId="0" xfId="0" applyNumberFormat="1" applyFont="1" applyAlignment="1">
      <alignment horizontal="center" vertical="center"/>
    </xf>
    <xf numFmtId="164" fontId="27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169" fontId="3" fillId="0" borderId="0" xfId="0" applyNumberFormat="1" applyFont="1" applyAlignment="1">
      <alignment horizontal="center" vertical="center"/>
    </xf>
    <xf numFmtId="0" fontId="20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/>
    </xf>
    <xf numFmtId="0" fontId="20" fillId="5" borderId="1" xfId="0" applyFont="1" applyFill="1" applyBorder="1" applyAlignment="1">
      <alignment horizontal="center" vertical="center"/>
    </xf>
    <xf numFmtId="164" fontId="20" fillId="5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6" fontId="20" fillId="5" borderId="1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0" fillId="14" borderId="1" xfId="0" applyFill="1" applyBorder="1" applyAlignment="1">
      <alignment horizontal="center" vertical="center" wrapText="1"/>
    </xf>
    <xf numFmtId="164" fontId="7" fillId="10" borderId="32" xfId="0" applyNumberFormat="1" applyFont="1" applyFill="1" applyBorder="1" applyAlignment="1">
      <alignment horizontal="center" vertical="center"/>
    </xf>
    <xf numFmtId="164" fontId="29" fillId="6" borderId="14" xfId="0" applyNumberFormat="1" applyFont="1" applyFill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6" borderId="47" xfId="0" applyFont="1" applyFill="1" applyBorder="1" applyAlignment="1">
      <alignment horizontal="center" vertical="center"/>
    </xf>
    <xf numFmtId="0" fontId="3" fillId="13" borderId="0" xfId="0" applyFont="1" applyFill="1"/>
    <xf numFmtId="0" fontId="17" fillId="13" borderId="0" xfId="0" applyFont="1" applyFill="1"/>
    <xf numFmtId="166" fontId="22" fillId="14" borderId="49" xfId="0" applyNumberFormat="1" applyFont="1" applyFill="1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166" fontId="3" fillId="14" borderId="2" xfId="0" applyNumberFormat="1" applyFont="1" applyFill="1" applyBorder="1" applyAlignment="1">
      <alignment horizontal="center"/>
    </xf>
    <xf numFmtId="10" fontId="3" fillId="14" borderId="2" xfId="0" applyNumberFormat="1" applyFont="1" applyFill="1" applyBorder="1" applyAlignment="1">
      <alignment horizontal="center"/>
    </xf>
    <xf numFmtId="10" fontId="3" fillId="15" borderId="2" xfId="0" applyNumberFormat="1" applyFont="1" applyFill="1" applyBorder="1" applyAlignment="1">
      <alignment horizontal="center" vertical="center"/>
    </xf>
    <xf numFmtId="10" fontId="3" fillId="15" borderId="2" xfId="2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66" fontId="3" fillId="5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6" fillId="0" borderId="2" xfId="0" applyFont="1" applyBorder="1" applyAlignment="1">
      <alignment horizontal="center" vertical="center" wrapText="1"/>
    </xf>
    <xf numFmtId="4" fontId="16" fillId="0" borderId="2" xfId="1" applyNumberFormat="1" applyBorder="1" applyAlignment="1" applyProtection="1">
      <alignment horizontal="center" vertical="center"/>
    </xf>
    <xf numFmtId="0" fontId="0" fillId="0" borderId="60" xfId="0" applyBorder="1"/>
    <xf numFmtId="0" fontId="0" fillId="0" borderId="61" xfId="0" applyBorder="1"/>
    <xf numFmtId="0" fontId="0" fillId="0" borderId="2" xfId="0" applyBorder="1"/>
    <xf numFmtId="0" fontId="3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64" fontId="0" fillId="0" borderId="2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164" fontId="33" fillId="0" borderId="2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166" fontId="40" fillId="0" borderId="1" xfId="0" applyNumberFormat="1" applyFont="1" applyBorder="1" applyAlignment="1">
      <alignment horizontal="center" vertical="center" wrapText="1"/>
    </xf>
    <xf numFmtId="166" fontId="40" fillId="0" borderId="7" xfId="0" applyNumberFormat="1" applyFont="1" applyBorder="1" applyAlignment="1">
      <alignment horizontal="center" vertical="center" wrapText="1"/>
    </xf>
    <xf numFmtId="0" fontId="3" fillId="10" borderId="62" xfId="0" applyFont="1" applyFill="1" applyBorder="1" applyAlignment="1">
      <alignment horizontal="center"/>
    </xf>
    <xf numFmtId="0" fontId="5" fillId="6" borderId="40" xfId="0" applyFont="1" applyFill="1" applyBorder="1" applyAlignment="1">
      <alignment horizontal="center" vertical="center"/>
    </xf>
    <xf numFmtId="4" fontId="5" fillId="6" borderId="40" xfId="0" applyNumberFormat="1" applyFont="1" applyFill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4" fontId="5" fillId="0" borderId="40" xfId="0" applyNumberFormat="1" applyFont="1" applyBorder="1" applyAlignment="1">
      <alignment horizontal="center" vertical="center"/>
    </xf>
    <xf numFmtId="0" fontId="3" fillId="6" borderId="40" xfId="0" applyFont="1" applyFill="1" applyBorder="1" applyAlignment="1">
      <alignment horizontal="center" vertical="center"/>
    </xf>
    <xf numFmtId="168" fontId="3" fillId="0" borderId="40" xfId="1" applyFont="1" applyBorder="1" applyAlignment="1" applyProtection="1">
      <alignment horizontal="center" vertical="center"/>
    </xf>
    <xf numFmtId="169" fontId="3" fillId="0" borderId="40" xfId="0" applyNumberFormat="1" applyFont="1" applyBorder="1" applyAlignment="1">
      <alignment horizontal="center" vertical="center"/>
    </xf>
    <xf numFmtId="168" fontId="3" fillId="6" borderId="40" xfId="1" applyFont="1" applyFill="1" applyBorder="1" applyAlignment="1" applyProtection="1">
      <alignment horizontal="center" vertical="center"/>
    </xf>
    <xf numFmtId="4" fontId="5" fillId="6" borderId="18" xfId="0" applyNumberFormat="1" applyFont="1" applyFill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168" fontId="5" fillId="6" borderId="40" xfId="1" applyFont="1" applyFill="1" applyBorder="1" applyAlignment="1" applyProtection="1">
      <alignment horizontal="center" vertical="center"/>
    </xf>
    <xf numFmtId="0" fontId="5" fillId="6" borderId="65" xfId="0" applyFont="1" applyFill="1" applyBorder="1" applyAlignment="1">
      <alignment horizontal="center" vertical="center"/>
    </xf>
    <xf numFmtId="4" fontId="5" fillId="6" borderId="66" xfId="0" applyNumberFormat="1" applyFont="1" applyFill="1" applyBorder="1" applyAlignment="1">
      <alignment horizontal="center" vertical="center"/>
    </xf>
    <xf numFmtId="164" fontId="3" fillId="0" borderId="40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/>
    </xf>
    <xf numFmtId="164" fontId="5" fillId="6" borderId="15" xfId="0" applyNumberFormat="1" applyFont="1" applyFill="1" applyBorder="1" applyAlignment="1">
      <alignment horizontal="center"/>
    </xf>
    <xf numFmtId="164" fontId="3" fillId="0" borderId="40" xfId="0" applyNumberFormat="1" applyFont="1" applyBorder="1" applyAlignment="1">
      <alignment horizontal="center"/>
    </xf>
    <xf numFmtId="164" fontId="3" fillId="10" borderId="16" xfId="0" applyNumberFormat="1" applyFont="1" applyFill="1" applyBorder="1" applyAlignment="1" applyProtection="1">
      <alignment horizontal="center" vertical="center"/>
      <protection locked="0"/>
    </xf>
    <xf numFmtId="164" fontId="3" fillId="0" borderId="67" xfId="0" applyNumberFormat="1" applyFont="1" applyBorder="1" applyAlignment="1" applyProtection="1">
      <alignment horizontal="center" vertical="center"/>
      <protection locked="0"/>
    </xf>
    <xf numFmtId="164" fontId="3" fillId="6" borderId="40" xfId="0" applyNumberFormat="1" applyFont="1" applyFill="1" applyBorder="1" applyAlignment="1">
      <alignment horizontal="center" vertical="center"/>
    </xf>
    <xf numFmtId="0" fontId="3" fillId="0" borderId="29" xfId="0" applyFont="1" applyBorder="1"/>
    <xf numFmtId="0" fontId="20" fillId="0" borderId="0" xfId="0" applyFont="1" applyAlignment="1">
      <alignment horizontal="center"/>
    </xf>
    <xf numFmtId="164" fontId="20" fillId="0" borderId="40" xfId="0" applyNumberFormat="1" applyFont="1" applyBorder="1" applyAlignment="1">
      <alignment horizontal="center" vertical="center"/>
    </xf>
    <xf numFmtId="164" fontId="25" fillId="6" borderId="40" xfId="0" applyNumberFormat="1" applyFont="1" applyFill="1" applyBorder="1" applyAlignment="1">
      <alignment horizontal="center" vertical="center"/>
    </xf>
    <xf numFmtId="0" fontId="0" fillId="0" borderId="40" xfId="0" applyBorder="1" applyAlignment="1">
      <alignment vertical="center"/>
    </xf>
    <xf numFmtId="0" fontId="0" fillId="0" borderId="40" xfId="0" applyBorder="1"/>
    <xf numFmtId="0" fontId="13" fillId="9" borderId="40" xfId="0" applyFont="1" applyFill="1" applyBorder="1" applyAlignment="1">
      <alignment horizontal="center" vertical="center"/>
    </xf>
    <xf numFmtId="164" fontId="14" fillId="0" borderId="40" xfId="0" applyNumberFormat="1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164" fontId="15" fillId="9" borderId="40" xfId="0" applyNumberFormat="1" applyFont="1" applyFill="1" applyBorder="1" applyAlignment="1">
      <alignment horizontal="center" vertical="center"/>
    </xf>
    <xf numFmtId="0" fontId="15" fillId="9" borderId="40" xfId="0" applyFont="1" applyFill="1" applyBorder="1" applyAlignment="1">
      <alignment horizontal="center" vertical="center"/>
    </xf>
    <xf numFmtId="0" fontId="13" fillId="9" borderId="67" xfId="0" applyFont="1" applyFill="1" applyBorder="1" applyAlignment="1">
      <alignment horizontal="center" vertical="center"/>
    </xf>
    <xf numFmtId="0" fontId="13" fillId="9" borderId="40" xfId="0" applyFont="1" applyFill="1" applyBorder="1" applyAlignment="1">
      <alignment horizontal="center" vertical="center" wrapText="1"/>
    </xf>
    <xf numFmtId="0" fontId="13" fillId="9" borderId="72" xfId="0" applyFont="1" applyFill="1" applyBorder="1" applyAlignment="1">
      <alignment horizontal="center" vertical="center" wrapText="1"/>
    </xf>
    <xf numFmtId="0" fontId="13" fillId="9" borderId="67" xfId="0" applyFont="1" applyFill="1" applyBorder="1" applyAlignment="1">
      <alignment horizontal="center" vertical="center" wrapText="1"/>
    </xf>
    <xf numFmtId="4" fontId="5" fillId="6" borderId="48" xfId="0" applyNumberFormat="1" applyFont="1" applyFill="1" applyBorder="1" applyAlignment="1">
      <alignment horizontal="center" vertical="center"/>
    </xf>
    <xf numFmtId="0" fontId="3" fillId="0" borderId="5" xfId="0" applyFont="1" applyBorder="1"/>
    <xf numFmtId="164" fontId="5" fillId="6" borderId="40" xfId="0" applyNumberFormat="1" applyFont="1" applyFill="1" applyBorder="1" applyAlignment="1">
      <alignment horizontal="center" vertical="center"/>
    </xf>
    <xf numFmtId="164" fontId="3" fillId="0" borderId="40" xfId="0" applyNumberFormat="1" applyFont="1" applyBorder="1" applyAlignment="1" applyProtection="1">
      <alignment horizontal="center" vertical="center"/>
      <protection locked="0"/>
    </xf>
    <xf numFmtId="0" fontId="3" fillId="6" borderId="7" xfId="0" applyFont="1" applyFill="1" applyBorder="1"/>
    <xf numFmtId="164" fontId="3" fillId="0" borderId="1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5" fillId="6" borderId="40" xfId="0" applyNumberFormat="1" applyFont="1" applyFill="1" applyBorder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164" fontId="3" fillId="10" borderId="40" xfId="0" applyNumberFormat="1" applyFont="1" applyFill="1" applyBorder="1" applyAlignment="1" applyProtection="1">
      <alignment horizontal="center" vertical="center"/>
      <protection locked="0"/>
    </xf>
    <xf numFmtId="0" fontId="3" fillId="6" borderId="40" xfId="0" applyFont="1" applyFill="1" applyBorder="1"/>
    <xf numFmtId="0" fontId="5" fillId="0" borderId="40" xfId="0" applyFont="1" applyBorder="1" applyAlignment="1">
      <alignment horizontal="center" vertical="center"/>
    </xf>
    <xf numFmtId="10" fontId="3" fillId="4" borderId="40" xfId="0" applyNumberFormat="1" applyFont="1" applyFill="1" applyBorder="1" applyAlignment="1" applyProtection="1">
      <alignment horizontal="center" vertical="center"/>
      <protection locked="0"/>
    </xf>
    <xf numFmtId="166" fontId="3" fillId="0" borderId="40" xfId="0" applyNumberFormat="1" applyFont="1" applyBorder="1" applyAlignment="1">
      <alignment horizontal="center" vertical="center"/>
    </xf>
    <xf numFmtId="10" fontId="3" fillId="10" borderId="40" xfId="2" applyNumberFormat="1" applyFont="1" applyFill="1" applyBorder="1" applyAlignment="1" applyProtection="1">
      <alignment horizontal="center" vertical="center"/>
      <protection locked="0"/>
    </xf>
    <xf numFmtId="164" fontId="3" fillId="0" borderId="73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0" fontId="3" fillId="0" borderId="40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 applyProtection="1">
      <alignment horizontal="center" vertical="center"/>
    </xf>
    <xf numFmtId="4" fontId="3" fillId="6" borderId="1" xfId="1" applyNumberFormat="1" applyFont="1" applyFill="1" applyBorder="1" applyAlignment="1" applyProtection="1">
      <alignment horizontal="center" vertical="center"/>
    </xf>
    <xf numFmtId="4" fontId="3" fillId="0" borderId="4" xfId="1" applyNumberFormat="1" applyFont="1" applyBorder="1" applyAlignment="1" applyProtection="1">
      <alignment horizontal="center" vertical="center"/>
    </xf>
    <xf numFmtId="4" fontId="3" fillId="0" borderId="40" xfId="1" applyNumberFormat="1" applyFont="1" applyBorder="1" applyAlignment="1" applyProtection="1">
      <alignment horizontal="center" vertical="center"/>
    </xf>
    <xf numFmtId="4" fontId="5" fillId="6" borderId="12" xfId="1" applyNumberFormat="1" applyFont="1" applyFill="1" applyBorder="1" applyAlignment="1" applyProtection="1">
      <alignment horizontal="center" vertical="center"/>
    </xf>
    <xf numFmtId="4" fontId="5" fillId="6" borderId="40" xfId="1" applyNumberFormat="1" applyFont="1" applyFill="1" applyBorder="1" applyAlignment="1" applyProtection="1">
      <alignment horizontal="center" vertical="center"/>
    </xf>
    <xf numFmtId="0" fontId="3" fillId="10" borderId="15" xfId="0" applyFont="1" applyFill="1" applyBorder="1" applyAlignment="1">
      <alignment vertical="center"/>
    </xf>
    <xf numFmtId="0" fontId="3" fillId="10" borderId="27" xfId="0" applyFont="1" applyFill="1" applyBorder="1" applyAlignment="1">
      <alignment vertical="center"/>
    </xf>
    <xf numFmtId="0" fontId="3" fillId="10" borderId="28" xfId="0" applyFont="1" applyFill="1" applyBorder="1" applyAlignment="1">
      <alignment vertical="center"/>
    </xf>
    <xf numFmtId="169" fontId="3" fillId="0" borderId="0" xfId="1" applyNumberFormat="1" applyFont="1" applyBorder="1" applyAlignment="1" applyProtection="1">
      <alignment horizontal="center" wrapText="1"/>
    </xf>
    <xf numFmtId="169" fontId="3" fillId="0" borderId="0" xfId="1" applyNumberFormat="1" applyFont="1" applyBorder="1" applyAlignment="1" applyProtection="1">
      <alignment horizontal="center"/>
    </xf>
    <xf numFmtId="164" fontId="3" fillId="6" borderId="67" xfId="0" applyNumberFormat="1" applyFont="1" applyFill="1" applyBorder="1" applyAlignment="1">
      <alignment horizontal="center" vertical="center"/>
    </xf>
    <xf numFmtId="0" fontId="3" fillId="6" borderId="80" xfId="0" applyFont="1" applyFill="1" applyBorder="1" applyAlignment="1">
      <alignment horizontal="center" vertical="center"/>
    </xf>
    <xf numFmtId="0" fontId="0" fillId="9" borderId="40" xfId="0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14" fillId="0" borderId="72" xfId="0" applyFont="1" applyBorder="1" applyAlignment="1">
      <alignment horizontal="center" vertical="center" wrapText="1"/>
    </xf>
    <xf numFmtId="0" fontId="15" fillId="9" borderId="72" xfId="0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 wrapText="1"/>
    </xf>
    <xf numFmtId="0" fontId="34" fillId="17" borderId="2" xfId="0" applyFont="1" applyFill="1" applyBorder="1" applyAlignment="1">
      <alignment horizontal="center" vertical="center"/>
    </xf>
    <xf numFmtId="164" fontId="5" fillId="6" borderId="82" xfId="0" applyNumberFormat="1" applyFont="1" applyFill="1" applyBorder="1" applyAlignment="1">
      <alignment horizontal="center"/>
    </xf>
    <xf numFmtId="0" fontId="3" fillId="6" borderId="67" xfId="0" applyFont="1" applyFill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4" fontId="5" fillId="18" borderId="6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75" fontId="3" fillId="0" borderId="1" xfId="0" applyNumberFormat="1" applyFont="1" applyBorder="1" applyAlignment="1">
      <alignment horizontal="center" vertical="center"/>
    </xf>
    <xf numFmtId="175" fontId="16" fillId="0" borderId="1" xfId="2" applyNumberFormat="1" applyBorder="1" applyAlignment="1">
      <alignment horizontal="center"/>
    </xf>
    <xf numFmtId="175" fontId="3" fillId="0" borderId="1" xfId="0" applyNumberFormat="1" applyFont="1" applyBorder="1" applyAlignment="1">
      <alignment horizontal="center" vertical="center" wrapText="1"/>
    </xf>
    <xf numFmtId="175" fontId="5" fillId="6" borderId="1" xfId="0" applyNumberFormat="1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164" fontId="5" fillId="2" borderId="40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5" fillId="2" borderId="40" xfId="0" applyFont="1" applyFill="1" applyBorder="1" applyAlignment="1">
      <alignment vertical="center"/>
    </xf>
    <xf numFmtId="0" fontId="5" fillId="20" borderId="0" xfId="0" applyFont="1" applyFill="1" applyAlignment="1">
      <alignment vertical="center"/>
    </xf>
    <xf numFmtId="0" fontId="5" fillId="20" borderId="0" xfId="0" applyFont="1" applyFill="1" applyAlignment="1">
      <alignment vertical="center" wrapText="1"/>
    </xf>
    <xf numFmtId="164" fontId="5" fillId="20" borderId="0" xfId="0" applyNumberFormat="1" applyFont="1" applyFill="1" applyAlignment="1">
      <alignment vertical="center"/>
    </xf>
    <xf numFmtId="0" fontId="3" fillId="20" borderId="0" xfId="0" applyFont="1" applyFill="1" applyAlignment="1">
      <alignment vertical="center"/>
    </xf>
    <xf numFmtId="4" fontId="5" fillId="20" borderId="0" xfId="0" applyNumberFormat="1" applyFont="1" applyFill="1" applyAlignment="1">
      <alignment horizontal="center" vertical="center"/>
    </xf>
    <xf numFmtId="4" fontId="5" fillId="13" borderId="0" xfId="0" applyNumberFormat="1" applyFont="1" applyFill="1" applyAlignment="1">
      <alignment horizontal="center" vertical="center"/>
    </xf>
    <xf numFmtId="168" fontId="3" fillId="13" borderId="0" xfId="1" applyFont="1" applyFill="1" applyBorder="1" applyAlignment="1" applyProtection="1">
      <alignment horizontal="center" vertical="center"/>
    </xf>
    <xf numFmtId="168" fontId="5" fillId="20" borderId="0" xfId="1" applyFont="1" applyFill="1" applyBorder="1" applyAlignment="1" applyProtection="1">
      <alignment horizontal="center" vertical="center"/>
    </xf>
    <xf numFmtId="4" fontId="5" fillId="6" borderId="86" xfId="0" applyNumberFormat="1" applyFont="1" applyFill="1" applyBorder="1" applyAlignment="1">
      <alignment horizontal="center" vertical="center"/>
    </xf>
    <xf numFmtId="168" fontId="3" fillId="0" borderId="87" xfId="1" applyFont="1" applyBorder="1" applyAlignment="1" applyProtection="1">
      <alignment horizontal="center" vertical="center"/>
    </xf>
    <xf numFmtId="168" fontId="3" fillId="0" borderId="88" xfId="1" applyFont="1" applyBorder="1" applyAlignment="1" applyProtection="1">
      <alignment horizontal="center" vertical="center"/>
    </xf>
    <xf numFmtId="168" fontId="3" fillId="0" borderId="86" xfId="1" applyFont="1" applyBorder="1" applyAlignment="1" applyProtection="1">
      <alignment horizontal="center" vertical="center"/>
    </xf>
    <xf numFmtId="168" fontId="5" fillId="6" borderId="87" xfId="1" applyFont="1" applyFill="1" applyBorder="1" applyAlignment="1" applyProtection="1">
      <alignment horizontal="center" vertical="center"/>
    </xf>
    <xf numFmtId="164" fontId="5" fillId="20" borderId="0" xfId="0" applyNumberFormat="1" applyFont="1" applyFill="1" applyAlignment="1">
      <alignment horizontal="center" vertical="center"/>
    </xf>
    <xf numFmtId="168" fontId="3" fillId="0" borderId="90" xfId="1" applyFont="1" applyBorder="1" applyAlignment="1" applyProtection="1">
      <alignment horizontal="center" vertical="center"/>
    </xf>
    <xf numFmtId="164" fontId="5" fillId="6" borderId="88" xfId="0" applyNumberFormat="1" applyFont="1" applyFill="1" applyBorder="1" applyAlignment="1">
      <alignment horizontal="center" vertical="center"/>
    </xf>
    <xf numFmtId="0" fontId="5" fillId="20" borderId="0" xfId="0" applyFont="1" applyFill="1" applyAlignment="1">
      <alignment horizontal="center" vertical="center"/>
    </xf>
    <xf numFmtId="4" fontId="3" fillId="0" borderId="0" xfId="1" applyNumberFormat="1" applyFont="1" applyBorder="1" applyAlignment="1" applyProtection="1">
      <alignment horizontal="center" vertical="center"/>
    </xf>
    <xf numFmtId="4" fontId="5" fillId="13" borderId="0" xfId="1" applyNumberFormat="1" applyFont="1" applyFill="1" applyBorder="1" applyAlignment="1" applyProtection="1">
      <alignment horizontal="center" vertical="center"/>
    </xf>
    <xf numFmtId="4" fontId="3" fillId="0" borderId="87" xfId="1" applyNumberFormat="1" applyFont="1" applyBorder="1" applyAlignment="1" applyProtection="1">
      <alignment horizontal="center" vertical="center"/>
    </xf>
    <xf numFmtId="4" fontId="5" fillId="12" borderId="91" xfId="1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13" borderId="0" xfId="0" applyFont="1" applyFill="1" applyAlignment="1">
      <alignment horizontal="left" vertical="center"/>
    </xf>
    <xf numFmtId="0" fontId="13" fillId="0" borderId="40" xfId="0" applyFont="1" applyBorder="1" applyAlignment="1">
      <alignment vertical="center"/>
    </xf>
    <xf numFmtId="0" fontId="3" fillId="0" borderId="60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8" fillId="6" borderId="74" xfId="0" applyFont="1" applyFill="1" applyBorder="1" applyAlignment="1">
      <alignment horizontal="center" vertical="center" wrapText="1"/>
    </xf>
    <xf numFmtId="0" fontId="8" fillId="6" borderId="75" xfId="0" applyFont="1" applyFill="1" applyBorder="1" applyAlignment="1">
      <alignment horizontal="center" vertical="center" wrapText="1"/>
    </xf>
    <xf numFmtId="0" fontId="8" fillId="6" borderId="76" xfId="0" applyFont="1" applyFill="1" applyBorder="1" applyAlignment="1">
      <alignment horizontal="center" vertical="center" wrapText="1"/>
    </xf>
    <xf numFmtId="0" fontId="8" fillId="2" borderId="7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7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3" fillId="5" borderId="60" xfId="0" applyNumberFormat="1" applyFont="1" applyFill="1" applyBorder="1" applyAlignment="1">
      <alignment horizontal="center" vertical="center"/>
    </xf>
    <xf numFmtId="10" fontId="3" fillId="5" borderId="61" xfId="0" applyNumberFormat="1" applyFont="1" applyFill="1" applyBorder="1" applyAlignment="1">
      <alignment horizontal="center" vertical="center"/>
    </xf>
    <xf numFmtId="0" fontId="3" fillId="0" borderId="60" xfId="0" applyFont="1" applyBorder="1" applyAlignment="1">
      <alignment horizontal="center" vertical="center" wrapText="1"/>
    </xf>
    <xf numFmtId="0" fontId="3" fillId="0" borderId="79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8" fillId="0" borderId="11" xfId="0" applyFont="1" applyBorder="1" applyAlignment="1">
      <alignment horizontal="justify" vertical="center" wrapText="1"/>
    </xf>
    <xf numFmtId="0" fontId="3" fillId="0" borderId="29" xfId="0" applyFont="1" applyBorder="1"/>
    <xf numFmtId="0" fontId="3" fillId="0" borderId="0" xfId="0" applyFont="1"/>
    <xf numFmtId="0" fontId="21" fillId="0" borderId="4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left" vertical="center" wrapText="1"/>
    </xf>
    <xf numFmtId="0" fontId="39" fillId="0" borderId="4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justify" vertical="center" wrapText="1"/>
    </xf>
    <xf numFmtId="0" fontId="40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2" fillId="7" borderId="40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30" fillId="15" borderId="0" xfId="0" applyFont="1" applyFill="1" applyAlignment="1">
      <alignment horizontal="left" vertical="center"/>
    </xf>
    <xf numFmtId="0" fontId="5" fillId="16" borderId="40" xfId="0" applyFont="1" applyFill="1" applyBorder="1" applyAlignment="1">
      <alignment horizontal="center" vertical="center"/>
    </xf>
    <xf numFmtId="0" fontId="3" fillId="15" borderId="40" xfId="0" applyFont="1" applyFill="1" applyBorder="1" applyAlignment="1" applyProtection="1">
      <alignment horizontal="left"/>
      <protection locked="0"/>
    </xf>
    <xf numFmtId="0" fontId="3" fillId="0" borderId="40" xfId="0" applyFont="1" applyBorder="1" applyAlignment="1">
      <alignment horizontal="left" vertical="center"/>
    </xf>
    <xf numFmtId="14" fontId="3" fillId="0" borderId="40" xfId="0" applyNumberFormat="1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5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13" fillId="0" borderId="40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10" fontId="8" fillId="0" borderId="9" xfId="2" applyNumberFormat="1" applyFont="1" applyBorder="1" applyAlignment="1" applyProtection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10" fontId="3" fillId="5" borderId="74" xfId="0" applyNumberFormat="1" applyFont="1" applyFill="1" applyBorder="1" applyAlignment="1">
      <alignment horizontal="center" vertical="center"/>
    </xf>
    <xf numFmtId="10" fontId="3" fillId="5" borderId="75" xfId="0" applyNumberFormat="1" applyFont="1" applyFill="1" applyBorder="1" applyAlignment="1">
      <alignment horizontal="center" vertical="center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10" fillId="3" borderId="4" xfId="0" applyFont="1" applyFill="1" applyBorder="1" applyAlignment="1" applyProtection="1">
      <alignment horizontal="center" vertical="center" wrapText="1"/>
      <protection locked="0"/>
    </xf>
    <xf numFmtId="0" fontId="10" fillId="3" borderId="3" xfId="0" applyFont="1" applyFill="1" applyBorder="1" applyAlignment="1" applyProtection="1">
      <alignment horizontal="center" vertical="center" wrapText="1"/>
      <protection locked="0"/>
    </xf>
    <xf numFmtId="0" fontId="10" fillId="3" borderId="11" xfId="0" applyFont="1" applyFill="1" applyBorder="1" applyAlignment="1" applyProtection="1">
      <alignment horizontal="center" vertical="center" wrapText="1"/>
      <protection locked="0"/>
    </xf>
    <xf numFmtId="0" fontId="3" fillId="5" borderId="4" xfId="0" applyFont="1" applyFill="1" applyBorder="1" applyAlignment="1" applyProtection="1">
      <alignment horizontal="center" vertical="center" wrapText="1"/>
      <protection locked="0" hidden="1"/>
    </xf>
    <xf numFmtId="0" fontId="3" fillId="5" borderId="11" xfId="0" applyFont="1" applyFill="1" applyBorder="1" applyAlignment="1" applyProtection="1">
      <alignment horizontal="center" vertical="center" wrapText="1"/>
      <protection locked="0" hidden="1"/>
    </xf>
    <xf numFmtId="166" fontId="3" fillId="11" borderId="4" xfId="0" applyNumberFormat="1" applyFont="1" applyFill="1" applyBorder="1" applyAlignment="1" applyProtection="1">
      <alignment horizontal="center" vertical="center" wrapText="1"/>
      <protection locked="0"/>
    </xf>
    <xf numFmtId="166" fontId="3" fillId="11" borderId="3" xfId="0" applyNumberFormat="1" applyFont="1" applyFill="1" applyBorder="1" applyAlignment="1" applyProtection="1">
      <alignment horizontal="center" vertical="center" wrapText="1"/>
      <protection locked="0"/>
    </xf>
    <xf numFmtId="166" fontId="3" fillId="11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0" fontId="3" fillId="0" borderId="8" xfId="0" applyFont="1" applyBorder="1"/>
    <xf numFmtId="0" fontId="5" fillId="2" borderId="60" xfId="0" applyFont="1" applyFill="1" applyBorder="1" applyAlignment="1">
      <alignment horizontal="center" vertical="center"/>
    </xf>
    <xf numFmtId="0" fontId="5" fillId="2" borderId="79" xfId="0" applyFont="1" applyFill="1" applyBorder="1" applyAlignment="1">
      <alignment horizontal="center" vertical="center"/>
    </xf>
    <xf numFmtId="0" fontId="5" fillId="2" borderId="61" xfId="0" applyFont="1" applyFill="1" applyBorder="1" applyAlignment="1">
      <alignment horizontal="center" vertical="center"/>
    </xf>
    <xf numFmtId="0" fontId="3" fillId="7" borderId="60" xfId="0" applyFont="1" applyFill="1" applyBorder="1" applyAlignment="1">
      <alignment horizontal="center" vertical="center" wrapText="1"/>
    </xf>
    <xf numFmtId="0" fontId="3" fillId="7" borderId="79" xfId="0" applyFont="1" applyFill="1" applyBorder="1" applyAlignment="1">
      <alignment horizontal="center" vertical="center" wrapText="1"/>
    </xf>
    <xf numFmtId="0" fontId="3" fillId="7" borderId="6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9" fontId="20" fillId="5" borderId="1" xfId="1" applyNumberFormat="1" applyFont="1" applyFill="1" applyBorder="1" applyAlignment="1" applyProtection="1">
      <alignment horizontal="center" vertical="center" wrapText="1"/>
    </xf>
    <xf numFmtId="37" fontId="20" fillId="0" borderId="1" xfId="1" applyNumberFormat="1" applyFont="1" applyBorder="1" applyAlignment="1" applyProtection="1">
      <alignment horizontal="center" vertical="center" wrapText="1"/>
    </xf>
    <xf numFmtId="174" fontId="3" fillId="11" borderId="1" xfId="1" applyNumberFormat="1" applyFont="1" applyFill="1" applyBorder="1" applyAlignment="1" applyProtection="1">
      <alignment horizontal="center" vertical="center" wrapText="1"/>
    </xf>
    <xf numFmtId="37" fontId="3" fillId="11" borderId="1" xfId="1" applyNumberFormat="1" applyFont="1" applyFill="1" applyBorder="1" applyAlignment="1" applyProtection="1">
      <alignment horizontal="center" vertical="center" wrapText="1"/>
    </xf>
    <xf numFmtId="169" fontId="20" fillId="5" borderId="1" xfId="1" applyNumberFormat="1" applyFont="1" applyFill="1" applyBorder="1" applyAlignment="1" applyProtection="1">
      <alignment horizontal="center" vertical="center"/>
    </xf>
    <xf numFmtId="37" fontId="20" fillId="0" borderId="1" xfId="1" applyNumberFormat="1" applyFont="1" applyBorder="1" applyAlignment="1" applyProtection="1">
      <alignment horizontal="center" vertical="center"/>
    </xf>
    <xf numFmtId="9" fontId="3" fillId="4" borderId="1" xfId="7" applyFont="1" applyFill="1" applyBorder="1" applyAlignment="1" applyProtection="1">
      <alignment horizontal="center" vertical="center" wrapText="1"/>
    </xf>
    <xf numFmtId="9" fontId="7" fillId="4" borderId="1" xfId="7" applyFont="1" applyFill="1" applyBorder="1" applyAlignment="1" applyProtection="1">
      <alignment horizontal="center" vertical="center" wrapText="1"/>
    </xf>
    <xf numFmtId="0" fontId="3" fillId="5" borderId="1" xfId="0" applyFont="1" applyFill="1" applyBorder="1"/>
    <xf numFmtId="0" fontId="3" fillId="4" borderId="0" xfId="0" applyFont="1" applyFill="1"/>
    <xf numFmtId="166" fontId="8" fillId="2" borderId="1" xfId="0" applyNumberFormat="1" applyFont="1" applyFill="1" applyBorder="1" applyAlignment="1">
      <alignment horizontal="center" vertical="center" wrapText="1"/>
    </xf>
    <xf numFmtId="169" fontId="5" fillId="0" borderId="1" xfId="1" applyNumberFormat="1" applyFont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0" borderId="5" xfId="0" applyFont="1" applyBorder="1"/>
    <xf numFmtId="0" fontId="3" fillId="6" borderId="1" xfId="0" applyFont="1" applyFill="1" applyBorder="1"/>
    <xf numFmtId="0" fontId="3" fillId="0" borderId="1" xfId="0" applyFont="1" applyBorder="1" applyAlignment="1">
      <alignment horizontal="center" vertical="center"/>
    </xf>
    <xf numFmtId="9" fontId="3" fillId="5" borderId="1" xfId="0" applyNumberFormat="1" applyFont="1" applyFill="1" applyBorder="1" applyAlignment="1">
      <alignment horizontal="center" vertical="center"/>
    </xf>
    <xf numFmtId="0" fontId="3" fillId="4" borderId="4" xfId="0" applyFont="1" applyFill="1" applyBorder="1"/>
    <xf numFmtId="166" fontId="5" fillId="0" borderId="16" xfId="0" applyNumberFormat="1" applyFont="1" applyBorder="1" applyAlignment="1">
      <alignment horizontal="center" vertical="center" wrapText="1"/>
    </xf>
    <xf numFmtId="166" fontId="5" fillId="0" borderId="5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0" fontId="3" fillId="0" borderId="3" xfId="0" applyFont="1" applyBorder="1"/>
    <xf numFmtId="166" fontId="8" fillId="2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9" fillId="3" borderId="1" xfId="0" applyNumberFormat="1" applyFont="1" applyFill="1" applyBorder="1" applyAlignment="1">
      <alignment horizontal="center" vertical="center"/>
    </xf>
    <xf numFmtId="169" fontId="8" fillId="0" borderId="1" xfId="1" applyNumberFormat="1" applyFont="1" applyBorder="1" applyAlignment="1" applyProtection="1">
      <alignment horizontal="center" vertical="center"/>
    </xf>
    <xf numFmtId="166" fontId="5" fillId="0" borderId="1" xfId="0" applyNumberFormat="1" applyFont="1" applyBorder="1" applyAlignment="1">
      <alignment horizontal="center" vertical="center" wrapText="1"/>
    </xf>
    <xf numFmtId="166" fontId="5" fillId="0" borderId="5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69" fontId="5" fillId="0" borderId="1" xfId="1" applyNumberFormat="1" applyFont="1" applyBorder="1" applyAlignment="1" applyProtection="1">
      <alignment horizontal="center" vertical="center"/>
    </xf>
    <xf numFmtId="166" fontId="22" fillId="3" borderId="1" xfId="0" applyNumberFormat="1" applyFont="1" applyFill="1" applyBorder="1" applyAlignment="1">
      <alignment horizontal="center" vertical="center"/>
    </xf>
    <xf numFmtId="166" fontId="3" fillId="5" borderId="1" xfId="0" applyNumberFormat="1" applyFont="1" applyFill="1" applyBorder="1" applyAlignment="1">
      <alignment horizontal="center" vertical="center" wrapText="1"/>
    </xf>
    <xf numFmtId="10" fontId="20" fillId="11" borderId="1" xfId="0" applyNumberFormat="1" applyFont="1" applyFill="1" applyBorder="1" applyAlignment="1">
      <alignment horizontal="center" vertical="center"/>
    </xf>
    <xf numFmtId="166" fontId="22" fillId="3" borderId="48" xfId="0" applyNumberFormat="1" applyFont="1" applyFill="1" applyBorder="1" applyAlignment="1">
      <alignment horizontal="left" vertical="center"/>
    </xf>
    <xf numFmtId="166" fontId="22" fillId="3" borderId="49" xfId="0" applyNumberFormat="1" applyFont="1" applyFill="1" applyBorder="1" applyAlignment="1">
      <alignment horizontal="left" vertical="center"/>
    </xf>
    <xf numFmtId="166" fontId="22" fillId="3" borderId="50" xfId="0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3" fillId="0" borderId="1" xfId="0" applyFont="1" applyBorder="1"/>
    <xf numFmtId="49" fontId="22" fillId="11" borderId="42" xfId="0" applyNumberFormat="1" applyFont="1" applyFill="1" applyBorder="1" applyAlignment="1">
      <alignment horizontal="left" vertical="center"/>
    </xf>
    <xf numFmtId="49" fontId="22" fillId="11" borderId="41" xfId="0" applyNumberFormat="1" applyFont="1" applyFill="1" applyBorder="1" applyAlignment="1">
      <alignment horizontal="left" vertical="center"/>
    </xf>
    <xf numFmtId="49" fontId="22" fillId="11" borderId="43" xfId="0" applyNumberFormat="1" applyFont="1" applyFill="1" applyBorder="1" applyAlignment="1">
      <alignment horizontal="left" vertical="center"/>
    </xf>
    <xf numFmtId="49" fontId="22" fillId="11" borderId="44" xfId="0" applyNumberFormat="1" applyFont="1" applyFill="1" applyBorder="1" applyAlignment="1">
      <alignment horizontal="left" vertical="center"/>
    </xf>
    <xf numFmtId="49" fontId="22" fillId="11" borderId="45" xfId="0" applyNumberFormat="1" applyFont="1" applyFill="1" applyBorder="1" applyAlignment="1">
      <alignment horizontal="left" vertical="center"/>
    </xf>
    <xf numFmtId="49" fontId="22" fillId="11" borderId="46" xfId="0" applyNumberFormat="1" applyFont="1" applyFill="1" applyBorder="1" applyAlignment="1">
      <alignment horizontal="left" vertical="center"/>
    </xf>
    <xf numFmtId="0" fontId="13" fillId="0" borderId="51" xfId="0" applyFont="1" applyBorder="1" applyAlignment="1">
      <alignment horizontal="center" vertical="center"/>
    </xf>
    <xf numFmtId="0" fontId="13" fillId="0" borderId="52" xfId="0" applyFont="1" applyBorder="1" applyAlignment="1">
      <alignment horizontal="center" vertical="center"/>
    </xf>
    <xf numFmtId="164" fontId="4" fillId="3" borderId="53" xfId="0" applyNumberFormat="1" applyFont="1" applyFill="1" applyBorder="1" applyAlignment="1">
      <alignment horizontal="left" vertical="center" wrapText="1"/>
    </xf>
    <xf numFmtId="164" fontId="4" fillId="3" borderId="49" xfId="0" applyNumberFormat="1" applyFont="1" applyFill="1" applyBorder="1" applyAlignment="1">
      <alignment horizontal="left" vertical="center" wrapText="1"/>
    </xf>
    <xf numFmtId="164" fontId="4" fillId="3" borderId="50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6" borderId="92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5" fillId="6" borderId="58" xfId="0" applyFont="1" applyFill="1" applyBorder="1" applyAlignment="1">
      <alignment horizontal="center" vertical="center"/>
    </xf>
    <xf numFmtId="0" fontId="5" fillId="6" borderId="93" xfId="0" applyFont="1" applyFill="1" applyBorder="1" applyAlignment="1">
      <alignment horizontal="center" vertical="center"/>
    </xf>
    <xf numFmtId="0" fontId="5" fillId="6" borderId="9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10" borderId="4" xfId="0" applyFont="1" applyFill="1" applyBorder="1" applyAlignment="1" applyProtection="1">
      <alignment horizontal="center" vertical="center" wrapText="1"/>
      <protection locked="0"/>
    </xf>
    <xf numFmtId="0" fontId="3" fillId="10" borderId="11" xfId="0" applyFont="1" applyFill="1" applyBorder="1" applyAlignment="1" applyProtection="1">
      <alignment horizontal="center" vertical="center" wrapText="1"/>
      <protection locked="0"/>
    </xf>
    <xf numFmtId="172" fontId="3" fillId="1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10" xfId="0" applyFont="1" applyBorder="1"/>
    <xf numFmtId="0" fontId="31" fillId="0" borderId="3" xfId="0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5" fillId="10" borderId="6" xfId="0" applyNumberFormat="1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164" fontId="20" fillId="0" borderId="1" xfId="0" applyNumberFormat="1" applyFont="1" applyBorder="1" applyAlignment="1">
      <alignment horizontal="left" vertical="center"/>
    </xf>
    <xf numFmtId="0" fontId="5" fillId="6" borderId="6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10" fontId="3" fillId="0" borderId="1" xfId="2" applyNumberFormat="1" applyFont="1" applyBorder="1" applyAlignment="1" applyProtection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5" fillId="6" borderId="4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5" fillId="6" borderId="63" xfId="0" applyFont="1" applyFill="1" applyBorder="1" applyAlignment="1">
      <alignment horizontal="center" vertical="center"/>
    </xf>
    <xf numFmtId="0" fontId="5" fillId="6" borderId="45" xfId="0" applyFont="1" applyFill="1" applyBorder="1" applyAlignment="1">
      <alignment horizontal="center" vertical="center"/>
    </xf>
    <xf numFmtId="0" fontId="5" fillId="6" borderId="64" xfId="0" applyFont="1" applyFill="1" applyBorder="1" applyAlignment="1">
      <alignment horizontal="center" vertical="center"/>
    </xf>
    <xf numFmtId="0" fontId="3" fillId="19" borderId="42" xfId="0" applyFont="1" applyFill="1" applyBorder="1" applyAlignment="1">
      <alignment horizontal="left" vertical="center"/>
    </xf>
    <xf numFmtId="0" fontId="3" fillId="19" borderId="41" xfId="0" applyFont="1" applyFill="1" applyBorder="1" applyAlignment="1">
      <alignment horizontal="left" vertical="center"/>
    </xf>
    <xf numFmtId="0" fontId="3" fillId="19" borderId="43" xfId="0" applyFont="1" applyFill="1" applyBorder="1" applyAlignment="1">
      <alignment horizontal="left" vertical="center"/>
    </xf>
    <xf numFmtId="0" fontId="3" fillId="0" borderId="45" xfId="0" applyFont="1" applyBorder="1" applyAlignment="1">
      <alignment horizontal="center"/>
    </xf>
    <xf numFmtId="0" fontId="5" fillId="2" borderId="48" xfId="0" applyFont="1" applyFill="1" applyBorder="1" applyAlignment="1">
      <alignment horizontal="center" vertical="center"/>
    </xf>
    <xf numFmtId="0" fontId="5" fillId="2" borderId="49" xfId="0" applyFont="1" applyFill="1" applyBorder="1" applyAlignment="1">
      <alignment horizontal="center" vertical="center"/>
    </xf>
    <xf numFmtId="0" fontId="5" fillId="2" borderId="50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/>
    </xf>
    <xf numFmtId="0" fontId="3" fillId="2" borderId="50" xfId="0" applyFont="1" applyFill="1" applyBorder="1" applyAlignment="1">
      <alignment horizontal="center" vertical="center"/>
    </xf>
    <xf numFmtId="0" fontId="3" fillId="0" borderId="83" xfId="0" applyFont="1" applyBorder="1" applyAlignment="1">
      <alignment horizontal="left" vertical="center" wrapText="1"/>
    </xf>
    <xf numFmtId="0" fontId="3" fillId="0" borderId="84" xfId="0" applyFont="1" applyBorder="1" applyAlignment="1">
      <alignment horizontal="left" vertical="center" wrapText="1"/>
    </xf>
    <xf numFmtId="0" fontId="3" fillId="0" borderId="85" xfId="0" applyFont="1" applyBorder="1" applyAlignment="1">
      <alignment horizontal="left" vertical="center" wrapText="1"/>
    </xf>
    <xf numFmtId="0" fontId="5" fillId="2" borderId="48" xfId="0" applyFont="1" applyFill="1" applyBorder="1" applyAlignment="1">
      <alignment horizontal="left" vertical="center" wrapText="1"/>
    </xf>
    <xf numFmtId="0" fontId="5" fillId="2" borderId="49" xfId="0" applyFont="1" applyFill="1" applyBorder="1" applyAlignment="1">
      <alignment horizontal="left" vertical="center" wrapText="1"/>
    </xf>
    <xf numFmtId="0" fontId="5" fillId="2" borderId="50" xfId="0" applyFont="1" applyFill="1" applyBorder="1" applyAlignment="1">
      <alignment horizontal="left" vertical="center" wrapText="1"/>
    </xf>
    <xf numFmtId="0" fontId="5" fillId="2" borderId="48" xfId="0" applyFont="1" applyFill="1" applyBorder="1" applyAlignment="1">
      <alignment horizontal="center" vertical="center" wrapText="1"/>
    </xf>
    <xf numFmtId="0" fontId="5" fillId="2" borderId="50" xfId="0" applyFont="1" applyFill="1" applyBorder="1" applyAlignment="1">
      <alignment horizontal="center" vertical="center" wrapText="1"/>
    </xf>
    <xf numFmtId="164" fontId="5" fillId="2" borderId="48" xfId="0" applyNumberFormat="1" applyFont="1" applyFill="1" applyBorder="1" applyAlignment="1">
      <alignment horizontal="center" vertical="center"/>
    </xf>
    <xf numFmtId="164" fontId="5" fillId="2" borderId="50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10" borderId="1" xfId="0" applyFont="1" applyFill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3" fillId="10" borderId="4" xfId="0" applyFont="1" applyFill="1" applyBorder="1" applyAlignment="1">
      <alignment horizontal="left" vertical="center"/>
    </xf>
    <xf numFmtId="0" fontId="3" fillId="10" borderId="3" xfId="0" applyFont="1" applyFill="1" applyBorder="1" applyAlignment="1">
      <alignment horizontal="left" vertical="center"/>
    </xf>
    <xf numFmtId="0" fontId="3" fillId="10" borderId="11" xfId="0" applyFont="1" applyFill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3" fillId="6" borderId="14" xfId="0" applyFont="1" applyFill="1" applyBorder="1" applyAlignment="1">
      <alignment horizontal="center" vertical="center"/>
    </xf>
    <xf numFmtId="0" fontId="5" fillId="6" borderId="5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8" fontId="3" fillId="0" borderId="68" xfId="1" applyFont="1" applyBorder="1" applyAlignment="1" applyProtection="1">
      <alignment horizontal="center" vertical="center"/>
    </xf>
    <xf numFmtId="168" fontId="3" fillId="0" borderId="69" xfId="1" applyFont="1" applyBorder="1" applyAlignment="1" applyProtection="1">
      <alignment horizontal="center" vertical="center"/>
    </xf>
    <xf numFmtId="168" fontId="3" fillId="0" borderId="70" xfId="1" applyFont="1" applyBorder="1" applyAlignment="1" applyProtection="1">
      <alignment horizontal="center" vertical="center"/>
    </xf>
    <xf numFmtId="168" fontId="3" fillId="0" borderId="40" xfId="1" applyFont="1" applyBorder="1" applyAlignment="1" applyProtection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0" fontId="5" fillId="0" borderId="40" xfId="0" applyFont="1" applyBorder="1" applyAlignment="1">
      <alignment horizontal="left" vertical="center"/>
    </xf>
    <xf numFmtId="0" fontId="3" fillId="10" borderId="6" xfId="0" applyFont="1" applyFill="1" applyBorder="1" applyAlignment="1">
      <alignment horizontal="left" vertical="center"/>
    </xf>
    <xf numFmtId="0" fontId="5" fillId="6" borderId="67" xfId="0" applyFont="1" applyFill="1" applyBorder="1" applyAlignment="1">
      <alignment horizontal="center" vertical="center"/>
    </xf>
    <xf numFmtId="0" fontId="3" fillId="0" borderId="41" xfId="0" applyFont="1" applyBorder="1" applyAlignment="1">
      <alignment horizontal="left" vertical="center"/>
    </xf>
    <xf numFmtId="0" fontId="3" fillId="19" borderId="48" xfId="0" applyFont="1" applyFill="1" applyBorder="1" applyAlignment="1">
      <alignment horizontal="left" vertical="center"/>
    </xf>
    <xf numFmtId="0" fontId="3" fillId="19" borderId="49" xfId="0" applyFont="1" applyFill="1" applyBorder="1" applyAlignment="1">
      <alignment horizontal="left" vertical="center"/>
    </xf>
    <xf numFmtId="0" fontId="3" fillId="19" borderId="50" xfId="0" applyFont="1" applyFill="1" applyBorder="1" applyAlignment="1">
      <alignment horizontal="left" vertical="center"/>
    </xf>
    <xf numFmtId="164" fontId="13" fillId="18" borderId="40" xfId="0" applyNumberFormat="1" applyFont="1" applyFill="1" applyBorder="1" applyAlignment="1">
      <alignment horizontal="center" vertical="center"/>
    </xf>
    <xf numFmtId="0" fontId="5" fillId="2" borderId="49" xfId="0" applyFont="1" applyFill="1" applyBorder="1" applyAlignment="1">
      <alignment horizontal="center" vertical="center" wrapText="1"/>
    </xf>
    <xf numFmtId="0" fontId="13" fillId="18" borderId="40" xfId="0" applyFont="1" applyFill="1" applyBorder="1" applyAlignment="1">
      <alignment horizontal="center" vertical="center"/>
    </xf>
    <xf numFmtId="164" fontId="5" fillId="2" borderId="48" xfId="0" applyNumberFormat="1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3" fillId="0" borderId="37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5" fillId="6" borderId="31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" fillId="0" borderId="6" xfId="0" applyFont="1" applyBorder="1"/>
    <xf numFmtId="10" fontId="3" fillId="0" borderId="1" xfId="0" applyNumberFormat="1" applyFont="1" applyBorder="1" applyAlignment="1">
      <alignment horizontal="center" vertical="center"/>
    </xf>
    <xf numFmtId="168" fontId="3" fillId="0" borderId="4" xfId="1" applyFont="1" applyBorder="1" applyAlignment="1" applyProtection="1">
      <alignment horizontal="center" vertical="center"/>
    </xf>
    <xf numFmtId="168" fontId="3" fillId="0" borderId="67" xfId="1" applyFont="1" applyBorder="1" applyAlignment="1" applyProtection="1">
      <alignment horizontal="center" vertical="center"/>
    </xf>
    <xf numFmtId="168" fontId="3" fillId="0" borderId="71" xfId="1" applyFont="1" applyBorder="1" applyAlignment="1" applyProtection="1">
      <alignment horizontal="center" vertical="center"/>
    </xf>
    <xf numFmtId="168" fontId="3" fillId="0" borderId="72" xfId="1" applyFont="1" applyBorder="1" applyAlignment="1" applyProtection="1">
      <alignment horizontal="center" vertical="center"/>
    </xf>
    <xf numFmtId="0" fontId="3" fillId="19" borderId="70" xfId="0" applyFont="1" applyFill="1" applyBorder="1" applyAlignment="1">
      <alignment horizontal="left" vertical="center"/>
    </xf>
    <xf numFmtId="0" fontId="3" fillId="19" borderId="93" xfId="0" applyFont="1" applyFill="1" applyBorder="1" applyAlignment="1">
      <alignment horizontal="left" vertical="center"/>
    </xf>
    <xf numFmtId="0" fontId="3" fillId="19" borderId="94" xfId="0" applyFont="1" applyFill="1" applyBorder="1" applyAlignment="1">
      <alignment horizontal="left" vertical="center"/>
    </xf>
    <xf numFmtId="0" fontId="3" fillId="2" borderId="83" xfId="0" applyFont="1" applyFill="1" applyBorder="1" applyAlignment="1">
      <alignment horizontal="center" vertical="center"/>
    </xf>
    <xf numFmtId="0" fontId="3" fillId="2" borderId="84" xfId="0" applyFont="1" applyFill="1" applyBorder="1" applyAlignment="1">
      <alignment horizontal="center" vertical="center"/>
    </xf>
    <xf numFmtId="0" fontId="3" fillId="2" borderId="89" xfId="0" applyFont="1" applyFill="1" applyBorder="1" applyAlignment="1">
      <alignment horizontal="center" vertical="center"/>
    </xf>
    <xf numFmtId="0" fontId="3" fillId="0" borderId="83" xfId="0" applyFont="1" applyBorder="1" applyAlignment="1">
      <alignment horizontal="center" vertical="center" wrapText="1"/>
    </xf>
    <xf numFmtId="0" fontId="3" fillId="0" borderId="84" xfId="0" applyFont="1" applyBorder="1" applyAlignment="1">
      <alignment horizontal="center" vertical="center" wrapText="1"/>
    </xf>
    <xf numFmtId="0" fontId="3" fillId="0" borderId="8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5" fillId="2" borderId="1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3" xfId="0" applyFont="1" applyBorder="1" applyAlignment="1">
      <alignment horizontal="center"/>
    </xf>
    <xf numFmtId="0" fontId="31" fillId="0" borderId="15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/>
    </xf>
    <xf numFmtId="0" fontId="31" fillId="0" borderId="28" xfId="0" applyFont="1" applyBorder="1" applyAlignment="1">
      <alignment horizontal="center" vertical="center"/>
    </xf>
    <xf numFmtId="0" fontId="3" fillId="7" borderId="59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3" fillId="0" borderId="33" xfId="0" applyNumberFormat="1" applyFont="1" applyBorder="1" applyAlignment="1">
      <alignment horizontal="center" vertical="center"/>
    </xf>
    <xf numFmtId="164" fontId="3" fillId="0" borderId="34" xfId="0" applyNumberFormat="1" applyFont="1" applyBorder="1" applyAlignment="1">
      <alignment horizontal="center" vertical="center"/>
    </xf>
    <xf numFmtId="164" fontId="3" fillId="0" borderId="35" xfId="0" applyNumberFormat="1" applyFont="1" applyBorder="1" applyAlignment="1">
      <alignment horizontal="center" vertical="center"/>
    </xf>
    <xf numFmtId="164" fontId="3" fillId="0" borderId="36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6" borderId="40" xfId="0" applyFont="1" applyFill="1" applyBorder="1" applyAlignment="1">
      <alignment horizontal="center" vertical="center"/>
    </xf>
    <xf numFmtId="10" fontId="3" fillId="0" borderId="40" xfId="0" applyNumberFormat="1" applyFont="1" applyBorder="1" applyAlignment="1">
      <alignment horizontal="center" vertical="center"/>
    </xf>
    <xf numFmtId="0" fontId="3" fillId="10" borderId="40" xfId="0" applyFont="1" applyFill="1" applyBorder="1" applyAlignment="1">
      <alignment horizontal="left" vertical="center"/>
    </xf>
    <xf numFmtId="164" fontId="3" fillId="0" borderId="40" xfId="0" applyNumberFormat="1" applyFont="1" applyBorder="1" applyAlignment="1">
      <alignment horizontal="left" vertical="center"/>
    </xf>
    <xf numFmtId="164" fontId="3" fillId="0" borderId="44" xfId="0" applyNumberFormat="1" applyFont="1" applyBorder="1" applyAlignment="1">
      <alignment horizontal="left" vertical="center"/>
    </xf>
    <xf numFmtId="164" fontId="3" fillId="0" borderId="45" xfId="0" applyNumberFormat="1" applyFont="1" applyBorder="1" applyAlignment="1">
      <alignment horizontal="left" vertical="center"/>
    </xf>
    <xf numFmtId="164" fontId="3" fillId="0" borderId="46" xfId="0" applyNumberFormat="1" applyFont="1" applyBorder="1" applyAlignment="1">
      <alignment horizontal="left" vertical="center"/>
    </xf>
    <xf numFmtId="164" fontId="3" fillId="0" borderId="48" xfId="0" applyNumberFormat="1" applyFont="1" applyBorder="1" applyAlignment="1">
      <alignment horizontal="left" vertical="center" wrapText="1"/>
    </xf>
    <xf numFmtId="164" fontId="3" fillId="0" borderId="49" xfId="0" applyNumberFormat="1" applyFont="1" applyBorder="1" applyAlignment="1">
      <alignment horizontal="left" vertical="center" wrapText="1"/>
    </xf>
    <xf numFmtId="164" fontId="3" fillId="0" borderId="50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/>
    </xf>
    <xf numFmtId="0" fontId="5" fillId="12" borderId="37" xfId="0" applyFont="1" applyFill="1" applyBorder="1" applyAlignment="1">
      <alignment horizontal="center" vertical="center"/>
    </xf>
    <xf numFmtId="0" fontId="5" fillId="12" borderId="38" xfId="0" applyFont="1" applyFill="1" applyBorder="1" applyAlignment="1">
      <alignment horizontal="center" vertical="center"/>
    </xf>
    <xf numFmtId="0" fontId="5" fillId="12" borderId="39" xfId="0" applyFont="1" applyFill="1" applyBorder="1" applyAlignment="1">
      <alignment horizontal="center" vertical="center"/>
    </xf>
    <xf numFmtId="0" fontId="3" fillId="0" borderId="4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3" fillId="17" borderId="2" xfId="0" applyFont="1" applyFill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left" vertical="center"/>
    </xf>
    <xf numFmtId="0" fontId="33" fillId="17" borderId="2" xfId="0" applyFont="1" applyFill="1" applyBorder="1" applyAlignment="1">
      <alignment horizontal="justify" vertical="center" wrapText="1"/>
    </xf>
    <xf numFmtId="0" fontId="34" fillId="17" borderId="2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40" xfId="0" applyBorder="1" applyAlignment="1">
      <alignment horizontal="center" vertical="center"/>
    </xf>
    <xf numFmtId="0" fontId="13" fillId="9" borderId="40" xfId="0" applyFont="1" applyFill="1" applyBorder="1" applyAlignment="1">
      <alignment horizontal="center" vertical="center"/>
    </xf>
    <xf numFmtId="0" fontId="0" fillId="0" borderId="40" xfId="0" applyBorder="1" applyAlignment="1">
      <alignment horizontal="right" vertical="center"/>
    </xf>
    <xf numFmtId="0" fontId="13" fillId="0" borderId="40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9" borderId="44" xfId="0" applyFill="1" applyBorder="1" applyAlignment="1">
      <alignment horizontal="center" vertical="center"/>
    </xf>
    <xf numFmtId="0" fontId="0" fillId="9" borderId="46" xfId="0" applyFill="1" applyBorder="1" applyAlignment="1">
      <alignment horizontal="center" vertical="center"/>
    </xf>
    <xf numFmtId="0" fontId="11" fillId="8" borderId="40" xfId="0" applyFont="1" applyFill="1" applyBorder="1" applyAlignment="1">
      <alignment horizontal="center" vertical="center"/>
    </xf>
    <xf numFmtId="0" fontId="12" fillId="9" borderId="40" xfId="0" applyFont="1" applyFill="1" applyBorder="1" applyAlignment="1">
      <alignment horizontal="center" vertical="center"/>
    </xf>
    <xf numFmtId="0" fontId="0" fillId="0" borderId="67" xfId="0" applyBorder="1" applyAlignment="1">
      <alignment horizontal="right" vertical="center"/>
    </xf>
    <xf numFmtId="0" fontId="0" fillId="0" borderId="48" xfId="0" applyBorder="1" applyAlignment="1">
      <alignment horizontal="right" vertical="center"/>
    </xf>
    <xf numFmtId="0" fontId="0" fillId="0" borderId="50" xfId="0" applyBorder="1" applyAlignment="1">
      <alignment horizontal="right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14" fontId="3" fillId="15" borderId="40" xfId="0" applyNumberFormat="1" applyFont="1" applyFill="1" applyBorder="1" applyAlignment="1" applyProtection="1">
      <alignment horizontal="left"/>
      <protection locked="0"/>
    </xf>
    <xf numFmtId="14" fontId="13" fillId="0" borderId="40" xfId="0" applyNumberFormat="1" applyFont="1" applyBorder="1" applyAlignment="1">
      <alignment vertical="center"/>
    </xf>
  </cellXfs>
  <cellStyles count="8">
    <cellStyle name="Excel Built-in Percent 1" xfId="7" xr:uid="{00000000-0005-0000-0000-000001000000}"/>
    <cellStyle name="Heading" xfId="3" xr:uid="{00000000-0005-0000-0000-000002000000}"/>
    <cellStyle name="Heading1" xfId="4" xr:uid="{00000000-0005-0000-0000-000003000000}"/>
    <cellStyle name="Moeda" xfId="1" builtinId="4"/>
    <cellStyle name="Normal" xfId="0" builtinId="0"/>
    <cellStyle name="Porcentagem" xfId="2" builtinId="5"/>
    <cellStyle name="Result" xfId="5" xr:uid="{00000000-0005-0000-0000-000006000000}"/>
    <cellStyle name="Result2" xfId="6" xr:uid="{00000000-0005-0000-0000-000007000000}"/>
  </cellStyles>
  <dxfs count="2"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0"/>
      </font>
      <fill>
        <patternFill patternType="solid">
          <fgColor indexed="34"/>
          <bgColor indexed="1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E6"/>
      <rgbColor rgb="0099FFFF"/>
      <rgbColor rgb="00FFFF99"/>
      <rgbColor rgb="0066FF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4"/>
  </sheetPr>
  <dimension ref="A1:Q131"/>
  <sheetViews>
    <sheetView topLeftCell="A4" zoomScaleSheetLayoutView="100" workbookViewId="0">
      <selection activeCell="D28" sqref="D28:J28"/>
    </sheetView>
  </sheetViews>
  <sheetFormatPr defaultColWidth="11.42578125" defaultRowHeight="12.75"/>
  <cols>
    <col min="1" max="2" width="11.42578125" style="1"/>
    <col min="3" max="3" width="14" style="1" customWidth="1"/>
    <col min="4" max="6" width="11.42578125" style="1"/>
    <col min="7" max="7" width="24.85546875" style="1" customWidth="1"/>
    <col min="8" max="8" width="27.42578125" style="1" customWidth="1"/>
    <col min="9" max="9" width="24.7109375" style="1" customWidth="1"/>
    <col min="10" max="16384" width="11.42578125" style="1"/>
  </cols>
  <sheetData>
    <row r="1" spans="1:14">
      <c r="A1" s="348" t="s">
        <v>318</v>
      </c>
      <c r="B1" s="348"/>
      <c r="C1" s="348"/>
      <c r="D1" s="348"/>
      <c r="E1" s="348"/>
      <c r="F1" s="348"/>
      <c r="G1" s="348"/>
      <c r="H1" s="348"/>
      <c r="I1" s="348"/>
      <c r="J1" s="348"/>
    </row>
    <row r="2" spans="1:14">
      <c r="A2" s="349" t="s">
        <v>0</v>
      </c>
      <c r="B2" s="349"/>
      <c r="C2" s="349"/>
      <c r="D2" s="349"/>
      <c r="E2" s="349"/>
      <c r="F2" s="349"/>
      <c r="G2" s="349"/>
      <c r="H2" s="349"/>
      <c r="I2" s="349"/>
      <c r="J2" s="349"/>
    </row>
    <row r="3" spans="1:14">
      <c r="A3" s="361" t="s">
        <v>1</v>
      </c>
      <c r="B3" s="361"/>
      <c r="C3" s="361" t="s">
        <v>316</v>
      </c>
      <c r="D3" s="361"/>
      <c r="E3" s="314" t="s">
        <v>2</v>
      </c>
      <c r="F3" s="361" t="s">
        <v>335</v>
      </c>
      <c r="G3" s="361"/>
      <c r="H3" s="314" t="s">
        <v>3</v>
      </c>
      <c r="I3" s="621">
        <v>44824</v>
      </c>
      <c r="J3" s="314" t="s">
        <v>317</v>
      </c>
      <c r="K3" s="159"/>
      <c r="L3" s="160"/>
      <c r="M3" s="350"/>
      <c r="N3" s="350"/>
    </row>
    <row r="4" spans="1:14">
      <c r="A4" s="351" t="s">
        <v>4</v>
      </c>
      <c r="B4" s="351"/>
      <c r="C4" s="351"/>
      <c r="D4" s="351"/>
      <c r="E4" s="351"/>
      <c r="F4" s="351"/>
      <c r="G4" s="351"/>
      <c r="H4" s="351"/>
      <c r="I4" s="351"/>
      <c r="J4" s="351"/>
    </row>
    <row r="5" spans="1:14" ht="18.75" customHeight="1">
      <c r="A5" s="167" t="s">
        <v>5</v>
      </c>
      <c r="B5" s="355" t="s">
        <v>6</v>
      </c>
      <c r="C5" s="355"/>
      <c r="D5" s="355"/>
      <c r="E5" s="356"/>
      <c r="F5" s="620">
        <v>44824</v>
      </c>
      <c r="G5" s="352"/>
      <c r="H5" s="352"/>
      <c r="I5" s="352"/>
      <c r="J5" s="352"/>
    </row>
    <row r="6" spans="1:14" ht="18.75" customHeight="1">
      <c r="A6" s="168" t="s">
        <v>7</v>
      </c>
      <c r="B6" s="357" t="s">
        <v>8</v>
      </c>
      <c r="C6" s="357"/>
      <c r="D6" s="357"/>
      <c r="E6" s="358"/>
      <c r="F6" s="353" t="s">
        <v>234</v>
      </c>
      <c r="G6" s="353"/>
      <c r="H6" s="353"/>
      <c r="I6" s="353"/>
      <c r="J6" s="353"/>
    </row>
    <row r="7" spans="1:14">
      <c r="A7" s="359" t="s">
        <v>10</v>
      </c>
      <c r="B7" s="345" t="s">
        <v>11</v>
      </c>
      <c r="C7" s="345"/>
      <c r="D7" s="345"/>
      <c r="E7" s="360"/>
      <c r="F7" s="354">
        <v>44562</v>
      </c>
      <c r="G7" s="354"/>
      <c r="H7" s="354"/>
      <c r="I7" s="354"/>
      <c r="J7" s="354"/>
    </row>
    <row r="8" spans="1:14">
      <c r="A8" s="359"/>
      <c r="B8" s="345"/>
      <c r="C8" s="345"/>
      <c r="D8" s="345"/>
      <c r="E8" s="360"/>
      <c r="F8" s="354"/>
      <c r="G8" s="354"/>
      <c r="H8" s="354"/>
      <c r="I8" s="354"/>
      <c r="J8" s="354"/>
    </row>
    <row r="9" spans="1:14" ht="18" customHeight="1">
      <c r="A9" s="169" t="s">
        <v>12</v>
      </c>
      <c r="B9" s="346" t="s">
        <v>13</v>
      </c>
      <c r="C9" s="346"/>
      <c r="D9" s="346"/>
      <c r="E9" s="347"/>
      <c r="F9" s="353">
        <v>12</v>
      </c>
      <c r="G9" s="353"/>
      <c r="H9" s="353"/>
      <c r="I9" s="353"/>
      <c r="J9" s="353"/>
    </row>
    <row r="10" spans="1:14">
      <c r="A10" s="20"/>
      <c r="B10" s="57"/>
      <c r="C10" s="57"/>
      <c r="D10" s="57"/>
      <c r="E10" s="57"/>
      <c r="F10" s="57"/>
      <c r="G10" s="57"/>
      <c r="H10" s="57"/>
      <c r="I10" s="57"/>
      <c r="J10" s="57"/>
    </row>
    <row r="11" spans="1:14" ht="14.65" customHeight="1">
      <c r="A11" s="429" t="s">
        <v>14</v>
      </c>
      <c r="B11" s="430"/>
      <c r="C11" s="430"/>
      <c r="D11" s="430"/>
      <c r="E11" s="430"/>
      <c r="F11" s="430"/>
      <c r="G11" s="430"/>
      <c r="H11" s="430"/>
      <c r="I11" s="430"/>
      <c r="J11" s="431"/>
      <c r="L11" s="66"/>
    </row>
    <row r="12" spans="1:14" ht="12.75" customHeight="1">
      <c r="A12" s="432"/>
      <c r="B12" s="433"/>
      <c r="C12" s="433"/>
      <c r="D12" s="433"/>
      <c r="E12" s="433"/>
      <c r="F12" s="433"/>
      <c r="G12" s="433"/>
      <c r="H12" s="433"/>
      <c r="I12" s="433"/>
      <c r="J12" s="434"/>
      <c r="L12" s="66"/>
    </row>
    <row r="13" spans="1:14" ht="23.25" customHeight="1">
      <c r="A13" s="423" t="s">
        <v>235</v>
      </c>
      <c r="B13" s="424"/>
      <c r="C13" s="424"/>
      <c r="D13" s="424"/>
      <c r="E13" s="424"/>
      <c r="F13" s="424"/>
      <c r="G13" s="424"/>
      <c r="H13" s="424"/>
      <c r="I13" s="424"/>
      <c r="J13" s="425"/>
      <c r="L13" s="66"/>
    </row>
    <row r="14" spans="1:14" s="164" customFormat="1" ht="23.25" customHeight="1">
      <c r="A14" s="166"/>
      <c r="B14" s="166"/>
      <c r="C14" s="166"/>
      <c r="D14" s="166"/>
      <c r="E14" s="166"/>
      <c r="F14" s="166"/>
      <c r="G14" s="166"/>
      <c r="H14" s="166"/>
      <c r="I14" s="166"/>
      <c r="J14" s="166"/>
      <c r="L14" s="165"/>
    </row>
    <row r="15" spans="1:14" ht="22.5" customHeight="1">
      <c r="A15" s="435" t="s">
        <v>15</v>
      </c>
      <c r="B15" s="436"/>
      <c r="C15" s="436"/>
      <c r="D15" s="437">
        <v>1845.56</v>
      </c>
      <c r="E15" s="438"/>
      <c r="F15" s="438"/>
      <c r="G15" s="438"/>
      <c r="H15" s="438"/>
      <c r="I15" s="438"/>
      <c r="J15" s="439"/>
      <c r="L15" s="66"/>
    </row>
    <row r="16" spans="1:14">
      <c r="A16" s="338"/>
      <c r="B16" s="338"/>
      <c r="C16" s="338"/>
      <c r="D16" s="338"/>
      <c r="E16" s="338"/>
      <c r="F16" s="338"/>
      <c r="G16" s="338"/>
      <c r="H16" s="338"/>
      <c r="I16" s="338"/>
      <c r="J16" s="338"/>
    </row>
    <row r="17" spans="1:11">
      <c r="A17" s="402" t="s">
        <v>16</v>
      </c>
      <c r="B17" s="402"/>
      <c r="C17" s="402"/>
      <c r="D17" s="402"/>
      <c r="E17" s="402"/>
      <c r="F17" s="402"/>
      <c r="G17" s="402"/>
      <c r="H17" s="402"/>
      <c r="I17" s="402"/>
      <c r="J17" s="402"/>
    </row>
    <row r="18" spans="1:11">
      <c r="A18" s="402" t="s">
        <v>17</v>
      </c>
      <c r="B18" s="402"/>
      <c r="C18" s="402"/>
      <c r="D18" s="402"/>
      <c r="E18" s="402"/>
      <c r="F18" s="402"/>
      <c r="G18" s="402"/>
      <c r="H18" s="402"/>
      <c r="I18" s="402"/>
      <c r="J18" s="402"/>
    </row>
    <row r="19" spans="1:11" ht="18.75" customHeight="1">
      <c r="A19" s="3" t="s">
        <v>18</v>
      </c>
      <c r="B19" s="4">
        <v>0.03</v>
      </c>
      <c r="C19" s="3"/>
      <c r="D19" s="426" t="s">
        <v>19</v>
      </c>
      <c r="E19" s="426" t="s">
        <v>19</v>
      </c>
      <c r="F19" s="5">
        <v>1</v>
      </c>
      <c r="G19" s="427"/>
      <c r="H19" s="427"/>
      <c r="I19" s="427"/>
      <c r="J19" s="427"/>
    </row>
    <row r="20" spans="1:11">
      <c r="A20" s="428"/>
      <c r="B20" s="428"/>
      <c r="C20" s="428"/>
      <c r="D20" s="428"/>
      <c r="E20" s="428"/>
      <c r="F20" s="428"/>
      <c r="G20" s="428"/>
      <c r="H20" s="428"/>
      <c r="I20" s="428"/>
      <c r="J20" s="428"/>
    </row>
    <row r="21" spans="1:11">
      <c r="A21" s="412" t="s">
        <v>20</v>
      </c>
      <c r="B21" s="412"/>
      <c r="C21" s="412"/>
      <c r="D21" s="412"/>
      <c r="E21" s="412"/>
      <c r="F21" s="412"/>
      <c r="G21" s="412"/>
      <c r="H21" s="412"/>
      <c r="I21" s="412"/>
      <c r="J21" s="412"/>
    </row>
    <row r="22" spans="1:11">
      <c r="A22" s="413" t="s">
        <v>21</v>
      </c>
      <c r="B22" s="413"/>
      <c r="C22" s="413"/>
      <c r="D22" s="7" t="s">
        <v>22</v>
      </c>
      <c r="E22" s="413" t="s">
        <v>23</v>
      </c>
      <c r="F22" s="413"/>
      <c r="G22" s="413" t="s">
        <v>24</v>
      </c>
      <c r="H22" s="413"/>
      <c r="I22" s="413" t="s">
        <v>25</v>
      </c>
      <c r="J22" s="413"/>
    </row>
    <row r="23" spans="1:11">
      <c r="A23" s="413"/>
      <c r="B23" s="413"/>
      <c r="C23" s="413"/>
      <c r="D23" s="8">
        <v>21.725999999999999</v>
      </c>
      <c r="E23" s="420">
        <v>32.11</v>
      </c>
      <c r="F23" s="420"/>
      <c r="G23" s="9">
        <v>0.18</v>
      </c>
      <c r="H23" s="10">
        <f>E23*G23</f>
        <v>5.7797999999999998</v>
      </c>
      <c r="I23" s="440">
        <f>ROUND((E23-H23)*D23,2)</f>
        <v>572.04999999999995</v>
      </c>
      <c r="J23" s="440"/>
    </row>
    <row r="24" spans="1:11">
      <c r="A24" s="413" t="s">
        <v>26</v>
      </c>
      <c r="B24" s="413"/>
      <c r="C24" s="413"/>
      <c r="D24" s="7" t="s">
        <v>22</v>
      </c>
      <c r="E24" s="413" t="s">
        <v>23</v>
      </c>
      <c r="F24" s="413"/>
      <c r="G24" s="413" t="s">
        <v>24</v>
      </c>
      <c r="H24" s="413"/>
      <c r="I24" s="413" t="s">
        <v>25</v>
      </c>
      <c r="J24" s="413"/>
    </row>
    <row r="25" spans="1:11">
      <c r="A25" s="413"/>
      <c r="B25" s="413"/>
      <c r="C25" s="413"/>
      <c r="D25" s="8">
        <v>15.22</v>
      </c>
      <c r="E25" s="420">
        <v>32.11</v>
      </c>
      <c r="F25" s="420"/>
      <c r="G25" s="9">
        <v>0.18</v>
      </c>
      <c r="H25" s="10">
        <f>E25*G25</f>
        <v>5.7797999999999998</v>
      </c>
      <c r="I25" s="440">
        <f>ROUND((E25-H25)*D25,2)</f>
        <v>400.75</v>
      </c>
      <c r="J25" s="440"/>
    </row>
    <row r="26" spans="1:11">
      <c r="A26" s="338"/>
      <c r="B26" s="338"/>
      <c r="C26" s="338"/>
      <c r="D26" s="338"/>
      <c r="E26" s="338"/>
      <c r="F26" s="338"/>
      <c r="G26" s="338"/>
      <c r="H26" s="338"/>
      <c r="I26" s="338"/>
      <c r="J26" s="338"/>
    </row>
    <row r="27" spans="1:11" ht="15" customHeight="1">
      <c r="A27" s="413" t="s">
        <v>27</v>
      </c>
      <c r="B27" s="413"/>
      <c r="C27" s="413"/>
      <c r="D27" s="416" t="s">
        <v>25</v>
      </c>
      <c r="E27" s="416"/>
      <c r="F27" s="416"/>
      <c r="G27" s="416"/>
      <c r="H27" s="416"/>
      <c r="I27" s="416"/>
      <c r="J27" s="416"/>
    </row>
    <row r="28" spans="1:11" ht="15" customHeight="1">
      <c r="A28" s="413"/>
      <c r="B28" s="413"/>
      <c r="C28" s="413"/>
      <c r="D28" s="421">
        <v>10.72</v>
      </c>
      <c r="E28" s="421"/>
      <c r="F28" s="421"/>
      <c r="G28" s="421"/>
      <c r="H28" s="421"/>
      <c r="I28" s="421"/>
      <c r="J28" s="421"/>
    </row>
    <row r="29" spans="1:11" ht="25.5">
      <c r="A29" s="413" t="s">
        <v>28</v>
      </c>
      <c r="B29" s="413"/>
      <c r="C29" s="413"/>
      <c r="D29" s="7" t="s">
        <v>29</v>
      </c>
      <c r="E29" s="418" t="s">
        <v>30</v>
      </c>
      <c r="F29" s="418"/>
      <c r="G29" s="418"/>
      <c r="H29" s="418"/>
      <c r="I29" s="419" t="s">
        <v>25</v>
      </c>
      <c r="J29" s="419"/>
    </row>
    <row r="30" spans="1:11">
      <c r="A30" s="413"/>
      <c r="B30" s="413"/>
      <c r="C30" s="413"/>
      <c r="D30" s="108">
        <f>1.5*D15</f>
        <v>2768.34</v>
      </c>
      <c r="E30" s="422">
        <v>2.0000000000000001E-4</v>
      </c>
      <c r="F30" s="422"/>
      <c r="G30" s="422"/>
      <c r="H30" s="422"/>
      <c r="I30" s="415">
        <f>D30*E30/12</f>
        <v>4.6139000000000006E-2</v>
      </c>
      <c r="J30" s="415"/>
    </row>
    <row r="31" spans="1:11" ht="25.5">
      <c r="A31" s="413" t="s">
        <v>31</v>
      </c>
      <c r="B31" s="413"/>
      <c r="C31" s="413"/>
      <c r="D31" s="7" t="s">
        <v>32</v>
      </c>
      <c r="E31" s="418" t="s">
        <v>23</v>
      </c>
      <c r="F31" s="418"/>
      <c r="G31" s="413" t="s">
        <v>24</v>
      </c>
      <c r="H31" s="413"/>
      <c r="I31" s="419" t="s">
        <v>25</v>
      </c>
      <c r="J31" s="419"/>
    </row>
    <row r="32" spans="1:11">
      <c r="A32" s="413"/>
      <c r="B32" s="413"/>
      <c r="C32" s="413"/>
      <c r="D32" s="12">
        <v>1</v>
      </c>
      <c r="E32" s="420">
        <v>169.57</v>
      </c>
      <c r="F32" s="420"/>
      <c r="G32" s="70">
        <v>0.05</v>
      </c>
      <c r="H32" s="14">
        <f>IF(E32=169.57,G32*E32,G32*D15)</f>
        <v>8.4785000000000004</v>
      </c>
      <c r="I32" s="415">
        <f t="shared" ref="I32:I33" si="0">E32-H32</f>
        <v>161.0915</v>
      </c>
      <c r="J32" s="415"/>
      <c r="K32" s="66"/>
    </row>
    <row r="33" spans="1:11">
      <c r="A33" s="413" t="s">
        <v>236</v>
      </c>
      <c r="B33" s="413"/>
      <c r="C33" s="413"/>
      <c r="D33" s="12">
        <v>1</v>
      </c>
      <c r="E33" s="414">
        <v>0</v>
      </c>
      <c r="F33" s="414"/>
      <c r="G33" s="70">
        <v>0.05</v>
      </c>
      <c r="H33" s="14">
        <f>G33*E33</f>
        <v>0</v>
      </c>
      <c r="I33" s="415">
        <f t="shared" si="0"/>
        <v>0</v>
      </c>
      <c r="J33" s="415"/>
      <c r="K33" s="66"/>
    </row>
    <row r="34" spans="1:11">
      <c r="A34" s="417" t="s">
        <v>237</v>
      </c>
      <c r="B34" s="417"/>
      <c r="C34" s="417"/>
      <c r="D34" s="417"/>
      <c r="E34" s="417"/>
      <c r="F34" s="417"/>
      <c r="G34" s="417"/>
      <c r="H34" s="417"/>
      <c r="I34" s="417"/>
      <c r="J34" s="417"/>
      <c r="K34" s="66"/>
    </row>
    <row r="35" spans="1:11">
      <c r="A35" s="411"/>
      <c r="B35" s="411"/>
      <c r="C35" s="411"/>
      <c r="D35" s="411"/>
      <c r="E35" s="411"/>
      <c r="F35" s="411"/>
      <c r="G35" s="411"/>
      <c r="H35" s="411"/>
      <c r="I35" s="411"/>
    </row>
    <row r="36" spans="1:11">
      <c r="A36" s="412" t="s">
        <v>33</v>
      </c>
      <c r="B36" s="412"/>
      <c r="C36" s="412"/>
      <c r="D36" s="412"/>
      <c r="E36" s="412"/>
      <c r="F36" s="412"/>
      <c r="G36" s="412"/>
      <c r="H36" s="412"/>
      <c r="I36" s="412"/>
    </row>
    <row r="37" spans="1:11" ht="15" customHeight="1">
      <c r="A37" s="7" t="s">
        <v>34</v>
      </c>
      <c r="B37" s="6" t="s">
        <v>35</v>
      </c>
      <c r="C37" s="6" t="s">
        <v>36</v>
      </c>
      <c r="D37" s="16" t="s">
        <v>37</v>
      </c>
      <c r="E37" s="6" t="s">
        <v>38</v>
      </c>
      <c r="F37" s="416" t="s">
        <v>39</v>
      </c>
      <c r="G37" s="416"/>
      <c r="H37" s="416"/>
      <c r="I37" s="11" t="s">
        <v>40</v>
      </c>
    </row>
    <row r="38" spans="1:11">
      <c r="A38" s="7" t="s">
        <v>9</v>
      </c>
      <c r="B38" s="17">
        <v>2</v>
      </c>
      <c r="C38" s="18">
        <v>21.725999999999999</v>
      </c>
      <c r="D38" s="19">
        <v>5.5</v>
      </c>
      <c r="E38" s="10">
        <f t="shared" ref="E38" si="1">B38*C38*D38</f>
        <v>238.98599999999999</v>
      </c>
      <c r="F38" s="410">
        <f>0.06*$D$15</f>
        <v>110.7336</v>
      </c>
      <c r="G38" s="410"/>
      <c r="H38" s="410"/>
      <c r="I38" s="11">
        <f t="shared" ref="I38" si="2">E38-F38</f>
        <v>128.25239999999999</v>
      </c>
      <c r="J38" s="66"/>
    </row>
    <row r="39" spans="1:11">
      <c r="A39" s="411"/>
      <c r="B39" s="411"/>
      <c r="C39" s="411"/>
      <c r="D39" s="411"/>
      <c r="E39" s="411"/>
      <c r="F39" s="411"/>
      <c r="G39" s="411"/>
      <c r="H39" s="411"/>
      <c r="I39" s="411"/>
    </row>
    <row r="40" spans="1:11">
      <c r="A40" s="412" t="s">
        <v>41</v>
      </c>
      <c r="B40" s="412"/>
      <c r="C40" s="412"/>
      <c r="D40" s="412"/>
      <c r="E40" s="412"/>
      <c r="F40" s="412"/>
      <c r="G40" s="412"/>
      <c r="H40" s="412"/>
      <c r="I40" s="412"/>
    </row>
    <row r="41" spans="1:11" ht="15" customHeight="1">
      <c r="A41" s="7" t="s">
        <v>34</v>
      </c>
      <c r="B41" s="6" t="s">
        <v>35</v>
      </c>
      <c r="C41" s="6" t="s">
        <v>36</v>
      </c>
      <c r="D41" s="16" t="s">
        <v>37</v>
      </c>
      <c r="E41" s="6" t="s">
        <v>38</v>
      </c>
      <c r="F41" s="416" t="s">
        <v>39</v>
      </c>
      <c r="G41" s="416"/>
      <c r="H41" s="416"/>
      <c r="I41" s="11" t="s">
        <v>40</v>
      </c>
      <c r="J41" s="66"/>
    </row>
    <row r="42" spans="1:11">
      <c r="A42" s="7" t="s">
        <v>9</v>
      </c>
      <c r="B42" s="17">
        <v>2</v>
      </c>
      <c r="C42" s="18">
        <v>15.22</v>
      </c>
      <c r="D42" s="19">
        <v>5.5</v>
      </c>
      <c r="E42" s="10">
        <f t="shared" ref="E42" si="3">B42*C42*D42</f>
        <v>167.42000000000002</v>
      </c>
      <c r="F42" s="410">
        <f>0.06*$D$15</f>
        <v>110.7336</v>
      </c>
      <c r="G42" s="410"/>
      <c r="H42" s="410"/>
      <c r="I42" s="11">
        <f t="shared" ref="I42" si="4">E42-F42</f>
        <v>56.68640000000002</v>
      </c>
    </row>
    <row r="43" spans="1:11">
      <c r="A43" s="7"/>
      <c r="B43" s="17"/>
      <c r="C43" s="18"/>
      <c r="D43" s="19"/>
      <c r="E43" s="10"/>
      <c r="F43" s="10"/>
      <c r="G43" s="10"/>
      <c r="H43" s="10"/>
      <c r="I43" s="11"/>
    </row>
    <row r="44" spans="1:11">
      <c r="A44" s="412" t="s">
        <v>33</v>
      </c>
      <c r="B44" s="412"/>
      <c r="C44" s="412"/>
      <c r="D44" s="412"/>
      <c r="E44" s="412"/>
      <c r="F44" s="412"/>
      <c r="G44" s="412"/>
      <c r="H44" s="412"/>
      <c r="I44" s="412"/>
    </row>
    <row r="45" spans="1:11">
      <c r="A45" s="7" t="s">
        <v>34</v>
      </c>
      <c r="B45" s="6" t="s">
        <v>35</v>
      </c>
      <c r="C45" s="6" t="s">
        <v>36</v>
      </c>
      <c r="D45" s="16" t="s">
        <v>37</v>
      </c>
      <c r="E45" s="6" t="s">
        <v>38</v>
      </c>
      <c r="F45" s="416" t="s">
        <v>39</v>
      </c>
      <c r="G45" s="416"/>
      <c r="H45" s="416"/>
      <c r="I45" s="11" t="s">
        <v>40</v>
      </c>
    </row>
    <row r="46" spans="1:11">
      <c r="A46" s="7" t="s">
        <v>238</v>
      </c>
      <c r="B46" s="17">
        <v>2</v>
      </c>
      <c r="C46" s="18">
        <v>21.725999999999999</v>
      </c>
      <c r="D46" s="19">
        <v>4.7</v>
      </c>
      <c r="E46" s="10">
        <f t="shared" ref="E46" si="5">B46*C46*D46</f>
        <v>204.2244</v>
      </c>
      <c r="F46" s="410">
        <f>0.06*$D$15</f>
        <v>110.7336</v>
      </c>
      <c r="G46" s="410"/>
      <c r="H46" s="410"/>
      <c r="I46" s="11">
        <f t="shared" ref="I46" si="6">E46-F46</f>
        <v>93.490800000000007</v>
      </c>
    </row>
    <row r="47" spans="1:11">
      <c r="A47" s="411"/>
      <c r="B47" s="411"/>
      <c r="C47" s="411"/>
      <c r="D47" s="411"/>
      <c r="E47" s="411"/>
      <c r="F47" s="411"/>
      <c r="G47" s="411"/>
      <c r="H47" s="411"/>
      <c r="I47" s="411"/>
    </row>
    <row r="48" spans="1:11">
      <c r="A48" s="412" t="s">
        <v>41</v>
      </c>
      <c r="B48" s="412"/>
      <c r="C48" s="412"/>
      <c r="D48" s="412"/>
      <c r="E48" s="412"/>
      <c r="F48" s="412"/>
      <c r="G48" s="412"/>
      <c r="H48" s="412"/>
      <c r="I48" s="412"/>
    </row>
    <row r="49" spans="1:9">
      <c r="A49" s="7" t="s">
        <v>34</v>
      </c>
      <c r="B49" s="6" t="s">
        <v>35</v>
      </c>
      <c r="C49" s="6" t="s">
        <v>36</v>
      </c>
      <c r="D49" s="16" t="s">
        <v>37</v>
      </c>
      <c r="E49" s="6" t="s">
        <v>38</v>
      </c>
      <c r="F49" s="416" t="s">
        <v>39</v>
      </c>
      <c r="G49" s="416"/>
      <c r="H49" s="416"/>
      <c r="I49" s="11" t="s">
        <v>40</v>
      </c>
    </row>
    <row r="50" spans="1:9" ht="14.65" customHeight="1">
      <c r="A50" s="7" t="s">
        <v>238</v>
      </c>
      <c r="B50" s="17">
        <v>2</v>
      </c>
      <c r="C50" s="18">
        <v>15.22</v>
      </c>
      <c r="D50" s="19">
        <v>4.7</v>
      </c>
      <c r="E50" s="10">
        <f t="shared" ref="E50" si="7">B50*C50*D50</f>
        <v>143.06800000000001</v>
      </c>
      <c r="F50" s="410">
        <f>0.06*$D$15</f>
        <v>110.7336</v>
      </c>
      <c r="G50" s="410"/>
      <c r="H50" s="410"/>
      <c r="I50" s="11">
        <f t="shared" ref="I50" si="8">E50-F50</f>
        <v>32.334400000000016</v>
      </c>
    </row>
    <row r="51" spans="1:9" ht="14.65" customHeight="1">
      <c r="A51" s="408"/>
      <c r="B51" s="409"/>
      <c r="C51" s="409"/>
      <c r="D51" s="409"/>
      <c r="E51" s="409"/>
      <c r="F51" s="409"/>
      <c r="G51" s="409"/>
      <c r="H51" s="409"/>
      <c r="I51" s="409"/>
    </row>
    <row r="52" spans="1:9">
      <c r="A52" s="402" t="s">
        <v>42</v>
      </c>
      <c r="B52" s="402"/>
      <c r="C52" s="402"/>
      <c r="D52" s="402"/>
      <c r="E52" s="402"/>
      <c r="F52" s="402"/>
      <c r="G52" s="402"/>
      <c r="H52" s="402"/>
      <c r="I52" s="20"/>
    </row>
    <row r="53" spans="1:9">
      <c r="A53" s="405" t="s">
        <v>43</v>
      </c>
      <c r="B53" s="405"/>
      <c r="C53" s="405"/>
      <c r="D53" s="405"/>
      <c r="E53" s="406">
        <v>0.05</v>
      </c>
      <c r="F53" s="406"/>
      <c r="G53" s="406"/>
      <c r="H53" s="406"/>
      <c r="I53" s="20"/>
    </row>
    <row r="54" spans="1:9">
      <c r="A54" s="405" t="s">
        <v>44</v>
      </c>
      <c r="B54" s="405"/>
      <c r="C54" s="405"/>
      <c r="D54" s="405"/>
      <c r="E54" s="406">
        <v>1</v>
      </c>
      <c r="F54" s="406"/>
      <c r="G54" s="406"/>
      <c r="H54" s="406"/>
      <c r="I54" s="20"/>
    </row>
    <row r="55" spans="1:9">
      <c r="A55" s="407"/>
      <c r="B55" s="407"/>
      <c r="C55" s="407"/>
      <c r="D55" s="407"/>
      <c r="E55" s="407"/>
      <c r="F55" s="407"/>
      <c r="G55" s="407"/>
      <c r="H55" s="407"/>
      <c r="I55" s="20"/>
    </row>
    <row r="56" spans="1:9">
      <c r="A56" s="402" t="s">
        <v>45</v>
      </c>
      <c r="B56" s="402"/>
      <c r="C56" s="402"/>
      <c r="D56" s="402"/>
      <c r="E56" s="402"/>
      <c r="F56" s="402"/>
      <c r="G56" s="402"/>
      <c r="H56" s="402"/>
      <c r="I56" s="20"/>
    </row>
    <row r="57" spans="1:9">
      <c r="A57" s="403"/>
      <c r="B57" s="403"/>
      <c r="C57" s="403"/>
      <c r="D57" s="403"/>
      <c r="E57" s="403"/>
      <c r="F57" s="403"/>
      <c r="G57" s="403"/>
      <c r="H57" s="403"/>
      <c r="I57" s="20"/>
    </row>
    <row r="58" spans="1:9" ht="38.25">
      <c r="A58" s="21" t="s">
        <v>46</v>
      </c>
      <c r="B58" s="21" t="s">
        <v>47</v>
      </c>
      <c r="C58" s="404"/>
      <c r="D58" s="404"/>
      <c r="E58" s="21" t="s">
        <v>48</v>
      </c>
      <c r="F58" s="21" t="s">
        <v>49</v>
      </c>
      <c r="G58" s="23" t="s">
        <v>50</v>
      </c>
      <c r="I58" s="20"/>
    </row>
    <row r="59" spans="1:9" ht="27" customHeight="1">
      <c r="A59" s="24" t="s">
        <v>5</v>
      </c>
      <c r="B59" s="24" t="s">
        <v>47</v>
      </c>
      <c r="C59" s="396" t="s">
        <v>51</v>
      </c>
      <c r="D59" s="396"/>
      <c r="E59" s="25">
        <v>1</v>
      </c>
      <c r="F59" s="9">
        <v>1</v>
      </c>
      <c r="G59" s="26">
        <f t="shared" ref="G59:G61" si="9">E59/365.25*F59</f>
        <v>2.7378507871321013E-3</v>
      </c>
      <c r="I59" s="20"/>
    </row>
    <row r="60" spans="1:9" ht="27" customHeight="1">
      <c r="A60" s="24" t="s">
        <v>7</v>
      </c>
      <c r="B60" s="24" t="s">
        <v>52</v>
      </c>
      <c r="C60" s="396" t="s">
        <v>51</v>
      </c>
      <c r="D60" s="396"/>
      <c r="E60" s="150">
        <v>5</v>
      </c>
      <c r="F60" s="13">
        <v>1.4999999999999999E-2</v>
      </c>
      <c r="G60" s="26">
        <f t="shared" si="9"/>
        <v>2.0533880903490757E-4</v>
      </c>
      <c r="H60" s="66"/>
      <c r="I60" s="20"/>
    </row>
    <row r="61" spans="1:9" ht="39" customHeight="1">
      <c r="A61" s="24" t="s">
        <v>10</v>
      </c>
      <c r="B61" s="24" t="s">
        <v>53</v>
      </c>
      <c r="C61" s="396" t="s">
        <v>51</v>
      </c>
      <c r="D61" s="396"/>
      <c r="E61" s="150">
        <v>15</v>
      </c>
      <c r="F61" s="13">
        <v>7.8000000000000005E-3</v>
      </c>
      <c r="G61" s="26">
        <f t="shared" si="9"/>
        <v>3.2032854209445585E-4</v>
      </c>
      <c r="I61" s="20"/>
    </row>
    <row r="62" spans="1:9" ht="39" customHeight="1">
      <c r="A62" s="27" t="s">
        <v>12</v>
      </c>
      <c r="B62" s="24" t="s">
        <v>54</v>
      </c>
      <c r="C62" s="396" t="s">
        <v>51</v>
      </c>
      <c r="D62" s="396"/>
      <c r="E62" s="150">
        <v>120</v>
      </c>
      <c r="F62" s="13">
        <v>0.02</v>
      </c>
      <c r="G62" s="26">
        <f>E62/365.25*F62</f>
        <v>6.570841889117043E-3</v>
      </c>
      <c r="I62" s="20"/>
    </row>
    <row r="63" spans="1:9" ht="27" customHeight="1">
      <c r="A63" s="24" t="s">
        <v>55</v>
      </c>
      <c r="B63" s="27" t="s">
        <v>56</v>
      </c>
      <c r="C63" s="397" t="s">
        <v>51</v>
      </c>
      <c r="D63" s="397"/>
      <c r="E63" s="25">
        <v>3</v>
      </c>
      <c r="F63" s="9">
        <v>1</v>
      </c>
      <c r="G63" s="26">
        <f>E63/365.25*F63</f>
        <v>8.2135523613963042E-3</v>
      </c>
      <c r="I63" s="20"/>
    </row>
    <row r="64" spans="1:9" ht="25.5">
      <c r="A64" s="24" t="s">
        <v>57</v>
      </c>
      <c r="B64" s="24" t="s">
        <v>58</v>
      </c>
      <c r="C64" s="398"/>
      <c r="D64" s="398"/>
      <c r="E64" s="25"/>
      <c r="F64" s="13"/>
      <c r="G64" s="26">
        <f>E64/365.25*F64</f>
        <v>0</v>
      </c>
      <c r="I64" s="20"/>
    </row>
    <row r="65" spans="1:17">
      <c r="A65" s="399"/>
      <c r="B65" s="399"/>
      <c r="C65" s="399"/>
      <c r="D65" s="399"/>
      <c r="E65" s="399"/>
      <c r="F65" s="399"/>
      <c r="G65" s="399"/>
      <c r="H65" s="399"/>
      <c r="I65" s="399"/>
    </row>
    <row r="66" spans="1:17" ht="15" customHeight="1">
      <c r="A66" s="400" t="s">
        <v>59</v>
      </c>
      <c r="B66" s="400"/>
      <c r="C66" s="400"/>
      <c r="D66" s="400"/>
      <c r="E66" s="400"/>
      <c r="F66" s="400"/>
      <c r="G66" s="400"/>
      <c r="H66" s="400"/>
      <c r="I66" s="20"/>
      <c r="J66" s="20"/>
      <c r="K66" s="20"/>
      <c r="L66" s="20"/>
      <c r="M66" s="20"/>
      <c r="N66" s="20"/>
      <c r="O66" s="20"/>
      <c r="P66" s="20"/>
      <c r="Q66" s="266"/>
    </row>
    <row r="67" spans="1:17" ht="15" customHeight="1">
      <c r="A67" s="326" t="s">
        <v>60</v>
      </c>
      <c r="B67" s="326"/>
      <c r="C67" s="326" t="s">
        <v>61</v>
      </c>
      <c r="D67" s="326"/>
      <c r="E67" s="401" t="s">
        <v>62</v>
      </c>
      <c r="F67" s="401"/>
      <c r="G67" s="28" t="s">
        <v>32</v>
      </c>
      <c r="H67" s="28" t="s">
        <v>63</v>
      </c>
      <c r="I67" s="20"/>
      <c r="J67" s="20"/>
      <c r="K67" s="20"/>
      <c r="L67" s="20"/>
      <c r="M67" s="20"/>
      <c r="N67" s="20"/>
      <c r="O67" s="20"/>
      <c r="P67" s="20"/>
      <c r="Q67" s="266"/>
    </row>
    <row r="68" spans="1:17" ht="15" customHeight="1">
      <c r="A68" s="345" t="s">
        <v>64</v>
      </c>
      <c r="B68" s="345"/>
      <c r="C68" s="390">
        <v>92.65</v>
      </c>
      <c r="D68" s="390"/>
      <c r="E68" s="391">
        <v>6</v>
      </c>
      <c r="F68" s="391"/>
      <c r="G68" s="148">
        <v>2</v>
      </c>
      <c r="H68" s="29">
        <f t="shared" ref="H68:H76" si="10">C68*G68/E68</f>
        <v>30.883333333333336</v>
      </c>
      <c r="I68" s="20"/>
      <c r="J68" s="20"/>
      <c r="K68" s="20"/>
      <c r="L68" s="20"/>
      <c r="M68" s="20"/>
      <c r="N68" s="20"/>
      <c r="O68" s="20"/>
      <c r="P68" s="20"/>
      <c r="Q68" s="266"/>
    </row>
    <row r="69" spans="1:17" ht="15" customHeight="1">
      <c r="A69" s="345" t="s">
        <v>65</v>
      </c>
      <c r="B69" s="345"/>
      <c r="C69" s="390">
        <v>60.83</v>
      </c>
      <c r="D69" s="390"/>
      <c r="E69" s="391">
        <v>6</v>
      </c>
      <c r="F69" s="391"/>
      <c r="G69" s="148">
        <v>3</v>
      </c>
      <c r="H69" s="29">
        <f t="shared" si="10"/>
        <v>30.415000000000003</v>
      </c>
      <c r="I69" s="20"/>
      <c r="J69" s="20"/>
      <c r="K69" s="20"/>
      <c r="L69" s="20"/>
      <c r="M69" s="20"/>
      <c r="N69" s="20"/>
      <c r="O69" s="20"/>
      <c r="P69" s="20"/>
      <c r="Q69" s="266"/>
    </row>
    <row r="70" spans="1:17">
      <c r="A70" s="357" t="s">
        <v>66</v>
      </c>
      <c r="B70" s="357"/>
      <c r="C70" s="394">
        <v>134.96</v>
      </c>
      <c r="D70" s="394"/>
      <c r="E70" s="395">
        <v>6</v>
      </c>
      <c r="F70" s="395"/>
      <c r="G70" s="149">
        <v>1</v>
      </c>
      <c r="H70" s="30">
        <f t="shared" si="10"/>
        <v>22.493333333333336</v>
      </c>
      <c r="I70" s="20"/>
      <c r="J70" s="20"/>
      <c r="K70" s="20"/>
      <c r="L70" s="20"/>
      <c r="M70" s="20"/>
      <c r="N70" s="20"/>
      <c r="O70" s="20"/>
      <c r="P70" s="20"/>
      <c r="Q70" s="267"/>
    </row>
    <row r="71" spans="1:17" ht="15" customHeight="1">
      <c r="A71" s="345" t="s">
        <v>67</v>
      </c>
      <c r="B71" s="345"/>
      <c r="C71" s="390">
        <v>37.840000000000003</v>
      </c>
      <c r="D71" s="390"/>
      <c r="E71" s="391">
        <v>12</v>
      </c>
      <c r="F71" s="391"/>
      <c r="G71" s="148">
        <v>1</v>
      </c>
      <c r="H71" s="29">
        <f t="shared" si="10"/>
        <v>3.1533333333333338</v>
      </c>
      <c r="I71" s="20"/>
      <c r="J71" s="20"/>
      <c r="K71" s="20"/>
      <c r="L71" s="20"/>
      <c r="M71" s="20"/>
      <c r="N71" s="20"/>
      <c r="O71" s="20"/>
      <c r="P71" s="20"/>
      <c r="Q71" s="266"/>
    </row>
    <row r="72" spans="1:17" ht="15" customHeight="1">
      <c r="A72" s="345" t="s">
        <v>319</v>
      </c>
      <c r="B72" s="345"/>
      <c r="C72" s="390">
        <v>187.77</v>
      </c>
      <c r="D72" s="390"/>
      <c r="E72" s="391">
        <v>30</v>
      </c>
      <c r="F72" s="391"/>
      <c r="G72" s="148">
        <v>1</v>
      </c>
      <c r="H72" s="29">
        <f t="shared" si="10"/>
        <v>6.2590000000000003</v>
      </c>
      <c r="I72" s="20"/>
      <c r="J72" s="20"/>
      <c r="K72" s="20"/>
      <c r="L72" s="20"/>
      <c r="M72" s="20"/>
      <c r="N72" s="20"/>
      <c r="O72" s="20"/>
      <c r="P72" s="20"/>
      <c r="Q72" s="266"/>
    </row>
    <row r="73" spans="1:17" ht="15" customHeight="1">
      <c r="A73" s="345" t="s">
        <v>315</v>
      </c>
      <c r="B73" s="345"/>
      <c r="C73" s="390">
        <v>17.940000000000001</v>
      </c>
      <c r="D73" s="390"/>
      <c r="E73" s="391">
        <v>6</v>
      </c>
      <c r="F73" s="391"/>
      <c r="G73" s="148">
        <v>2</v>
      </c>
      <c r="H73" s="29">
        <f t="shared" si="10"/>
        <v>5.98</v>
      </c>
      <c r="I73" s="20"/>
      <c r="J73" s="20"/>
      <c r="K73" s="20"/>
      <c r="L73" s="20"/>
      <c r="M73" s="20"/>
      <c r="N73" s="20"/>
      <c r="O73" s="20"/>
      <c r="P73" s="20"/>
      <c r="Q73" s="266"/>
    </row>
    <row r="74" spans="1:17" ht="15" customHeight="1">
      <c r="A74" s="345" t="s">
        <v>68</v>
      </c>
      <c r="B74" s="345"/>
      <c r="C74" s="390">
        <v>29.61</v>
      </c>
      <c r="D74" s="390"/>
      <c r="E74" s="391">
        <v>30</v>
      </c>
      <c r="F74" s="391"/>
      <c r="G74" s="148">
        <v>1</v>
      </c>
      <c r="H74" s="29">
        <f t="shared" si="10"/>
        <v>0.98699999999999999</v>
      </c>
      <c r="I74" s="20"/>
      <c r="J74" s="20"/>
      <c r="K74" s="20"/>
      <c r="L74" s="20"/>
      <c r="M74" s="20"/>
      <c r="N74" s="20"/>
      <c r="O74" s="20"/>
      <c r="P74" s="20"/>
      <c r="Q74" s="266"/>
    </row>
    <row r="75" spans="1:17" ht="15" customHeight="1">
      <c r="A75" s="345" t="s">
        <v>69</v>
      </c>
      <c r="B75" s="345"/>
      <c r="C75" s="390">
        <v>23.01</v>
      </c>
      <c r="D75" s="390"/>
      <c r="E75" s="391">
        <v>6</v>
      </c>
      <c r="F75" s="391"/>
      <c r="G75" s="148">
        <v>1</v>
      </c>
      <c r="H75" s="29">
        <f t="shared" si="10"/>
        <v>3.8350000000000004</v>
      </c>
      <c r="I75" s="20"/>
      <c r="J75" s="20"/>
      <c r="K75" s="20"/>
      <c r="L75" s="20"/>
      <c r="M75" s="20"/>
      <c r="N75" s="20"/>
      <c r="O75" s="20"/>
      <c r="P75" s="20"/>
      <c r="Q75" s="266"/>
    </row>
    <row r="76" spans="1:17" ht="15" customHeight="1">
      <c r="A76" s="345" t="s">
        <v>70</v>
      </c>
      <c r="B76" s="345"/>
      <c r="C76" s="390">
        <v>6.05</v>
      </c>
      <c r="D76" s="390"/>
      <c r="E76" s="391">
        <v>60</v>
      </c>
      <c r="F76" s="391"/>
      <c r="G76" s="148">
        <v>1</v>
      </c>
      <c r="H76" s="29">
        <f t="shared" si="10"/>
        <v>0.10083333333333333</v>
      </c>
      <c r="I76" s="20"/>
      <c r="J76" s="20"/>
      <c r="K76" s="20"/>
      <c r="L76" s="20"/>
      <c r="M76" s="20"/>
      <c r="N76" s="20"/>
      <c r="O76" s="20"/>
      <c r="P76" s="20"/>
      <c r="Q76" s="266"/>
    </row>
    <row r="77" spans="1:17" ht="15" customHeight="1">
      <c r="A77" s="345" t="s">
        <v>58</v>
      </c>
      <c r="B77" s="345"/>
      <c r="C77" s="392">
        <v>0</v>
      </c>
      <c r="D77" s="392"/>
      <c r="E77" s="393">
        <v>1</v>
      </c>
      <c r="F77" s="393"/>
      <c r="G77" s="106">
        <v>0</v>
      </c>
      <c r="H77" s="105">
        <f>C77*G77/E77</f>
        <v>0</v>
      </c>
      <c r="I77" s="20"/>
      <c r="J77" s="20"/>
      <c r="K77" s="20"/>
      <c r="L77" s="20"/>
      <c r="M77" s="20"/>
      <c r="N77" s="20"/>
      <c r="O77" s="20"/>
      <c r="P77" s="20"/>
      <c r="Q77" s="266"/>
    </row>
    <row r="78" spans="1:17" ht="15" customHeight="1">
      <c r="A78" s="389" t="s">
        <v>71</v>
      </c>
      <c r="B78" s="389"/>
      <c r="C78" s="389"/>
      <c r="D78" s="389"/>
      <c r="E78" s="389"/>
      <c r="F78" s="389"/>
      <c r="G78" s="389"/>
      <c r="H78" s="31">
        <f>SUM(H68:H77)</f>
        <v>104.10683333333333</v>
      </c>
      <c r="I78" s="20"/>
      <c r="J78" s="20"/>
      <c r="K78" s="20"/>
      <c r="L78" s="20"/>
      <c r="M78" s="20"/>
      <c r="N78" s="20"/>
      <c r="O78" s="20"/>
      <c r="P78" s="20"/>
      <c r="Q78" s="33"/>
    </row>
    <row r="79" spans="1:17">
      <c r="A79" s="32"/>
      <c r="B79" s="32"/>
      <c r="C79" s="32"/>
      <c r="D79" s="32"/>
      <c r="E79" s="32"/>
      <c r="F79" s="32"/>
      <c r="G79" s="32"/>
      <c r="H79" s="33"/>
      <c r="I79" s="20"/>
    </row>
    <row r="80" spans="1:17" ht="15" customHeight="1">
      <c r="A80" s="323" t="s">
        <v>308</v>
      </c>
      <c r="B80" s="324"/>
      <c r="C80" s="324"/>
      <c r="D80" s="324"/>
      <c r="E80" s="324"/>
      <c r="F80" s="324"/>
      <c r="G80" s="324"/>
      <c r="H80" s="325"/>
      <c r="I80" s="20"/>
    </row>
    <row r="81" spans="1:12" ht="15" customHeight="1">
      <c r="A81" s="320"/>
      <c r="B81" s="322"/>
      <c r="C81" s="322"/>
      <c r="D81" s="321"/>
      <c r="E81" s="320" t="s">
        <v>72</v>
      </c>
      <c r="F81" s="321"/>
      <c r="G81" s="320" t="s">
        <v>73</v>
      </c>
      <c r="H81" s="321"/>
      <c r="I81" s="20"/>
    </row>
    <row r="82" spans="1:12" ht="39" customHeight="1">
      <c r="A82" s="318" t="s">
        <v>60</v>
      </c>
      <c r="B82" s="319"/>
      <c r="C82" s="16" t="s">
        <v>74</v>
      </c>
      <c r="D82" s="16" t="s">
        <v>75</v>
      </c>
      <c r="E82" s="16" t="s">
        <v>76</v>
      </c>
      <c r="F82" s="16" t="s">
        <v>77</v>
      </c>
      <c r="G82" s="196" t="s">
        <v>76</v>
      </c>
      <c r="H82" s="196" t="s">
        <v>77</v>
      </c>
      <c r="I82" s="20"/>
    </row>
    <row r="83" spans="1:12" ht="15" customHeight="1">
      <c r="A83" s="360" t="s">
        <v>78</v>
      </c>
      <c r="B83" s="379"/>
      <c r="C83" s="151">
        <v>15.22</v>
      </c>
      <c r="D83" s="152">
        <v>6</v>
      </c>
      <c r="E83" s="152">
        <v>1</v>
      </c>
      <c r="F83" s="34">
        <f t="shared" ref="F83:F89" si="11">C83*E83/D83</f>
        <v>2.5366666666666666</v>
      </c>
      <c r="G83" s="27">
        <v>0</v>
      </c>
      <c r="H83" s="35">
        <f t="shared" ref="H83:H89" si="12">C83/D83*G83</f>
        <v>0</v>
      </c>
      <c r="I83" s="20"/>
    </row>
    <row r="84" spans="1:12" ht="15" customHeight="1">
      <c r="A84" s="360" t="s">
        <v>79</v>
      </c>
      <c r="B84" s="379"/>
      <c r="C84" s="153">
        <v>33.67</v>
      </c>
      <c r="D84" s="152">
        <v>30</v>
      </c>
      <c r="E84" s="152">
        <v>1</v>
      </c>
      <c r="F84" s="34">
        <f t="shared" si="11"/>
        <v>1.1223333333333334</v>
      </c>
      <c r="G84" s="2">
        <v>0.25</v>
      </c>
      <c r="H84" s="36">
        <f t="shared" si="12"/>
        <v>0.28058333333333335</v>
      </c>
      <c r="I84" s="20"/>
    </row>
    <row r="85" spans="1:12" ht="15" customHeight="1">
      <c r="A85" s="360" t="s">
        <v>80</v>
      </c>
      <c r="B85" s="379"/>
      <c r="C85" s="153">
        <v>23.98</v>
      </c>
      <c r="D85" s="152">
        <v>30</v>
      </c>
      <c r="E85" s="152">
        <v>1</v>
      </c>
      <c r="F85" s="34">
        <f t="shared" si="11"/>
        <v>0.79933333333333334</v>
      </c>
      <c r="G85" s="2">
        <v>0.25</v>
      </c>
      <c r="H85" s="36">
        <f t="shared" si="12"/>
        <v>0.19983333333333334</v>
      </c>
      <c r="I85" s="20"/>
    </row>
    <row r="86" spans="1:12" ht="15" customHeight="1">
      <c r="A86" s="360" t="s">
        <v>81</v>
      </c>
      <c r="B86" s="379"/>
      <c r="C86" s="153">
        <v>19.55</v>
      </c>
      <c r="D86" s="152">
        <v>30</v>
      </c>
      <c r="E86" s="152">
        <v>1</v>
      </c>
      <c r="F86" s="34">
        <f t="shared" si="11"/>
        <v>0.65166666666666673</v>
      </c>
      <c r="G86" s="2">
        <v>1</v>
      </c>
      <c r="H86" s="36">
        <f t="shared" si="12"/>
        <v>0.65166666666666673</v>
      </c>
      <c r="I86" s="154"/>
    </row>
    <row r="87" spans="1:12" ht="15" customHeight="1">
      <c r="A87" s="360" t="s">
        <v>82</v>
      </c>
      <c r="B87" s="379"/>
      <c r="C87" s="153">
        <v>36.950000000000003</v>
      </c>
      <c r="D87" s="152">
        <v>30</v>
      </c>
      <c r="E87" s="152">
        <v>0.5</v>
      </c>
      <c r="F87" s="34">
        <f t="shared" si="11"/>
        <v>0.61583333333333334</v>
      </c>
      <c r="G87" s="2">
        <v>0.25</v>
      </c>
      <c r="H87" s="36">
        <f t="shared" si="12"/>
        <v>0.30791666666666667</v>
      </c>
      <c r="I87" s="154"/>
    </row>
    <row r="88" spans="1:12" ht="15" customHeight="1">
      <c r="A88" s="360" t="s">
        <v>83</v>
      </c>
      <c r="B88" s="379"/>
      <c r="C88" s="153">
        <v>283.64999999999998</v>
      </c>
      <c r="D88" s="152">
        <v>60</v>
      </c>
      <c r="E88" s="152">
        <v>0.5</v>
      </c>
      <c r="F88" s="34">
        <f t="shared" si="11"/>
        <v>2.36375</v>
      </c>
      <c r="G88" s="27">
        <v>0.25</v>
      </c>
      <c r="H88" s="36">
        <f t="shared" si="12"/>
        <v>1.181875</v>
      </c>
      <c r="I88" s="154"/>
    </row>
    <row r="89" spans="1:12" ht="15" customHeight="1">
      <c r="A89" s="380" t="s">
        <v>314</v>
      </c>
      <c r="B89" s="381"/>
      <c r="C89" s="153">
        <v>52.39</v>
      </c>
      <c r="D89" s="152">
        <v>30</v>
      </c>
      <c r="E89" s="152">
        <v>1</v>
      </c>
      <c r="F89" s="34">
        <f t="shared" si="11"/>
        <v>1.7463333333333333</v>
      </c>
      <c r="G89" s="27">
        <v>0.25</v>
      </c>
      <c r="H89" s="36">
        <f t="shared" si="12"/>
        <v>0.43658333333333332</v>
      </c>
      <c r="I89" s="20"/>
    </row>
    <row r="90" spans="1:12" ht="14.65" customHeight="1">
      <c r="A90" s="332"/>
      <c r="B90" s="333"/>
      <c r="C90" s="333"/>
      <c r="D90" s="333"/>
      <c r="E90" s="333"/>
      <c r="F90" s="333"/>
      <c r="G90" s="37"/>
      <c r="H90" s="37"/>
      <c r="I90" s="20"/>
    </row>
    <row r="91" spans="1:12" ht="15" customHeight="1">
      <c r="A91" s="334" t="s">
        <v>84</v>
      </c>
      <c r="B91" s="335"/>
      <c r="C91" s="335"/>
      <c r="D91" s="335"/>
      <c r="E91" s="336"/>
      <c r="F91" s="38">
        <f>SUM(F83:F89)</f>
        <v>9.835916666666666</v>
      </c>
      <c r="G91" s="337"/>
      <c r="H91" s="338"/>
      <c r="I91" s="338"/>
      <c r="J91" s="338"/>
      <c r="K91" s="338"/>
    </row>
    <row r="92" spans="1:12" ht="15" customHeight="1">
      <c r="A92" s="339" t="s">
        <v>85</v>
      </c>
      <c r="B92" s="340"/>
      <c r="C92" s="340"/>
      <c r="D92" s="340"/>
      <c r="E92" s="341"/>
      <c r="F92" s="67">
        <f>SUM(H83:H89)</f>
        <v>3.0584583333333333</v>
      </c>
    </row>
    <row r="93" spans="1:12">
      <c r="G93" s="338"/>
      <c r="H93" s="338"/>
      <c r="I93" s="338"/>
      <c r="J93" s="338"/>
      <c r="K93" s="338"/>
      <c r="L93" s="338"/>
    </row>
    <row r="94" spans="1:12" ht="12.75" customHeight="1">
      <c r="A94" s="323" t="s">
        <v>309</v>
      </c>
      <c r="B94" s="324"/>
      <c r="C94" s="324"/>
      <c r="D94" s="324"/>
      <c r="E94" s="324"/>
      <c r="F94" s="324"/>
      <c r="G94" s="324"/>
      <c r="H94" s="325"/>
    </row>
    <row r="95" spans="1:12" ht="12.75" customHeight="1">
      <c r="A95" s="320"/>
      <c r="B95" s="322"/>
      <c r="C95" s="322"/>
      <c r="D95" s="321"/>
      <c r="E95" s="320" t="s">
        <v>72</v>
      </c>
      <c r="F95" s="321"/>
      <c r="G95" s="320" t="s">
        <v>73</v>
      </c>
      <c r="H95" s="321"/>
    </row>
    <row r="96" spans="1:12" ht="38.25">
      <c r="A96" s="326" t="s">
        <v>60</v>
      </c>
      <c r="B96" s="326"/>
      <c r="C96" s="16" t="s">
        <v>74</v>
      </c>
      <c r="D96" s="16" t="s">
        <v>75</v>
      </c>
      <c r="E96" s="16" t="s">
        <v>76</v>
      </c>
      <c r="F96" s="16" t="s">
        <v>77</v>
      </c>
      <c r="G96" s="196" t="s">
        <v>76</v>
      </c>
      <c r="H96" s="196" t="s">
        <v>77</v>
      </c>
    </row>
    <row r="97" spans="1:8">
      <c r="A97" s="345" t="s">
        <v>78</v>
      </c>
      <c r="B97" s="345"/>
      <c r="C97" s="197">
        <v>15.22</v>
      </c>
      <c r="D97" s="27">
        <v>6</v>
      </c>
      <c r="E97" s="27">
        <v>1</v>
      </c>
      <c r="F97" s="34">
        <f t="shared" ref="F97:F110" si="13">C97*E97/D97</f>
        <v>2.5366666666666666</v>
      </c>
      <c r="G97" s="27">
        <v>0</v>
      </c>
      <c r="H97" s="198">
        <f t="shared" ref="H97:H110" si="14">C97/D97*G97</f>
        <v>0</v>
      </c>
    </row>
    <row r="98" spans="1:8">
      <c r="A98" s="345" t="s">
        <v>79</v>
      </c>
      <c r="B98" s="345"/>
      <c r="C98" s="178">
        <v>33.67</v>
      </c>
      <c r="D98" s="27">
        <v>30</v>
      </c>
      <c r="E98" s="27">
        <v>1</v>
      </c>
      <c r="F98" s="34">
        <f t="shared" si="13"/>
        <v>1.1223333333333334</v>
      </c>
      <c r="G98" s="177">
        <v>0.25</v>
      </c>
      <c r="H98" s="199">
        <f t="shared" si="14"/>
        <v>0.28058333333333335</v>
      </c>
    </row>
    <row r="99" spans="1:8">
      <c r="A99" s="345" t="s">
        <v>80</v>
      </c>
      <c r="B99" s="345"/>
      <c r="C99" s="178">
        <v>23.98</v>
      </c>
      <c r="D99" s="27">
        <v>30</v>
      </c>
      <c r="E99" s="27">
        <v>1</v>
      </c>
      <c r="F99" s="34">
        <f t="shared" si="13"/>
        <v>0.79933333333333334</v>
      </c>
      <c r="G99" s="177">
        <v>0.25</v>
      </c>
      <c r="H99" s="199">
        <f t="shared" si="14"/>
        <v>0.19983333333333334</v>
      </c>
    </row>
    <row r="100" spans="1:8">
      <c r="A100" s="345" t="s">
        <v>81</v>
      </c>
      <c r="B100" s="345"/>
      <c r="C100" s="178">
        <v>19.55</v>
      </c>
      <c r="D100" s="27">
        <v>30</v>
      </c>
      <c r="E100" s="27">
        <v>1</v>
      </c>
      <c r="F100" s="34">
        <f t="shared" si="13"/>
        <v>0.65166666666666673</v>
      </c>
      <c r="G100" s="177">
        <v>1</v>
      </c>
      <c r="H100" s="199">
        <f t="shared" si="14"/>
        <v>0.65166666666666673</v>
      </c>
    </row>
    <row r="101" spans="1:8">
      <c r="A101" s="360" t="s">
        <v>82</v>
      </c>
      <c r="B101" s="379"/>
      <c r="C101" s="178">
        <v>36.950000000000003</v>
      </c>
      <c r="D101" s="27">
        <v>60</v>
      </c>
      <c r="E101" s="27">
        <v>0.5</v>
      </c>
      <c r="F101" s="34">
        <f t="shared" si="13"/>
        <v>0.30791666666666667</v>
      </c>
      <c r="G101" s="177">
        <v>0.25</v>
      </c>
      <c r="H101" s="199">
        <f t="shared" si="14"/>
        <v>0.15395833333333334</v>
      </c>
    </row>
    <row r="102" spans="1:8">
      <c r="A102" s="345" t="s">
        <v>83</v>
      </c>
      <c r="B102" s="345"/>
      <c r="C102" s="178">
        <v>283.64999999999998</v>
      </c>
      <c r="D102" s="27">
        <v>60</v>
      </c>
      <c r="E102" s="27">
        <v>0.5</v>
      </c>
      <c r="F102" s="34">
        <f t="shared" si="13"/>
        <v>2.36375</v>
      </c>
      <c r="G102" s="27">
        <v>0.25</v>
      </c>
      <c r="H102" s="199">
        <f t="shared" si="14"/>
        <v>1.181875</v>
      </c>
    </row>
    <row r="103" spans="1:8">
      <c r="A103" s="345" t="s">
        <v>269</v>
      </c>
      <c r="B103" s="345"/>
      <c r="C103" s="275">
        <v>1554.02</v>
      </c>
      <c r="D103" s="27">
        <v>60</v>
      </c>
      <c r="E103" s="27">
        <v>1</v>
      </c>
      <c r="F103" s="34">
        <f t="shared" si="13"/>
        <v>25.900333333333332</v>
      </c>
      <c r="G103" s="27">
        <v>0.25</v>
      </c>
      <c r="H103" s="199">
        <f t="shared" si="14"/>
        <v>6.4750833333333331</v>
      </c>
    </row>
    <row r="104" spans="1:8">
      <c r="A104" s="345" t="s">
        <v>270</v>
      </c>
      <c r="B104" s="345"/>
      <c r="C104" s="178">
        <v>206.55</v>
      </c>
      <c r="D104" s="27">
        <v>6</v>
      </c>
      <c r="E104" s="27">
        <v>1</v>
      </c>
      <c r="F104" s="34">
        <f t="shared" si="13"/>
        <v>34.425000000000004</v>
      </c>
      <c r="G104" s="27">
        <v>1</v>
      </c>
      <c r="H104" s="199">
        <f t="shared" si="14"/>
        <v>34.425000000000004</v>
      </c>
    </row>
    <row r="105" spans="1:8">
      <c r="A105" s="345" t="s">
        <v>271</v>
      </c>
      <c r="B105" s="345"/>
      <c r="C105" s="178">
        <v>38.56</v>
      </c>
      <c r="D105" s="27">
        <v>30</v>
      </c>
      <c r="E105" s="27">
        <v>0</v>
      </c>
      <c r="F105" s="34">
        <f t="shared" si="13"/>
        <v>0</v>
      </c>
      <c r="G105" s="27">
        <v>0.25</v>
      </c>
      <c r="H105" s="199">
        <f t="shared" si="14"/>
        <v>0.32133333333333336</v>
      </c>
    </row>
    <row r="106" spans="1:8" ht="51.75" customHeight="1">
      <c r="A106" s="345" t="s">
        <v>272</v>
      </c>
      <c r="B106" s="345"/>
      <c r="C106" s="178">
        <v>5444.75</v>
      </c>
      <c r="D106" s="27">
        <v>120</v>
      </c>
      <c r="E106" s="27">
        <v>1</v>
      </c>
      <c r="F106" s="34">
        <f t="shared" si="13"/>
        <v>45.372916666666669</v>
      </c>
      <c r="G106" s="27">
        <v>0</v>
      </c>
      <c r="H106" s="199">
        <f t="shared" si="14"/>
        <v>0</v>
      </c>
    </row>
    <row r="107" spans="1:8">
      <c r="A107" s="345" t="s">
        <v>273</v>
      </c>
      <c r="B107" s="345"/>
      <c r="C107" s="178">
        <v>225.26</v>
      </c>
      <c r="D107" s="27">
        <v>60</v>
      </c>
      <c r="E107" s="27">
        <v>1</v>
      </c>
      <c r="F107" s="34">
        <f t="shared" si="13"/>
        <v>3.7543333333333333</v>
      </c>
      <c r="G107" s="27">
        <v>0</v>
      </c>
      <c r="H107" s="199">
        <f t="shared" si="14"/>
        <v>0</v>
      </c>
    </row>
    <row r="108" spans="1:8">
      <c r="A108" s="345" t="s">
        <v>274</v>
      </c>
      <c r="B108" s="345"/>
      <c r="C108" s="178">
        <v>5879.96</v>
      </c>
      <c r="D108" s="27">
        <v>120</v>
      </c>
      <c r="E108" s="27">
        <v>0</v>
      </c>
      <c r="F108" s="34">
        <f t="shared" si="13"/>
        <v>0</v>
      </c>
      <c r="G108" s="27">
        <v>0.25</v>
      </c>
      <c r="H108" s="198">
        <f t="shared" si="14"/>
        <v>12.249916666666667</v>
      </c>
    </row>
    <row r="109" spans="1:8">
      <c r="A109" s="345" t="s">
        <v>275</v>
      </c>
      <c r="B109" s="345"/>
      <c r="C109" s="178">
        <v>31.09</v>
      </c>
      <c r="D109" s="27">
        <v>30</v>
      </c>
      <c r="E109" s="27">
        <v>0</v>
      </c>
      <c r="F109" s="34">
        <f t="shared" si="13"/>
        <v>0</v>
      </c>
      <c r="G109" s="27">
        <v>0.25</v>
      </c>
      <c r="H109" s="198">
        <f t="shared" si="14"/>
        <v>0.25908333333333333</v>
      </c>
    </row>
    <row r="110" spans="1:8">
      <c r="A110" s="345" t="s">
        <v>276</v>
      </c>
      <c r="B110" s="345"/>
      <c r="C110" s="178">
        <v>121.22</v>
      </c>
      <c r="D110" s="27">
        <v>6</v>
      </c>
      <c r="E110" s="27">
        <v>0</v>
      </c>
      <c r="F110" s="34">
        <f t="shared" si="13"/>
        <v>0</v>
      </c>
      <c r="G110" s="27">
        <v>0.25</v>
      </c>
      <c r="H110" s="198">
        <f t="shared" si="14"/>
        <v>5.0508333333333333</v>
      </c>
    </row>
    <row r="111" spans="1:8">
      <c r="A111" s="342" t="s">
        <v>277</v>
      </c>
      <c r="B111" s="342"/>
      <c r="C111" s="342"/>
      <c r="D111" s="342"/>
      <c r="E111" s="342"/>
      <c r="F111" s="342"/>
      <c r="G111" s="37"/>
      <c r="H111" s="37"/>
    </row>
    <row r="113" spans="1:15">
      <c r="A113" s="343" t="s">
        <v>312</v>
      </c>
      <c r="B113" s="343"/>
      <c r="C113" s="343"/>
      <c r="D113" s="343"/>
      <c r="E113" s="343"/>
      <c r="F113" s="200">
        <f>SUM(F97:F104)</f>
        <v>68.106999999999999</v>
      </c>
    </row>
    <row r="114" spans="1:15">
      <c r="A114" s="344" t="s">
        <v>278</v>
      </c>
      <c r="B114" s="344"/>
      <c r="C114" s="344"/>
      <c r="D114" s="344"/>
      <c r="E114" s="344"/>
      <c r="F114" s="200">
        <f>F113+F106+F107</f>
        <v>117.23425</v>
      </c>
    </row>
    <row r="115" spans="1:15">
      <c r="A115" s="344" t="s">
        <v>279</v>
      </c>
      <c r="B115" s="344"/>
      <c r="C115" s="344"/>
      <c r="D115" s="344"/>
      <c r="E115" s="344"/>
      <c r="F115" s="201">
        <f>SUM(H97:H110)</f>
        <v>61.249166666666667</v>
      </c>
    </row>
    <row r="117" spans="1:15">
      <c r="A117" s="382"/>
      <c r="B117" s="382"/>
      <c r="C117" s="382"/>
      <c r="D117" s="382"/>
      <c r="E117" s="382"/>
      <c r="I117" s="20"/>
    </row>
    <row r="118" spans="1:15" ht="27.75" customHeight="1">
      <c r="A118" s="383" t="s">
        <v>86</v>
      </c>
      <c r="B118" s="384"/>
      <c r="C118" s="384"/>
      <c r="D118" s="384"/>
      <c r="E118" s="385"/>
      <c r="G118" s="386" t="s">
        <v>87</v>
      </c>
      <c r="H118" s="387"/>
      <c r="I118" s="388"/>
      <c r="J118" s="37"/>
      <c r="K118" s="37"/>
      <c r="L118" s="37"/>
      <c r="M118" s="37"/>
      <c r="N118" s="37"/>
      <c r="O118" s="179"/>
    </row>
    <row r="119" spans="1:15" ht="27" customHeight="1">
      <c r="A119" s="315" t="s">
        <v>88</v>
      </c>
      <c r="B119" s="316"/>
      <c r="C119" s="317"/>
      <c r="D119" s="327">
        <v>0.06</v>
      </c>
      <c r="E119" s="328"/>
      <c r="G119" s="329" t="s">
        <v>89</v>
      </c>
      <c r="H119" s="330"/>
      <c r="I119" s="331"/>
      <c r="J119" s="37"/>
      <c r="K119" s="37"/>
      <c r="L119" s="37"/>
      <c r="M119" s="37"/>
      <c r="N119" s="37"/>
      <c r="O119" s="179"/>
    </row>
    <row r="120" spans="1:15" ht="25.5" customHeight="1">
      <c r="A120" s="364" t="s">
        <v>90</v>
      </c>
      <c r="B120" s="365"/>
      <c r="C120" s="366"/>
      <c r="D120" s="367">
        <v>6.7900000000000002E-2</v>
      </c>
      <c r="E120" s="368"/>
      <c r="G120" s="329" t="s">
        <v>91</v>
      </c>
      <c r="H120" s="331"/>
      <c r="I120" s="175" t="s">
        <v>92</v>
      </c>
      <c r="J120" s="37"/>
      <c r="K120" s="37"/>
      <c r="L120" s="37"/>
      <c r="M120" s="37"/>
      <c r="N120" s="37"/>
      <c r="O120" s="179"/>
    </row>
    <row r="121" spans="1:15" ht="39" customHeight="1">
      <c r="A121" s="369" t="s">
        <v>93</v>
      </c>
      <c r="B121" s="370"/>
      <c r="C121" s="371" t="s">
        <v>94</v>
      </c>
      <c r="D121" s="372"/>
      <c r="E121" s="373"/>
      <c r="G121" s="40" t="s">
        <v>95</v>
      </c>
      <c r="H121" s="40" t="s">
        <v>96</v>
      </c>
      <c r="I121" s="41">
        <v>4.4999999999999998E-2</v>
      </c>
      <c r="J121" s="42"/>
      <c r="K121" s="42"/>
      <c r="L121" s="42"/>
      <c r="M121" s="42"/>
      <c r="N121" s="42"/>
      <c r="O121" s="43"/>
    </row>
    <row r="122" spans="1:15" ht="15" customHeight="1">
      <c r="A122" s="374" t="s">
        <v>267</v>
      </c>
      <c r="B122" s="375"/>
      <c r="C122" s="376">
        <v>2500000</v>
      </c>
      <c r="D122" s="377"/>
      <c r="E122" s="378"/>
      <c r="G122" s="40" t="s">
        <v>97</v>
      </c>
      <c r="H122" s="44" t="s">
        <v>98</v>
      </c>
      <c r="I122" s="41">
        <v>0.09</v>
      </c>
      <c r="J122" s="42"/>
      <c r="K122" s="42"/>
      <c r="L122" s="42"/>
      <c r="M122" s="42"/>
      <c r="N122" s="42"/>
      <c r="O122" s="43"/>
    </row>
    <row r="123" spans="1:15">
      <c r="A123" s="362" t="s">
        <v>99</v>
      </c>
      <c r="B123" s="362"/>
      <c r="C123" s="39" t="s">
        <v>100</v>
      </c>
      <c r="D123" s="172">
        <f>IF(A122="Lucro Real",0.0165,IF(A122="Lucro Presumido",0.0065,IF(A122="Simples Nacional",I129)))</f>
        <v>6.4999999999999997E-3</v>
      </c>
      <c r="E123" s="363">
        <f>SUM(D123:D125)</f>
        <v>8.6499999999999994E-2</v>
      </c>
      <c r="G123" s="40" t="s">
        <v>101</v>
      </c>
      <c r="H123" s="45" t="s">
        <v>102</v>
      </c>
      <c r="I123" s="41">
        <v>0.10199999999999999</v>
      </c>
      <c r="J123" s="42"/>
      <c r="K123" s="42"/>
      <c r="L123" s="42"/>
      <c r="M123" s="42"/>
      <c r="N123" s="42"/>
      <c r="O123" s="43"/>
    </row>
    <row r="124" spans="1:15">
      <c r="A124" s="362"/>
      <c r="B124" s="362"/>
      <c r="C124" s="39" t="s">
        <v>103</v>
      </c>
      <c r="D124" s="173">
        <f>IF(A122="Lucro Real",0.076,IF(A122="Lucro Presumido",0.03,IF(A122="Simples Nacional",J129)))</f>
        <v>0.03</v>
      </c>
      <c r="E124" s="363"/>
      <c r="G124" s="40" t="s">
        <v>104</v>
      </c>
      <c r="H124" s="44" t="s">
        <v>105</v>
      </c>
      <c r="I124" s="41">
        <v>0.14000000000000001</v>
      </c>
      <c r="J124" s="42"/>
      <c r="K124" s="42"/>
      <c r="L124" s="42"/>
      <c r="M124" s="42"/>
      <c r="N124" s="42"/>
      <c r="O124" s="43"/>
    </row>
    <row r="125" spans="1:15" ht="25.5">
      <c r="A125" s="362" t="s">
        <v>34</v>
      </c>
      <c r="B125" s="362"/>
      <c r="C125" s="39" t="s">
        <v>106</v>
      </c>
      <c r="D125" s="173">
        <f>IF(A122="Simples Nacional",H129,IF(A122="Lucro Presumido",0.05,IF(A122="Lucro Real",0.05)))</f>
        <v>0.05</v>
      </c>
      <c r="E125" s="363"/>
      <c r="G125" s="40" t="s">
        <v>107</v>
      </c>
      <c r="H125" s="45" t="s">
        <v>108</v>
      </c>
      <c r="I125" s="41">
        <v>0.22</v>
      </c>
      <c r="J125" s="42"/>
      <c r="K125" s="42"/>
      <c r="L125" s="42"/>
      <c r="M125" s="42"/>
      <c r="N125" s="42"/>
      <c r="O125" s="43"/>
    </row>
    <row r="126" spans="1:15" ht="25.5">
      <c r="G126" s="40" t="s">
        <v>109</v>
      </c>
      <c r="H126" s="46" t="s">
        <v>110</v>
      </c>
      <c r="I126" s="41">
        <v>0.33</v>
      </c>
      <c r="J126" s="42"/>
      <c r="K126" s="42"/>
      <c r="L126" s="42"/>
      <c r="M126" s="42"/>
      <c r="N126" s="42"/>
      <c r="O126" s="43"/>
    </row>
    <row r="128" spans="1:15">
      <c r="G128" s="47" t="s">
        <v>111</v>
      </c>
      <c r="H128" s="47" t="s">
        <v>106</v>
      </c>
      <c r="I128" s="47" t="s">
        <v>100</v>
      </c>
      <c r="J128" s="47" t="s">
        <v>103</v>
      </c>
    </row>
    <row r="129" spans="7:11">
      <c r="G129" s="170">
        <f>C122</f>
        <v>2500000</v>
      </c>
      <c r="H129" s="171">
        <f>IF(G129&lt;=180000,0.445*0.045,IF(G129&lt;=360000,0.036-3240/G129,IF(G129&lt;=720000,0.0408-4968/G129,IF(G129&lt;=1800000,0.056-15912/G129,IF(G129&lt;=3600000,0.088-73512/G129,IF(G129&lt;=4800000,0.132-331200/G129,"Erro"))))))</f>
        <v>5.85952E-2</v>
      </c>
      <c r="I129" s="171">
        <f>IF(G129&lt;=180000,0.0383*0.045,IF(G129&lt;=360000,0.00405-364.5/G129,IF(G129&lt;=720000,0.0043554-530.334/G129,IF(G129&lt;=1800000,0.00574-1630.98/G129,IF(G129&lt;=3600000,0.008624-7204.176/G129,IF(G129&lt;=4800000,0.014685-36846/G129,"Erro"))))))</f>
        <v>5.7423296000000002E-3</v>
      </c>
      <c r="J129" s="171">
        <f>IF(G129&lt;=180000,0.1767*0.045,IF(G129&lt;=360000,0.018495-1664.55/G129,IF(G129&lt;=720000,0.0201246-2450.466/G129,IF(G129&lt;=1800000,0.02646-7518.42/G129,IF(G129&lt;=3600000,0.039776-33227.424/G129,IF(G129&lt;=4800000,0.067815-170154/G129,"Erro"))))))</f>
        <v>2.6485030399999998E-2</v>
      </c>
    </row>
    <row r="131" spans="7:11" ht="14.25">
      <c r="I131" s="195"/>
      <c r="J131"/>
      <c r="K131"/>
    </row>
  </sheetData>
  <sheetProtection selectLockedCells="1" selectUnlockedCells="1"/>
  <mergeCells count="181">
    <mergeCell ref="A24:C25"/>
    <mergeCell ref="E24:F24"/>
    <mergeCell ref="G24:H24"/>
    <mergeCell ref="I24:J24"/>
    <mergeCell ref="E25:F25"/>
    <mergeCell ref="I25:J25"/>
    <mergeCell ref="A22:C23"/>
    <mergeCell ref="E22:F22"/>
    <mergeCell ref="G22:H22"/>
    <mergeCell ref="I22:J22"/>
    <mergeCell ref="E23:F23"/>
    <mergeCell ref="I23:J23"/>
    <mergeCell ref="A13:J13"/>
    <mergeCell ref="A17:J17"/>
    <mergeCell ref="A18:J18"/>
    <mergeCell ref="D19:E19"/>
    <mergeCell ref="G19:J19"/>
    <mergeCell ref="A20:J20"/>
    <mergeCell ref="A21:J21"/>
    <mergeCell ref="A11:J12"/>
    <mergeCell ref="A15:C15"/>
    <mergeCell ref="A16:J16"/>
    <mergeCell ref="D15:J15"/>
    <mergeCell ref="A31:C32"/>
    <mergeCell ref="E31:F31"/>
    <mergeCell ref="G31:H31"/>
    <mergeCell ref="I31:J31"/>
    <mergeCell ref="E32:F32"/>
    <mergeCell ref="I32:J32"/>
    <mergeCell ref="A26:J26"/>
    <mergeCell ref="A27:C28"/>
    <mergeCell ref="D27:J27"/>
    <mergeCell ref="D28:J28"/>
    <mergeCell ref="A29:C30"/>
    <mergeCell ref="E29:H29"/>
    <mergeCell ref="I29:J29"/>
    <mergeCell ref="E30:H30"/>
    <mergeCell ref="I30:J30"/>
    <mergeCell ref="A51:I51"/>
    <mergeCell ref="F38:H38"/>
    <mergeCell ref="A39:I39"/>
    <mergeCell ref="A40:I40"/>
    <mergeCell ref="A33:C33"/>
    <mergeCell ref="E33:F33"/>
    <mergeCell ref="I33:J33"/>
    <mergeCell ref="A35:I35"/>
    <mergeCell ref="A36:I36"/>
    <mergeCell ref="F37:H37"/>
    <mergeCell ref="A34:J34"/>
    <mergeCell ref="F41:H41"/>
    <mergeCell ref="F42:H42"/>
    <mergeCell ref="A44:I44"/>
    <mergeCell ref="F45:H45"/>
    <mergeCell ref="F46:H46"/>
    <mergeCell ref="A47:I47"/>
    <mergeCell ref="A48:I48"/>
    <mergeCell ref="F49:H49"/>
    <mergeCell ref="F50:H50"/>
    <mergeCell ref="A56:H56"/>
    <mergeCell ref="A57:H57"/>
    <mergeCell ref="C58:D58"/>
    <mergeCell ref="C59:D59"/>
    <mergeCell ref="C60:D60"/>
    <mergeCell ref="C61:D61"/>
    <mergeCell ref="A52:H52"/>
    <mergeCell ref="A53:D53"/>
    <mergeCell ref="E53:H53"/>
    <mergeCell ref="A54:D54"/>
    <mergeCell ref="E54:H54"/>
    <mergeCell ref="A55:H55"/>
    <mergeCell ref="A68:B68"/>
    <mergeCell ref="C68:D68"/>
    <mergeCell ref="E68:F68"/>
    <mergeCell ref="A69:B69"/>
    <mergeCell ref="C69:D69"/>
    <mergeCell ref="E69:F69"/>
    <mergeCell ref="C62:D62"/>
    <mergeCell ref="C63:D63"/>
    <mergeCell ref="C64:D64"/>
    <mergeCell ref="A65:I65"/>
    <mergeCell ref="A66:H66"/>
    <mergeCell ref="A67:B67"/>
    <mergeCell ref="C67:D67"/>
    <mergeCell ref="E67:F67"/>
    <mergeCell ref="A72:B72"/>
    <mergeCell ref="C72:D72"/>
    <mergeCell ref="E72:F72"/>
    <mergeCell ref="A73:B73"/>
    <mergeCell ref="C73:D73"/>
    <mergeCell ref="E73:F73"/>
    <mergeCell ref="A70:B70"/>
    <mergeCell ref="C70:D70"/>
    <mergeCell ref="E70:F70"/>
    <mergeCell ref="A71:B71"/>
    <mergeCell ref="C71:D71"/>
    <mergeCell ref="E71:F71"/>
    <mergeCell ref="A78:G78"/>
    <mergeCell ref="A76:B76"/>
    <mergeCell ref="C76:D76"/>
    <mergeCell ref="E76:F76"/>
    <mergeCell ref="A77:B77"/>
    <mergeCell ref="C77:D77"/>
    <mergeCell ref="E77:F77"/>
    <mergeCell ref="A74:B74"/>
    <mergeCell ref="C74:D74"/>
    <mergeCell ref="E74:F74"/>
    <mergeCell ref="A75:B75"/>
    <mergeCell ref="C75:D75"/>
    <mergeCell ref="E75:F75"/>
    <mergeCell ref="A83:B83"/>
    <mergeCell ref="A84:B84"/>
    <mergeCell ref="A85:B85"/>
    <mergeCell ref="A86:B86"/>
    <mergeCell ref="A88:B88"/>
    <mergeCell ref="A89:B89"/>
    <mergeCell ref="G93:L93"/>
    <mergeCell ref="A117:E117"/>
    <mergeCell ref="A118:E118"/>
    <mergeCell ref="G118:I118"/>
    <mergeCell ref="A87:B87"/>
    <mergeCell ref="A100:B100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01:B101"/>
    <mergeCell ref="A123:B124"/>
    <mergeCell ref="E123:E125"/>
    <mergeCell ref="A125:B125"/>
    <mergeCell ref="A120:C120"/>
    <mergeCell ref="D120:E120"/>
    <mergeCell ref="G120:H120"/>
    <mergeCell ref="A121:B121"/>
    <mergeCell ref="C121:E121"/>
    <mergeCell ref="A122:B122"/>
    <mergeCell ref="C122:E122"/>
    <mergeCell ref="B9:E9"/>
    <mergeCell ref="A1:J1"/>
    <mergeCell ref="A2:J2"/>
    <mergeCell ref="M3:N3"/>
    <mergeCell ref="A4:J4"/>
    <mergeCell ref="F5:J5"/>
    <mergeCell ref="F6:J6"/>
    <mergeCell ref="F7:J8"/>
    <mergeCell ref="F9:J9"/>
    <mergeCell ref="B5:E5"/>
    <mergeCell ref="B6:E6"/>
    <mergeCell ref="A7:A8"/>
    <mergeCell ref="B7:E8"/>
    <mergeCell ref="A3:B3"/>
    <mergeCell ref="C3:D3"/>
    <mergeCell ref="F3:G3"/>
    <mergeCell ref="A119:C119"/>
    <mergeCell ref="A82:B82"/>
    <mergeCell ref="G81:H81"/>
    <mergeCell ref="E81:F81"/>
    <mergeCell ref="A81:D81"/>
    <mergeCell ref="A80:H80"/>
    <mergeCell ref="A94:H94"/>
    <mergeCell ref="E95:F95"/>
    <mergeCell ref="G95:H95"/>
    <mergeCell ref="A96:B96"/>
    <mergeCell ref="D119:E119"/>
    <mergeCell ref="G119:I119"/>
    <mergeCell ref="A90:F90"/>
    <mergeCell ref="A91:E91"/>
    <mergeCell ref="G91:K91"/>
    <mergeCell ref="A92:E92"/>
    <mergeCell ref="A111:F111"/>
    <mergeCell ref="A113:E113"/>
    <mergeCell ref="A114:E114"/>
    <mergeCell ref="A115:E115"/>
    <mergeCell ref="A95:D95"/>
    <mergeCell ref="A97:B97"/>
    <mergeCell ref="A98:B98"/>
    <mergeCell ref="A99:B99"/>
  </mergeCells>
  <conditionalFormatting sqref="C121:E121">
    <cfRule type="expression" dxfId="1" priority="1" stopIfTrue="1">
      <formula>$A$123="Simples Nacional"</formula>
    </cfRule>
  </conditionalFormatting>
  <conditionalFormatting sqref="C122:E122">
    <cfRule type="expression" dxfId="0" priority="2" stopIfTrue="1">
      <formula>$A$123="Simples Nacional"</formula>
    </cfRule>
  </conditionalFormatting>
  <dataValidations count="4">
    <dataValidation type="list" allowBlank="1" showErrorMessage="1" sqref="A122" xr:uid="{00000000-0002-0000-0000-000000000000}">
      <formula1>"Lucro Real,Lucro Presumido,Simples Nacional"</formula1>
      <formula2>0</formula2>
    </dataValidation>
    <dataValidation errorStyle="warning" allowBlank="1" showErrorMessage="1" errorTitle="OK" error="Atingiu o valor desejado." sqref="B19 F19 E53:E54 E59:F63" xr:uid="{00000000-0002-0000-0000-000001000000}">
      <formula1>0</formula1>
      <formula2>0</formula2>
    </dataValidation>
    <dataValidation operator="equal" allowBlank="1" showErrorMessage="1" sqref="C121" xr:uid="{00000000-0002-0000-0000-000002000000}">
      <formula1>0</formula1>
      <formula2>0</formula2>
    </dataValidation>
    <dataValidation operator="equal" allowBlank="1" showErrorMessage="1" errorTitle="Atenção!!!" error="Exclusivamente para os regimes do lucro real e lucro presumido!" sqref="D125" xr:uid="{00000000-0002-0000-0000-000003000000}">
      <formula1>0</formula1>
      <formula2>0</formula2>
    </dataValidation>
  </dataValidation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5730E-A8BF-48C8-9B9A-94EA5858B64C}">
  <dimension ref="A1:IP114"/>
  <sheetViews>
    <sheetView tabSelected="1" topLeftCell="A58" workbookViewId="0">
      <selection activeCell="A58" sqref="A58:G58"/>
    </sheetView>
  </sheetViews>
  <sheetFormatPr defaultColWidth="9.42578125" defaultRowHeight="12.75"/>
  <cols>
    <col min="1" max="1" width="7.42578125" style="20" customWidth="1"/>
    <col min="2" max="2" width="25.28515625" style="20" customWidth="1"/>
    <col min="3" max="3" width="19.140625" style="20" customWidth="1"/>
    <col min="4" max="4" width="23.42578125" style="20" customWidth="1"/>
    <col min="5" max="5" width="16.42578125" style="20" customWidth="1"/>
    <col min="6" max="6" width="19" style="20" customWidth="1"/>
    <col min="7" max="7" width="19.42578125" style="20" customWidth="1"/>
    <col min="8" max="8" width="18.42578125" style="20" customWidth="1"/>
    <col min="9" max="9" width="21" style="20" customWidth="1"/>
    <col min="10" max="10" width="24.42578125" style="20" customWidth="1"/>
    <col min="11" max="11" width="31.140625" style="20" customWidth="1"/>
    <col min="12" max="250" width="9.42578125" style="20"/>
  </cols>
  <sheetData>
    <row r="1" spans="1:8" ht="18">
      <c r="A1" s="453" t="s">
        <v>281</v>
      </c>
      <c r="B1" s="453"/>
      <c r="C1" s="453"/>
      <c r="D1" s="453"/>
      <c r="E1" s="453"/>
      <c r="F1" s="453"/>
      <c r="G1" s="453"/>
    </row>
    <row r="2" spans="1:8" ht="18">
      <c r="A2" s="161"/>
      <c r="B2" s="161"/>
      <c r="C2" s="161"/>
      <c r="D2" s="161"/>
      <c r="E2" s="161"/>
      <c r="F2" s="161"/>
      <c r="G2" s="161"/>
    </row>
    <row r="3" spans="1:8">
      <c r="A3" s="454" t="s">
        <v>113</v>
      </c>
      <c r="B3" s="454"/>
      <c r="C3" s="454"/>
      <c r="D3" s="454"/>
      <c r="E3" s="454"/>
      <c r="F3" s="454"/>
      <c r="G3" s="454"/>
    </row>
    <row r="4" spans="1:8">
      <c r="A4" s="402" t="s">
        <v>114</v>
      </c>
      <c r="B4" s="402"/>
      <c r="C4" s="402"/>
      <c r="D4" s="402"/>
      <c r="E4" s="402"/>
      <c r="F4" s="402"/>
      <c r="G4" s="402"/>
    </row>
    <row r="5" spans="1:8" ht="15" customHeight="1">
      <c r="A5" s="2">
        <v>1</v>
      </c>
      <c r="B5" s="357" t="s">
        <v>115</v>
      </c>
      <c r="C5" s="357"/>
      <c r="D5" s="357"/>
      <c r="E5" s="357"/>
      <c r="F5" s="455" t="s">
        <v>116</v>
      </c>
      <c r="G5" s="455"/>
    </row>
    <row r="6" spans="1:8">
      <c r="A6" s="2">
        <v>2</v>
      </c>
      <c r="B6" s="357" t="s">
        <v>117</v>
      </c>
      <c r="C6" s="357"/>
      <c r="D6" s="357"/>
      <c r="E6" s="357"/>
      <c r="F6" s="456">
        <f>Licitante!D15</f>
        <v>1845.56</v>
      </c>
      <c r="G6" s="456"/>
    </row>
    <row r="7" spans="1:8" ht="15" customHeight="1">
      <c r="A7" s="162">
        <v>3</v>
      </c>
      <c r="B7" s="358" t="s">
        <v>118</v>
      </c>
      <c r="C7" s="447"/>
      <c r="D7" s="447"/>
      <c r="E7" s="448"/>
      <c r="F7" s="449" t="s">
        <v>208</v>
      </c>
      <c r="G7" s="450"/>
    </row>
    <row r="8" spans="1:8">
      <c r="A8" s="158">
        <v>4</v>
      </c>
      <c r="B8" s="448" t="s">
        <v>120</v>
      </c>
      <c r="C8" s="357"/>
      <c r="D8" s="357"/>
      <c r="E8" s="357"/>
      <c r="F8" s="451">
        <v>44562</v>
      </c>
      <c r="G8" s="451"/>
    </row>
    <row r="9" spans="1:8">
      <c r="A9" s="452"/>
      <c r="B9" s="452"/>
      <c r="C9" s="452"/>
      <c r="D9" s="452"/>
      <c r="E9" s="452"/>
      <c r="F9" s="452"/>
      <c r="G9" s="452"/>
    </row>
    <row r="10" spans="1:8" ht="14.65" customHeight="1">
      <c r="A10" s="402" t="s">
        <v>121</v>
      </c>
      <c r="B10" s="402"/>
      <c r="C10" s="402"/>
      <c r="D10" s="402"/>
      <c r="E10" s="402"/>
      <c r="F10" s="402"/>
      <c r="G10" s="402"/>
    </row>
    <row r="11" spans="1:8">
      <c r="A11" s="23">
        <v>1</v>
      </c>
      <c r="B11" s="460" t="s">
        <v>122</v>
      </c>
      <c r="C11" s="460"/>
      <c r="D11" s="460"/>
      <c r="E11" s="460"/>
      <c r="F11" s="460"/>
      <c r="G11" s="48" t="s">
        <v>123</v>
      </c>
    </row>
    <row r="12" spans="1:8">
      <c r="A12" s="49" t="s">
        <v>5</v>
      </c>
      <c r="B12" s="357" t="s">
        <v>117</v>
      </c>
      <c r="C12" s="357"/>
      <c r="D12" s="357"/>
      <c r="E12" s="2" t="s">
        <v>124</v>
      </c>
      <c r="F12" s="2">
        <v>21.75</v>
      </c>
      <c r="G12" s="36">
        <f>F6</f>
        <v>1845.56</v>
      </c>
    </row>
    <row r="13" spans="1:8">
      <c r="A13" s="49" t="s">
        <v>7</v>
      </c>
      <c r="B13" s="357" t="s">
        <v>125</v>
      </c>
      <c r="C13" s="357"/>
      <c r="D13" s="357"/>
      <c r="E13" s="357"/>
      <c r="F13" s="50">
        <v>0.3</v>
      </c>
      <c r="G13" s="36">
        <f>ROUND(G12*F13,2)</f>
        <v>553.66999999999996</v>
      </c>
    </row>
    <row r="14" spans="1:8" ht="14.65" customHeight="1">
      <c r="A14" s="49" t="s">
        <v>10</v>
      </c>
      <c r="B14" s="461" t="s">
        <v>268</v>
      </c>
      <c r="C14" s="461"/>
      <c r="D14" s="461"/>
      <c r="E14" s="461"/>
      <c r="F14" s="461"/>
      <c r="G14" s="68">
        <v>0</v>
      </c>
    </row>
    <row r="15" spans="1:8" ht="14.65" customHeight="1">
      <c r="A15" s="49"/>
      <c r="B15" s="460" t="s">
        <v>127</v>
      </c>
      <c r="C15" s="460"/>
      <c r="D15" s="460"/>
      <c r="E15" s="460"/>
      <c r="F15" s="460"/>
      <c r="G15" s="51">
        <f>ROUND(G12+G13+G14,2)</f>
        <v>2399.23</v>
      </c>
      <c r="H15" s="69"/>
    </row>
    <row r="16" spans="1:8" ht="14.65" customHeight="1">
      <c r="A16" s="411"/>
      <c r="B16" s="411"/>
      <c r="C16" s="411"/>
      <c r="D16" s="411"/>
      <c r="E16" s="411"/>
      <c r="F16" s="411"/>
      <c r="G16" s="411"/>
    </row>
    <row r="17" spans="1:8" ht="14.65" customHeight="1">
      <c r="A17" s="457" t="s">
        <v>128</v>
      </c>
      <c r="B17" s="457"/>
      <c r="C17" s="457"/>
      <c r="D17" s="457"/>
      <c r="E17" s="457"/>
      <c r="F17" s="457"/>
      <c r="G17" s="457"/>
    </row>
    <row r="18" spans="1:8" ht="14.65" customHeight="1">
      <c r="A18" s="458" t="s">
        <v>129</v>
      </c>
      <c r="B18" s="459"/>
      <c r="C18" s="459"/>
      <c r="D18" s="459"/>
      <c r="E18" s="459"/>
      <c r="F18" s="459"/>
      <c r="G18" s="459"/>
      <c r="H18" s="142"/>
    </row>
    <row r="19" spans="1:8">
      <c r="A19" s="23" t="s">
        <v>130</v>
      </c>
      <c r="B19" s="460" t="s">
        <v>131</v>
      </c>
      <c r="C19" s="460"/>
      <c r="D19" s="460"/>
      <c r="E19" s="460"/>
      <c r="F19" s="460"/>
      <c r="G19" s="72" t="s">
        <v>123</v>
      </c>
      <c r="H19" s="120"/>
    </row>
    <row r="20" spans="1:8">
      <c r="A20" s="49" t="s">
        <v>5</v>
      </c>
      <c r="B20" s="357" t="s">
        <v>131</v>
      </c>
      <c r="C20" s="357"/>
      <c r="D20" s="357"/>
      <c r="E20" s="357"/>
      <c r="F20" s="52">
        <v>8.3299999999999999E-2</v>
      </c>
      <c r="G20" s="73">
        <f>ROUND(F20*$G$15,2)</f>
        <v>199.86</v>
      </c>
      <c r="H20" s="124"/>
    </row>
    <row r="21" spans="1:8">
      <c r="A21" s="49" t="s">
        <v>7</v>
      </c>
      <c r="B21" s="357" t="s">
        <v>132</v>
      </c>
      <c r="C21" s="357"/>
      <c r="D21" s="357"/>
      <c r="E21" s="357"/>
      <c r="F21" s="282">
        <v>3.0249999999999999E-2</v>
      </c>
      <c r="G21" s="73">
        <f>ROUND(F21*$G$15,2)</f>
        <v>72.58</v>
      </c>
      <c r="H21" s="124"/>
    </row>
    <row r="22" spans="1:8" ht="14.65" customHeight="1">
      <c r="A22" s="49"/>
      <c r="B22" s="460" t="s">
        <v>133</v>
      </c>
      <c r="C22" s="460"/>
      <c r="D22" s="460"/>
      <c r="E22" s="460"/>
      <c r="F22" s="285">
        <f>F20+F21</f>
        <v>0.11355</v>
      </c>
      <c r="G22" s="74">
        <f t="shared" ref="G22" si="0">ROUND(F22*$G$15,2)</f>
        <v>272.43</v>
      </c>
      <c r="H22" s="139"/>
    </row>
    <row r="23" spans="1:8">
      <c r="A23" s="15"/>
      <c r="B23" s="15"/>
      <c r="C23" s="15"/>
      <c r="D23" s="15"/>
      <c r="E23" s="15"/>
      <c r="F23" s="15"/>
      <c r="G23" s="15"/>
    </row>
    <row r="24" spans="1:8" ht="14.65" customHeight="1">
      <c r="A24" s="71" t="s">
        <v>134</v>
      </c>
      <c r="B24" s="465"/>
      <c r="C24" s="466"/>
      <c r="D24" s="466"/>
      <c r="E24" s="466"/>
      <c r="F24" s="466"/>
      <c r="G24" s="466"/>
      <c r="H24" s="133"/>
    </row>
    <row r="25" spans="1:8" ht="14.65" customHeight="1">
      <c r="A25" s="23" t="s">
        <v>135</v>
      </c>
      <c r="B25" s="460" t="s">
        <v>136</v>
      </c>
      <c r="C25" s="460"/>
      <c r="D25" s="460"/>
      <c r="E25" s="460"/>
      <c r="F25" s="23" t="s">
        <v>137</v>
      </c>
      <c r="G25" s="72" t="s">
        <v>138</v>
      </c>
      <c r="H25" s="120"/>
    </row>
    <row r="26" spans="1:8" ht="14.65" customHeight="1">
      <c r="A26" s="49" t="s">
        <v>5</v>
      </c>
      <c r="B26" s="357" t="s">
        <v>139</v>
      </c>
      <c r="C26" s="357"/>
      <c r="D26" s="357"/>
      <c r="E26" s="357"/>
      <c r="F26" s="50">
        <v>0.2</v>
      </c>
      <c r="G26" s="63">
        <f t="shared" ref="G26:G34" si="1">ROUND(F26*($G$15+$G$22),2)</f>
        <v>534.33000000000004</v>
      </c>
      <c r="H26" s="122"/>
    </row>
    <row r="27" spans="1:8" ht="14.65" customHeight="1">
      <c r="A27" s="49" t="s">
        <v>7</v>
      </c>
      <c r="B27" s="357" t="s">
        <v>140</v>
      </c>
      <c r="C27" s="357"/>
      <c r="D27" s="357"/>
      <c r="E27" s="357"/>
      <c r="F27" s="50">
        <v>2.5000000000000001E-2</v>
      </c>
      <c r="G27" s="63">
        <f t="shared" si="1"/>
        <v>66.790000000000006</v>
      </c>
      <c r="H27" s="122"/>
    </row>
    <row r="28" spans="1:8" ht="14.65" customHeight="1">
      <c r="A28" s="49" t="s">
        <v>10</v>
      </c>
      <c r="B28" s="357" t="s">
        <v>141</v>
      </c>
      <c r="C28" s="357"/>
      <c r="D28" s="357"/>
      <c r="E28" s="357"/>
      <c r="F28" s="50">
        <v>1.4999999999999999E-2</v>
      </c>
      <c r="G28" s="63">
        <f t="shared" si="1"/>
        <v>40.07</v>
      </c>
      <c r="H28" s="122"/>
    </row>
    <row r="29" spans="1:8" ht="14.65" customHeight="1">
      <c r="A29" s="49" t="s">
        <v>12</v>
      </c>
      <c r="B29" s="357" t="s">
        <v>142</v>
      </c>
      <c r="C29" s="357"/>
      <c r="D29" s="357"/>
      <c r="E29" s="357"/>
      <c r="F29" s="50">
        <v>0.01</v>
      </c>
      <c r="G29" s="63">
        <f t="shared" si="1"/>
        <v>26.72</v>
      </c>
      <c r="H29" s="122"/>
    </row>
    <row r="30" spans="1:8" ht="14.65" customHeight="1">
      <c r="A30" s="49" t="s">
        <v>55</v>
      </c>
      <c r="B30" s="357" t="s">
        <v>143</v>
      </c>
      <c r="C30" s="357"/>
      <c r="D30" s="357"/>
      <c r="E30" s="357"/>
      <c r="F30" s="50">
        <v>6.000000000000001E-3</v>
      </c>
      <c r="G30" s="63">
        <f t="shared" si="1"/>
        <v>16.03</v>
      </c>
      <c r="H30" s="122"/>
    </row>
    <row r="31" spans="1:8" ht="14.65" customHeight="1">
      <c r="A31" s="49" t="s">
        <v>57</v>
      </c>
      <c r="B31" s="357" t="s">
        <v>144</v>
      </c>
      <c r="C31" s="357"/>
      <c r="D31" s="357"/>
      <c r="E31" s="357"/>
      <c r="F31" s="50">
        <v>2E-3</v>
      </c>
      <c r="G31" s="63">
        <f t="shared" si="1"/>
        <v>5.34</v>
      </c>
      <c r="H31" s="122"/>
    </row>
    <row r="32" spans="1:8">
      <c r="A32" s="49" t="s">
        <v>145</v>
      </c>
      <c r="B32" s="56" t="s">
        <v>146</v>
      </c>
      <c r="C32" s="77">
        <f>Licitante!B19</f>
        <v>0.03</v>
      </c>
      <c r="D32" s="78" t="s">
        <v>147</v>
      </c>
      <c r="E32" s="79">
        <f>Licitante!F19</f>
        <v>1</v>
      </c>
      <c r="F32" s="50">
        <f>C32*E32</f>
        <v>0.03</v>
      </c>
      <c r="G32" s="63">
        <f t="shared" si="1"/>
        <v>80.150000000000006</v>
      </c>
      <c r="H32" s="122"/>
    </row>
    <row r="33" spans="1:11" ht="14.65" customHeight="1">
      <c r="A33" s="49" t="s">
        <v>148</v>
      </c>
      <c r="B33" s="357" t="s">
        <v>149</v>
      </c>
      <c r="C33" s="357"/>
      <c r="D33" s="357"/>
      <c r="E33" s="357"/>
      <c r="F33" s="50">
        <v>0.08</v>
      </c>
      <c r="G33" s="63">
        <f t="shared" si="1"/>
        <v>213.73</v>
      </c>
      <c r="H33" s="122"/>
    </row>
    <row r="34" spans="1:11" ht="14.65" customHeight="1">
      <c r="A34" s="61"/>
      <c r="B34" s="462" t="s">
        <v>133</v>
      </c>
      <c r="C34" s="462"/>
      <c r="D34" s="462"/>
      <c r="E34" s="462"/>
      <c r="F34" s="87">
        <f>SUM(F26:F33)</f>
        <v>0.36800000000000005</v>
      </c>
      <c r="G34" s="88">
        <f t="shared" si="1"/>
        <v>983.17</v>
      </c>
      <c r="H34" s="131"/>
    </row>
    <row r="35" spans="1:11" ht="14.65" customHeight="1">
      <c r="A35" s="82" t="s">
        <v>150</v>
      </c>
      <c r="B35" s="463" t="s">
        <v>151</v>
      </c>
      <c r="C35" s="463"/>
      <c r="D35" s="463"/>
      <c r="E35" s="463"/>
      <c r="F35" s="463"/>
      <c r="G35" s="464"/>
    </row>
    <row r="36" spans="1:11">
      <c r="A36" s="83" t="s">
        <v>152</v>
      </c>
      <c r="B36" s="84" t="s">
        <v>320</v>
      </c>
      <c r="C36" s="85"/>
      <c r="D36" s="85"/>
      <c r="E36" s="85"/>
      <c r="F36" s="85"/>
      <c r="G36" s="86"/>
    </row>
    <row r="37" spans="1:11">
      <c r="A37" s="1"/>
      <c r="B37" s="1"/>
      <c r="C37" s="1"/>
      <c r="D37" s="1"/>
      <c r="E37" s="1"/>
      <c r="F37" s="1"/>
      <c r="G37" s="202"/>
    </row>
    <row r="38" spans="1:11" ht="14.65" customHeight="1">
      <c r="A38" s="467" t="s">
        <v>154</v>
      </c>
      <c r="B38" s="467"/>
      <c r="C38" s="467"/>
      <c r="D38" s="467"/>
      <c r="E38" s="467"/>
      <c r="F38" s="467"/>
      <c r="G38" s="467"/>
      <c r="H38" s="128"/>
      <c r="I38" s="128"/>
      <c r="J38" s="128"/>
      <c r="K38" s="128"/>
    </row>
    <row r="39" spans="1:11" ht="14.65" customHeight="1">
      <c r="A39" s="203" t="s">
        <v>155</v>
      </c>
      <c r="B39" s="471" t="s">
        <v>156</v>
      </c>
      <c r="C39" s="471"/>
      <c r="D39" s="471"/>
      <c r="E39" s="471"/>
      <c r="F39" s="471"/>
      <c r="G39" s="204" t="s">
        <v>123</v>
      </c>
      <c r="H39" s="128"/>
      <c r="I39" s="128"/>
      <c r="J39" s="128"/>
      <c r="K39" s="128"/>
    </row>
    <row r="40" spans="1:11" ht="14.65" customHeight="1">
      <c r="A40" s="207" t="s">
        <v>5</v>
      </c>
      <c r="B40" s="353" t="s">
        <v>157</v>
      </c>
      <c r="C40" s="353"/>
      <c r="D40" s="353"/>
      <c r="E40" s="353"/>
      <c r="F40" s="353"/>
      <c r="G40" s="208">
        <f>Licitante!I46</f>
        <v>93.490800000000007</v>
      </c>
      <c r="H40" s="147"/>
      <c r="I40" s="147"/>
      <c r="J40" s="147"/>
      <c r="K40" s="147"/>
    </row>
    <row r="41" spans="1:11" ht="14.65" customHeight="1">
      <c r="A41" s="207" t="s">
        <v>7</v>
      </c>
      <c r="B41" s="353" t="s">
        <v>158</v>
      </c>
      <c r="C41" s="353"/>
      <c r="D41" s="353"/>
      <c r="E41" s="353"/>
      <c r="F41" s="353"/>
      <c r="G41" s="208">
        <f>Licitante!$I$23</f>
        <v>572.04999999999995</v>
      </c>
      <c r="H41" s="125"/>
      <c r="I41" s="125"/>
      <c r="J41" s="125"/>
      <c r="K41" s="125"/>
    </row>
    <row r="42" spans="1:11" ht="14.65" customHeight="1">
      <c r="A42" s="207" t="s">
        <v>10</v>
      </c>
      <c r="B42" s="353" t="s">
        <v>159</v>
      </c>
      <c r="C42" s="353"/>
      <c r="D42" s="353"/>
      <c r="E42" s="353"/>
      <c r="F42" s="353"/>
      <c r="G42" s="208">
        <f>Licitante!$I$33</f>
        <v>0</v>
      </c>
      <c r="H42" s="125"/>
      <c r="I42" s="125"/>
      <c r="J42" s="125"/>
      <c r="K42" s="125"/>
    </row>
    <row r="43" spans="1:11" ht="14.65" customHeight="1">
      <c r="A43" s="207" t="s">
        <v>12</v>
      </c>
      <c r="B43" s="353" t="s">
        <v>160</v>
      </c>
      <c r="C43" s="353"/>
      <c r="D43" s="353"/>
      <c r="E43" s="353"/>
      <c r="F43" s="353"/>
      <c r="G43" s="208">
        <f>Licitante!$D$28</f>
        <v>10.72</v>
      </c>
      <c r="H43" s="125"/>
      <c r="I43" s="125"/>
      <c r="J43" s="125"/>
      <c r="K43" s="125"/>
    </row>
    <row r="44" spans="1:11" ht="14.65" customHeight="1">
      <c r="A44" s="207" t="s">
        <v>161</v>
      </c>
      <c r="B44" s="353" t="s">
        <v>28</v>
      </c>
      <c r="C44" s="353"/>
      <c r="D44" s="353"/>
      <c r="E44" s="353"/>
      <c r="F44" s="353"/>
      <c r="G44" s="208">
        <f>Licitante!$I$30</f>
        <v>4.6139000000000006E-2</v>
      </c>
      <c r="H44" s="125"/>
      <c r="I44" s="125"/>
      <c r="J44" s="125"/>
      <c r="K44" s="125"/>
    </row>
    <row r="45" spans="1:11" ht="14.65" customHeight="1">
      <c r="A45" s="207" t="s">
        <v>55</v>
      </c>
      <c r="B45" s="353" t="s">
        <v>162</v>
      </c>
      <c r="C45" s="353"/>
      <c r="D45" s="353"/>
      <c r="E45" s="353"/>
      <c r="F45" s="353"/>
      <c r="G45" s="208">
        <f>Licitante!$I$32</f>
        <v>161.0915</v>
      </c>
      <c r="H45" s="125"/>
      <c r="I45" s="125"/>
      <c r="J45" s="125"/>
      <c r="K45" s="125"/>
    </row>
    <row r="46" spans="1:11" ht="14.65" customHeight="1">
      <c r="A46" s="207"/>
      <c r="B46" s="471" t="s">
        <v>163</v>
      </c>
      <c r="C46" s="471"/>
      <c r="D46" s="471"/>
      <c r="E46" s="471"/>
      <c r="F46" s="471"/>
      <c r="G46" s="210">
        <f>ROUND(SUM(G40:G45),2)</f>
        <v>837.4</v>
      </c>
      <c r="H46" s="288"/>
      <c r="I46" s="125"/>
      <c r="J46" s="125"/>
      <c r="K46" s="125"/>
    </row>
    <row r="47" spans="1:11" ht="14.65" customHeight="1">
      <c r="B47" s="452"/>
      <c r="C47" s="452"/>
      <c r="D47" s="452"/>
      <c r="E47" s="452"/>
      <c r="F47" s="452"/>
      <c r="G47" s="452"/>
      <c r="I47" s="69"/>
      <c r="J47" s="69"/>
    </row>
    <row r="48" spans="1:11" ht="14.65" customHeight="1">
      <c r="A48" s="472" t="s">
        <v>164</v>
      </c>
      <c r="B48" s="473"/>
      <c r="C48" s="473"/>
      <c r="D48" s="473"/>
      <c r="E48" s="473"/>
      <c r="F48" s="473"/>
      <c r="G48" s="473"/>
      <c r="H48" s="116"/>
      <c r="I48" s="289"/>
      <c r="J48" s="127"/>
      <c r="K48" s="127"/>
    </row>
    <row r="49" spans="1:11" ht="14.65" customHeight="1">
      <c r="A49" s="470" t="s">
        <v>5</v>
      </c>
      <c r="B49" s="357" t="s">
        <v>165</v>
      </c>
      <c r="C49" s="357"/>
      <c r="D49" s="357"/>
      <c r="E49" s="96" t="s">
        <v>166</v>
      </c>
      <c r="F49" s="468">
        <f>E50/30/12*D50</f>
        <v>4.1666666666666666E-3</v>
      </c>
      <c r="G49" s="469">
        <f>ROUND($F$49*($G$15+($G15*0.121)+$G$20),2)</f>
        <v>12.04</v>
      </c>
      <c r="H49" s="122"/>
      <c r="I49" s="69"/>
      <c r="J49" s="69"/>
      <c r="K49" s="69"/>
    </row>
    <row r="50" spans="1:11" ht="14.65" customHeight="1">
      <c r="A50" s="470"/>
      <c r="B50" s="357" t="s">
        <v>167</v>
      </c>
      <c r="C50" s="357"/>
      <c r="D50" s="77">
        <f>Licitante!E53</f>
        <v>0.05</v>
      </c>
      <c r="E50" s="155">
        <v>30</v>
      </c>
      <c r="F50" s="468"/>
      <c r="G50" s="469"/>
      <c r="H50" s="122"/>
      <c r="I50" s="69"/>
      <c r="J50" s="69"/>
      <c r="K50" s="69"/>
    </row>
    <row r="51" spans="1:11" ht="18.75" customHeight="1">
      <c r="A51" s="49" t="s">
        <v>7</v>
      </c>
      <c r="B51" s="357" t="s">
        <v>168</v>
      </c>
      <c r="C51" s="357"/>
      <c r="D51" s="357"/>
      <c r="E51" s="357"/>
      <c r="F51" s="52">
        <f>F49*F33</f>
        <v>3.3333333333333332E-4</v>
      </c>
      <c r="G51" s="63">
        <f>ROUND($G$49*0.08,2)</f>
        <v>0.96</v>
      </c>
      <c r="H51" s="122"/>
      <c r="I51" s="69"/>
      <c r="J51" s="69"/>
      <c r="K51" s="69"/>
    </row>
    <row r="52" spans="1:11" ht="14.65" customHeight="1">
      <c r="A52" s="441" t="s">
        <v>10</v>
      </c>
      <c r="B52" s="357" t="s">
        <v>332</v>
      </c>
      <c r="C52" s="357"/>
      <c r="D52" s="357"/>
      <c r="E52" s="357"/>
      <c r="F52" s="468">
        <f>7/30/E53*E54</f>
        <v>1.9444444444444445E-2</v>
      </c>
      <c r="G52" s="469">
        <f>ROUND($F$52*($G$15),2)</f>
        <v>46.65</v>
      </c>
      <c r="H52" s="122"/>
      <c r="I52" s="69"/>
      <c r="J52" s="69"/>
      <c r="K52" s="69"/>
    </row>
    <row r="53" spans="1:11" ht="14.65" customHeight="1">
      <c r="A53" s="442"/>
      <c r="B53" s="357" t="s">
        <v>167</v>
      </c>
      <c r="C53" s="357"/>
      <c r="D53" s="96" t="s">
        <v>169</v>
      </c>
      <c r="E53" s="80">
        <f>Licitante!F9</f>
        <v>12</v>
      </c>
      <c r="F53" s="468"/>
      <c r="G53" s="469"/>
      <c r="H53" s="122"/>
      <c r="I53" s="69"/>
      <c r="J53" s="69"/>
      <c r="K53" s="69"/>
    </row>
    <row r="54" spans="1:11" ht="17.25" customHeight="1">
      <c r="A54" s="443"/>
      <c r="B54" s="312" t="s">
        <v>170</v>
      </c>
      <c r="C54" s="474" t="s">
        <v>322</v>
      </c>
      <c r="D54" s="475"/>
      <c r="E54" s="77">
        <f>Licitante!E54</f>
        <v>1</v>
      </c>
      <c r="F54" s="468"/>
      <c r="G54" s="469"/>
      <c r="H54" s="122"/>
      <c r="I54" s="69"/>
      <c r="J54" s="69"/>
      <c r="K54" s="69"/>
    </row>
    <row r="55" spans="1:11" ht="28.5" customHeight="1">
      <c r="A55" s="49" t="s">
        <v>12</v>
      </c>
      <c r="B55" s="357" t="s">
        <v>321</v>
      </c>
      <c r="C55" s="357"/>
      <c r="D55" s="357"/>
      <c r="E55" s="357"/>
      <c r="F55" s="52">
        <f>F52*F34</f>
        <v>7.1555555555555565E-3</v>
      </c>
      <c r="G55" s="112">
        <f>ROUND(G52*F34,2)</f>
        <v>17.170000000000002</v>
      </c>
      <c r="H55" s="122"/>
      <c r="I55" s="69"/>
      <c r="J55" s="69"/>
      <c r="K55" s="69"/>
    </row>
    <row r="56" spans="1:11" ht="21" customHeight="1">
      <c r="A56" s="49" t="s">
        <v>55</v>
      </c>
      <c r="B56" s="357" t="s">
        <v>329</v>
      </c>
      <c r="C56" s="357"/>
      <c r="D56" s="357"/>
      <c r="E56" s="357"/>
      <c r="F56" s="52">
        <v>0.04</v>
      </c>
      <c r="G56" s="112">
        <f>$G$15*$F$56</f>
        <v>95.969200000000001</v>
      </c>
      <c r="H56" s="122"/>
      <c r="I56" s="69"/>
      <c r="J56" s="69"/>
      <c r="K56" s="69"/>
    </row>
    <row r="57" spans="1:11" ht="19.5" customHeight="1">
      <c r="A57" s="61"/>
      <c r="B57" s="444" t="s">
        <v>133</v>
      </c>
      <c r="C57" s="445"/>
      <c r="D57" s="445"/>
      <c r="E57" s="445"/>
      <c r="F57" s="446"/>
      <c r="G57" s="88">
        <f>ROUND(SUM(G49:G56),2)</f>
        <v>172.79</v>
      </c>
      <c r="H57" s="131"/>
      <c r="I57" s="132"/>
      <c r="J57" s="132"/>
      <c r="K57" s="132"/>
    </row>
    <row r="58" spans="1:11" ht="14.65" customHeight="1">
      <c r="A58" s="479" t="s">
        <v>323</v>
      </c>
      <c r="B58" s="480"/>
      <c r="C58" s="480"/>
      <c r="D58" s="480"/>
      <c r="E58" s="480"/>
      <c r="F58" s="480"/>
      <c r="G58" s="481"/>
      <c r="H58" s="57"/>
      <c r="I58" s="57"/>
      <c r="J58" s="57"/>
      <c r="K58" s="57"/>
    </row>
    <row r="59" spans="1:11" ht="14.65" customHeight="1">
      <c r="A59" s="482"/>
      <c r="B59" s="482"/>
      <c r="C59" s="482"/>
      <c r="D59" s="482"/>
      <c r="E59" s="482"/>
      <c r="F59" s="482"/>
      <c r="G59" s="482"/>
    </row>
    <row r="60" spans="1:11" ht="14.65" customHeight="1">
      <c r="A60" s="483" t="s">
        <v>174</v>
      </c>
      <c r="B60" s="484"/>
      <c r="C60" s="484"/>
      <c r="D60" s="484"/>
      <c r="E60" s="484"/>
      <c r="F60" s="484"/>
      <c r="G60" s="485"/>
      <c r="H60" s="127"/>
      <c r="I60" s="127"/>
      <c r="J60" s="127"/>
      <c r="K60" s="127"/>
    </row>
    <row r="61" spans="1:11" ht="33" customHeight="1">
      <c r="A61" s="492" t="s">
        <v>324</v>
      </c>
      <c r="B61" s="493"/>
      <c r="C61" s="493"/>
      <c r="D61" s="493"/>
      <c r="E61" s="493"/>
      <c r="F61" s="493"/>
      <c r="G61" s="494"/>
      <c r="H61" s="127"/>
      <c r="I61" s="127"/>
      <c r="J61" s="127"/>
      <c r="K61" s="127"/>
    </row>
    <row r="62" spans="1:11" ht="42" customHeight="1">
      <c r="A62" s="492" t="s">
        <v>330</v>
      </c>
      <c r="B62" s="493"/>
      <c r="C62" s="493"/>
      <c r="D62" s="493"/>
      <c r="E62" s="493"/>
      <c r="F62" s="493"/>
      <c r="G62" s="494"/>
      <c r="H62" s="127"/>
      <c r="I62" s="127"/>
      <c r="J62" s="127"/>
      <c r="K62" s="127"/>
    </row>
    <row r="63" spans="1:11" ht="42" customHeight="1">
      <c r="A63" s="495" t="s">
        <v>326</v>
      </c>
      <c r="B63" s="496"/>
      <c r="C63" s="495" t="s">
        <v>331</v>
      </c>
      <c r="D63" s="496"/>
      <c r="E63" s="495" t="s">
        <v>327</v>
      </c>
      <c r="F63" s="496"/>
      <c r="G63" s="286" t="s">
        <v>325</v>
      </c>
      <c r="H63" s="127"/>
      <c r="I63" s="127"/>
      <c r="J63" s="127"/>
      <c r="K63" s="127"/>
    </row>
    <row r="64" spans="1:11" ht="26.25" customHeight="1">
      <c r="A64" s="497">
        <f>G15</f>
        <v>2399.23</v>
      </c>
      <c r="B64" s="498"/>
      <c r="C64" s="497">
        <f>G22+G34+G46-G40-G41+G67</f>
        <v>1725.3092000000001</v>
      </c>
      <c r="D64" s="498"/>
      <c r="E64" s="497">
        <f>G57</f>
        <v>172.79</v>
      </c>
      <c r="F64" s="498"/>
      <c r="G64" s="287">
        <f>A64+C64+E64</f>
        <v>4297.3292000000001</v>
      </c>
      <c r="H64" s="127"/>
      <c r="I64" s="127"/>
      <c r="J64" s="127"/>
      <c r="K64" s="127"/>
    </row>
    <row r="65" spans="1:11" ht="14.65" customHeight="1">
      <c r="A65" s="486" t="s">
        <v>175</v>
      </c>
      <c r="B65" s="487"/>
      <c r="C65" s="487"/>
      <c r="D65" s="487"/>
      <c r="E65" s="487"/>
      <c r="F65" s="487"/>
      <c r="G65" s="488"/>
      <c r="H65" s="128"/>
      <c r="I65" s="128"/>
      <c r="J65" s="128"/>
      <c r="K65" s="128"/>
    </row>
    <row r="66" spans="1:11" ht="14.65" customHeight="1">
      <c r="A66" s="476" t="s">
        <v>176</v>
      </c>
      <c r="B66" s="477"/>
      <c r="C66" s="477"/>
      <c r="D66" s="477"/>
      <c r="E66" s="477"/>
      <c r="F66" s="478"/>
      <c r="G66" s="204" t="s">
        <v>138</v>
      </c>
      <c r="H66" s="121"/>
      <c r="I66" s="121"/>
      <c r="J66" s="121"/>
      <c r="K66" s="121"/>
    </row>
    <row r="67" spans="1:11" ht="15" customHeight="1">
      <c r="A67" s="49" t="s">
        <v>5</v>
      </c>
      <c r="B67" s="489" t="s">
        <v>177</v>
      </c>
      <c r="C67" s="490"/>
      <c r="D67" s="490"/>
      <c r="E67" s="491"/>
      <c r="F67" s="283">
        <v>9.0749999999999997E-2</v>
      </c>
      <c r="G67" s="208">
        <f>ROUND(F67*A64+(F67*A64)*0.368,2)</f>
        <v>297.85000000000002</v>
      </c>
      <c r="I67" s="125"/>
      <c r="J67" s="125"/>
      <c r="K67" s="125"/>
    </row>
    <row r="68" spans="1:11" ht="14.65" customHeight="1">
      <c r="A68" s="49" t="s">
        <v>7</v>
      </c>
      <c r="B68" s="357" t="s">
        <v>178</v>
      </c>
      <c r="C68" s="357"/>
      <c r="D68" s="357"/>
      <c r="E68" s="357"/>
      <c r="F68" s="52">
        <f>Licitante!G59</f>
        <v>2.7378507871321013E-3</v>
      </c>
      <c r="G68" s="208">
        <f>F68*G64</f>
        <v>11.765446132785764</v>
      </c>
      <c r="I68" s="125"/>
      <c r="J68" s="125"/>
      <c r="K68" s="125"/>
    </row>
    <row r="69" spans="1:11" ht="14.65" customHeight="1">
      <c r="A69" s="49" t="s">
        <v>10</v>
      </c>
      <c r="B69" s="358" t="s">
        <v>179</v>
      </c>
      <c r="C69" s="447"/>
      <c r="D69" s="447"/>
      <c r="E69" s="448"/>
      <c r="F69" s="52">
        <f>Licitante!G60</f>
        <v>2.0533880903490757E-4</v>
      </c>
      <c r="G69" s="208">
        <f>F69*G64</f>
        <v>0.88240845995893213</v>
      </c>
      <c r="I69" s="125"/>
      <c r="J69" s="125"/>
      <c r="K69" s="125"/>
    </row>
    <row r="70" spans="1:11" ht="14.65" customHeight="1">
      <c r="A70" s="49" t="s">
        <v>12</v>
      </c>
      <c r="B70" s="502" t="s">
        <v>180</v>
      </c>
      <c r="C70" s="503"/>
      <c r="D70" s="503"/>
      <c r="E70" s="504"/>
      <c r="F70" s="91">
        <f>Licitante!G61</f>
        <v>3.2032854209445585E-4</v>
      </c>
      <c r="G70" s="208">
        <f>F70*G64</f>
        <v>1.3765571975359343</v>
      </c>
      <c r="I70" s="125"/>
      <c r="J70" s="125"/>
      <c r="K70" s="125"/>
    </row>
    <row r="71" spans="1:11" ht="14.65" customHeight="1">
      <c r="A71" s="49" t="s">
        <v>55</v>
      </c>
      <c r="B71" s="358" t="s">
        <v>181</v>
      </c>
      <c r="C71" s="447"/>
      <c r="D71" s="447"/>
      <c r="E71" s="448"/>
      <c r="F71" s="90">
        <f>Licitante!G62</f>
        <v>6.570841889117043E-3</v>
      </c>
      <c r="G71" s="208">
        <f>((A64*0.121+F34*(A64*0.121))*F71)+(((G34-A64*(F34-F33)+G46-G40-G41+G57))*F71)</f>
        <v>6.7941237187022576</v>
      </c>
      <c r="I71" s="125"/>
      <c r="J71" s="125"/>
      <c r="K71" s="125"/>
    </row>
    <row r="72" spans="1:11" ht="14.65" customHeight="1">
      <c r="A72" s="49" t="s">
        <v>57</v>
      </c>
      <c r="B72" s="358" t="s">
        <v>182</v>
      </c>
      <c r="C72" s="447"/>
      <c r="D72" s="447"/>
      <c r="E72" s="448"/>
      <c r="F72" s="90">
        <f>Licitante!G63</f>
        <v>8.2135523613963042E-3</v>
      </c>
      <c r="G72" s="208">
        <f>ROUND(((G64-A64*(F34-F33))*F72),2)</f>
        <v>29.62</v>
      </c>
      <c r="I72" s="125"/>
      <c r="J72" s="125"/>
      <c r="K72" s="125"/>
    </row>
    <row r="73" spans="1:11" ht="14.65" customHeight="1">
      <c r="A73" s="49" t="s">
        <v>145</v>
      </c>
      <c r="B73" s="505" t="s">
        <v>183</v>
      </c>
      <c r="C73" s="506"/>
      <c r="D73" s="506"/>
      <c r="E73" s="507"/>
      <c r="F73" s="52">
        <f>Licitante!G64</f>
        <v>0</v>
      </c>
      <c r="G73" s="208">
        <f>ROUND($F$73*($G$15+$G$22+$G$34+G$46-G$40-G$41+G$82+G$57),2)</f>
        <v>0</v>
      </c>
      <c r="I73" s="125"/>
      <c r="J73" s="125"/>
      <c r="K73" s="125"/>
    </row>
    <row r="74" spans="1:11" ht="14.65" customHeight="1">
      <c r="A74" s="470" t="s">
        <v>133</v>
      </c>
      <c r="B74" s="470"/>
      <c r="C74" s="470"/>
      <c r="D74" s="470"/>
      <c r="E74" s="470"/>
      <c r="F74" s="470"/>
      <c r="G74" s="213">
        <f>ROUND(SUM(G67:G73),2)</f>
        <v>348.29</v>
      </c>
      <c r="I74" s="129"/>
      <c r="J74" s="129"/>
      <c r="K74" s="129"/>
    </row>
    <row r="75" spans="1:11" ht="14.65" customHeight="1">
      <c r="A75" s="403"/>
      <c r="B75" s="403"/>
      <c r="C75" s="403"/>
      <c r="D75" s="403"/>
      <c r="E75" s="403"/>
      <c r="F75" s="403"/>
      <c r="G75" s="403"/>
    </row>
    <row r="76" spans="1:11" ht="14.65" customHeight="1">
      <c r="A76" s="349" t="s">
        <v>184</v>
      </c>
      <c r="B76" s="349"/>
      <c r="C76" s="349"/>
      <c r="D76" s="349"/>
      <c r="E76" s="349"/>
      <c r="F76" s="349"/>
      <c r="G76" s="349"/>
      <c r="H76" s="349"/>
      <c r="I76" s="127"/>
      <c r="J76" s="127"/>
      <c r="K76" s="127"/>
    </row>
    <row r="77" spans="1:11" ht="14.65" customHeight="1">
      <c r="A77" s="214"/>
      <c r="B77" s="499" t="s">
        <v>185</v>
      </c>
      <c r="C77" s="499"/>
      <c r="D77" s="499"/>
      <c r="E77" s="499"/>
      <c r="F77" s="499"/>
      <c r="G77" s="211" t="s">
        <v>123</v>
      </c>
      <c r="H77" s="215" t="s">
        <v>123</v>
      </c>
      <c r="I77" s="121"/>
      <c r="J77" s="121"/>
      <c r="K77" s="121"/>
    </row>
    <row r="78" spans="1:11" ht="14.65" customHeight="1">
      <c r="A78" s="500" t="s">
        <v>280</v>
      </c>
      <c r="B78" s="500"/>
      <c r="C78" s="500"/>
      <c r="D78" s="500"/>
      <c r="E78" s="500"/>
      <c r="F78" s="500"/>
      <c r="G78" s="212" t="s">
        <v>310</v>
      </c>
      <c r="H78" s="206" t="s">
        <v>311</v>
      </c>
      <c r="I78" s="121"/>
      <c r="J78" s="121"/>
      <c r="K78" s="121"/>
    </row>
    <row r="79" spans="1:11" ht="14.65" customHeight="1">
      <c r="A79" s="89" t="s">
        <v>5</v>
      </c>
      <c r="B79" s="357" t="s">
        <v>186</v>
      </c>
      <c r="C79" s="357"/>
      <c r="D79" s="357"/>
      <c r="E79" s="357"/>
      <c r="F79" s="357"/>
      <c r="G79" s="63">
        <f>Licitante!$H$78</f>
        <v>104.10683333333333</v>
      </c>
      <c r="H79" s="216">
        <f>Licitante!H78</f>
        <v>104.10683333333333</v>
      </c>
      <c r="I79" s="69"/>
      <c r="J79" s="69"/>
      <c r="K79" s="69"/>
    </row>
    <row r="80" spans="1:11" ht="14.65" customHeight="1">
      <c r="A80" s="89" t="s">
        <v>7</v>
      </c>
      <c r="B80" s="357" t="s">
        <v>187</v>
      </c>
      <c r="C80" s="357"/>
      <c r="D80" s="357"/>
      <c r="E80" s="357"/>
      <c r="F80" s="357"/>
      <c r="G80" s="63">
        <f>Licitante!F114</f>
        <v>117.23425</v>
      </c>
      <c r="H80" s="216">
        <f>Licitante!F113</f>
        <v>68.106999999999999</v>
      </c>
      <c r="I80" s="69"/>
      <c r="J80" s="69"/>
      <c r="K80" s="69"/>
    </row>
    <row r="81" spans="1:11" ht="14.65" customHeight="1">
      <c r="A81" s="89" t="s">
        <v>10</v>
      </c>
      <c r="B81" s="501" t="str">
        <f>Licitante!A77</f>
        <v>Outros (especificar)</v>
      </c>
      <c r="C81" s="501"/>
      <c r="D81" s="501"/>
      <c r="E81" s="501"/>
      <c r="F81" s="501"/>
      <c r="G81" s="220">
        <f>Licitante!H77</f>
        <v>0</v>
      </c>
      <c r="H81" s="221">
        <f>Licitante!Q77</f>
        <v>0</v>
      </c>
      <c r="I81" s="123"/>
      <c r="J81" s="123"/>
      <c r="K81" s="123"/>
    </row>
    <row r="82" spans="1:11" ht="14.65" customHeight="1">
      <c r="A82" s="269"/>
      <c r="B82" s="510" t="s">
        <v>188</v>
      </c>
      <c r="C82" s="510"/>
      <c r="D82" s="510"/>
      <c r="E82" s="510"/>
      <c r="F82" s="444"/>
      <c r="G82" s="222">
        <f>G79+G80+G81</f>
        <v>221.34108333333333</v>
      </c>
      <c r="H82" s="222">
        <f>H79+H80+H81</f>
        <v>172.21383333333333</v>
      </c>
      <c r="I82" s="69"/>
      <c r="J82" s="69"/>
      <c r="K82" s="69"/>
    </row>
    <row r="83" spans="1:11" ht="14.65" customHeight="1">
      <c r="A83" s="20" t="s">
        <v>189</v>
      </c>
      <c r="B83" s="503" t="s">
        <v>190</v>
      </c>
      <c r="C83" s="503"/>
      <c r="D83" s="503"/>
      <c r="E83" s="503"/>
      <c r="F83" s="503"/>
      <c r="G83" s="503"/>
      <c r="H83" s="503"/>
      <c r="I83" s="69"/>
      <c r="J83" s="69"/>
      <c r="K83" s="69"/>
    </row>
    <row r="84" spans="1:11" ht="14.65" customHeight="1">
      <c r="A84" s="511"/>
      <c r="B84" s="511"/>
      <c r="C84" s="511"/>
      <c r="D84" s="511"/>
      <c r="E84" s="511"/>
      <c r="F84" s="511"/>
      <c r="G84" s="511"/>
      <c r="H84" s="511"/>
      <c r="I84" s="511"/>
      <c r="J84" s="511"/>
      <c r="K84" s="511"/>
    </row>
    <row r="85" spans="1:11" ht="14.65" customHeight="1">
      <c r="A85" s="483" t="s">
        <v>191</v>
      </c>
      <c r="B85" s="484"/>
      <c r="C85" s="484"/>
      <c r="D85" s="484"/>
      <c r="E85" s="484"/>
      <c r="F85" s="484"/>
      <c r="G85" s="484"/>
      <c r="H85" s="485"/>
      <c r="I85" s="127"/>
      <c r="J85" s="127"/>
      <c r="K85" s="127"/>
    </row>
    <row r="86" spans="1:11" ht="14.65" customHeight="1">
      <c r="A86" s="500" t="s">
        <v>280</v>
      </c>
      <c r="B86" s="500"/>
      <c r="C86" s="500"/>
      <c r="D86" s="500"/>
      <c r="E86" s="500"/>
      <c r="F86" s="500"/>
      <c r="G86" s="212" t="s">
        <v>310</v>
      </c>
      <c r="H86" s="206" t="s">
        <v>311</v>
      </c>
      <c r="I86" s="127"/>
      <c r="J86" s="127"/>
      <c r="K86" s="127"/>
    </row>
    <row r="87" spans="1:11" ht="14.65" customHeight="1">
      <c r="A87" s="92" t="s">
        <v>5</v>
      </c>
      <c r="B87" s="508" t="s">
        <v>121</v>
      </c>
      <c r="C87" s="508"/>
      <c r="D87" s="508"/>
      <c r="E87" s="508"/>
      <c r="F87" s="508"/>
      <c r="G87" s="217">
        <f>G15</f>
        <v>2399.23</v>
      </c>
      <c r="H87" s="219">
        <f>G15</f>
        <v>2399.23</v>
      </c>
      <c r="I87" s="118"/>
      <c r="J87" s="118"/>
      <c r="K87" s="118"/>
    </row>
    <row r="88" spans="1:11" ht="14.65" customHeight="1">
      <c r="A88" s="92" t="s">
        <v>7</v>
      </c>
      <c r="B88" s="508" t="s">
        <v>128</v>
      </c>
      <c r="C88" s="508"/>
      <c r="D88" s="508"/>
      <c r="E88" s="508"/>
      <c r="F88" s="508"/>
      <c r="G88" s="217">
        <f>$G$22+$G$34+G46</f>
        <v>2093</v>
      </c>
      <c r="H88" s="219">
        <f>$G$22+$G$34+G46</f>
        <v>2093</v>
      </c>
      <c r="I88" s="118"/>
      <c r="J88" s="118"/>
      <c r="K88" s="118"/>
    </row>
    <row r="89" spans="1:11" ht="14.65" customHeight="1">
      <c r="A89" s="92" t="s">
        <v>10</v>
      </c>
      <c r="B89" s="508" t="s">
        <v>164</v>
      </c>
      <c r="C89" s="508"/>
      <c r="D89" s="508"/>
      <c r="E89" s="508"/>
      <c r="F89" s="508"/>
      <c r="G89" s="217">
        <f>G57</f>
        <v>172.79</v>
      </c>
      <c r="H89" s="219">
        <f>G57</f>
        <v>172.79</v>
      </c>
      <c r="I89" s="118"/>
      <c r="J89" s="118"/>
      <c r="K89" s="118"/>
    </row>
    <row r="90" spans="1:11" ht="14.65" customHeight="1">
      <c r="A90" s="92" t="s">
        <v>12</v>
      </c>
      <c r="B90" s="508" t="s">
        <v>174</v>
      </c>
      <c r="C90" s="508"/>
      <c r="D90" s="508"/>
      <c r="E90" s="508"/>
      <c r="F90" s="508"/>
      <c r="G90" s="217">
        <f>G74</f>
        <v>348.29</v>
      </c>
      <c r="H90" s="219">
        <f>G74</f>
        <v>348.29</v>
      </c>
      <c r="I90" s="118"/>
      <c r="J90" s="118"/>
      <c r="K90" s="118"/>
    </row>
    <row r="91" spans="1:11" ht="14.65" customHeight="1">
      <c r="A91" s="92" t="s">
        <v>55</v>
      </c>
      <c r="B91" s="508" t="s">
        <v>184</v>
      </c>
      <c r="C91" s="508"/>
      <c r="D91" s="508"/>
      <c r="E91" s="508"/>
      <c r="F91" s="508"/>
      <c r="G91" s="217">
        <f>G82</f>
        <v>221.34108333333333</v>
      </c>
      <c r="H91" s="219">
        <f>H82</f>
        <v>172.21383333333333</v>
      </c>
      <c r="I91" s="118"/>
      <c r="J91" s="118"/>
      <c r="K91" s="118"/>
    </row>
    <row r="92" spans="1:11">
      <c r="A92" s="509" t="s">
        <v>133</v>
      </c>
      <c r="B92" s="509"/>
      <c r="C92" s="509"/>
      <c r="D92" s="509"/>
      <c r="E92" s="509"/>
      <c r="F92" s="509"/>
      <c r="G92" s="218">
        <f>SUM(G87:G91)</f>
        <v>5234.6510833333332</v>
      </c>
      <c r="H92" s="218">
        <f>SUM(H87:H91)</f>
        <v>5185.5238333333327</v>
      </c>
      <c r="I92" s="119"/>
      <c r="J92" s="119"/>
      <c r="K92" s="119"/>
    </row>
    <row r="93" spans="1:11" ht="14.65" customHeight="1">
      <c r="A93" s="223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ht="14.65" customHeight="1">
      <c r="A94" s="349" t="s">
        <v>192</v>
      </c>
      <c r="B94" s="349"/>
      <c r="C94" s="349"/>
      <c r="D94" s="349"/>
      <c r="E94" s="349"/>
      <c r="F94" s="349"/>
      <c r="G94" s="349"/>
      <c r="H94" s="349"/>
      <c r="I94" s="127"/>
      <c r="J94" s="127"/>
      <c r="K94" s="127"/>
    </row>
    <row r="95" spans="1:11">
      <c r="A95" s="203"/>
      <c r="B95" s="471" t="s">
        <v>193</v>
      </c>
      <c r="C95" s="471"/>
      <c r="D95" s="471"/>
      <c r="E95" s="471"/>
      <c r="F95" s="203" t="s">
        <v>194</v>
      </c>
      <c r="G95" s="203" t="s">
        <v>123</v>
      </c>
      <c r="H95" s="203" t="s">
        <v>123</v>
      </c>
      <c r="I95" s="117"/>
      <c r="J95" s="117"/>
      <c r="K95" s="117"/>
    </row>
    <row r="96" spans="1:11">
      <c r="A96" s="500" t="s">
        <v>280</v>
      </c>
      <c r="B96" s="500"/>
      <c r="C96" s="500"/>
      <c r="D96" s="500"/>
      <c r="E96" s="500"/>
      <c r="F96" s="500"/>
      <c r="G96" s="212" t="s">
        <v>310</v>
      </c>
      <c r="H96" s="206" t="s">
        <v>311</v>
      </c>
      <c r="I96" s="117"/>
      <c r="J96" s="117"/>
      <c r="K96" s="117"/>
    </row>
    <row r="97" spans="1:11" ht="14.65" customHeight="1">
      <c r="A97" s="49" t="s">
        <v>5</v>
      </c>
      <c r="B97" s="357" t="s">
        <v>195</v>
      </c>
      <c r="C97" s="357"/>
      <c r="D97" s="357"/>
      <c r="E97" s="357"/>
      <c r="F97" s="59">
        <f>Licitante!D119</f>
        <v>0.06</v>
      </c>
      <c r="G97" s="73">
        <f>ROUND(G92*$F$97,2)</f>
        <v>314.08</v>
      </c>
      <c r="H97" s="208">
        <f>ROUND(H92*$F$97,2)</f>
        <v>311.13</v>
      </c>
      <c r="I97" s="125"/>
      <c r="J97" s="125"/>
      <c r="K97" s="125"/>
    </row>
    <row r="98" spans="1:11" ht="14.65" customHeight="1">
      <c r="A98" s="49" t="s">
        <v>7</v>
      </c>
      <c r="B98" s="357" t="s">
        <v>90</v>
      </c>
      <c r="C98" s="357"/>
      <c r="D98" s="357"/>
      <c r="E98" s="357"/>
      <c r="F98" s="59">
        <f>Licitante!D120</f>
        <v>6.7900000000000002E-2</v>
      </c>
      <c r="G98" s="98">
        <f>ROUND((G92+G97)*$F$98,2)</f>
        <v>376.76</v>
      </c>
      <c r="H98" s="208">
        <f>ROUND((H92+H97)*$F$98,2)</f>
        <v>373.22</v>
      </c>
      <c r="I98" s="125"/>
      <c r="J98" s="125"/>
      <c r="K98" s="125"/>
    </row>
    <row r="99" spans="1:11">
      <c r="A99" s="470" t="s">
        <v>10</v>
      </c>
      <c r="B99" s="357" t="s">
        <v>99</v>
      </c>
      <c r="C99" s="357"/>
      <c r="D99" s="357"/>
      <c r="E99" s="357"/>
      <c r="F99" s="516">
        <f>SUM(E100:E102)</f>
        <v>8.6499999999999994E-2</v>
      </c>
      <c r="G99" s="512">
        <f>((G92+G97+G98)/(1-$F$99))*$F$99</f>
        <v>561.08919398832325</v>
      </c>
      <c r="H99" s="515">
        <f>((H92+H97+H98)/(1-$F$99))*$F$99</f>
        <v>555.82275488049618</v>
      </c>
      <c r="I99" s="125"/>
      <c r="J99" s="125"/>
      <c r="K99" s="125"/>
    </row>
    <row r="100" spans="1:11">
      <c r="A100" s="470"/>
      <c r="B100" s="357" t="s">
        <v>196</v>
      </c>
      <c r="C100" s="357"/>
      <c r="D100" s="10" t="s">
        <v>197</v>
      </c>
      <c r="E100" s="60">
        <f>Licitante!D123</f>
        <v>6.4999999999999997E-3</v>
      </c>
      <c r="F100" s="516"/>
      <c r="G100" s="513"/>
      <c r="H100" s="515"/>
      <c r="I100" s="125"/>
      <c r="J100" s="125"/>
      <c r="K100" s="125"/>
    </row>
    <row r="101" spans="1:11">
      <c r="A101" s="470"/>
      <c r="B101" s="357"/>
      <c r="C101" s="357"/>
      <c r="D101" s="10" t="s">
        <v>198</v>
      </c>
      <c r="E101" s="60">
        <f>Licitante!D124</f>
        <v>0.03</v>
      </c>
      <c r="F101" s="516"/>
      <c r="G101" s="513"/>
      <c r="H101" s="515"/>
      <c r="I101" s="125"/>
      <c r="J101" s="125"/>
      <c r="K101" s="125"/>
    </row>
    <row r="102" spans="1:11">
      <c r="A102" s="470"/>
      <c r="B102" s="357" t="s">
        <v>199</v>
      </c>
      <c r="C102" s="357"/>
      <c r="D102" s="10" t="s">
        <v>200</v>
      </c>
      <c r="E102" s="93">
        <f>Licitante!D125</f>
        <v>0.05</v>
      </c>
      <c r="F102" s="516"/>
      <c r="G102" s="514"/>
      <c r="H102" s="515"/>
      <c r="I102" s="125"/>
      <c r="J102" s="125"/>
      <c r="K102" s="125"/>
    </row>
    <row r="103" spans="1:11">
      <c r="A103" s="49"/>
      <c r="B103" s="460" t="s">
        <v>133</v>
      </c>
      <c r="C103" s="460"/>
      <c r="D103" s="460"/>
      <c r="E103" s="460"/>
      <c r="F103" s="460"/>
      <c r="G103" s="95">
        <f>ROUND(G97+G98+G99,2)</f>
        <v>1251.93</v>
      </c>
      <c r="H103" s="213">
        <f>ROUND(H97+H98+H99,2)</f>
        <v>1240.17</v>
      </c>
      <c r="I103" s="129"/>
      <c r="J103" s="129"/>
      <c r="K103" s="129"/>
    </row>
    <row r="104" spans="1:11">
      <c r="A104" s="403"/>
      <c r="B104" s="403"/>
      <c r="C104" s="403"/>
      <c r="D104" s="403"/>
      <c r="E104" s="403"/>
      <c r="F104" s="403"/>
      <c r="G104" s="403"/>
    </row>
    <row r="105" spans="1:11">
      <c r="A105" s="349" t="s">
        <v>201</v>
      </c>
      <c r="B105" s="349"/>
      <c r="C105" s="349"/>
      <c r="D105" s="349"/>
      <c r="E105" s="349"/>
      <c r="F105" s="349"/>
      <c r="G105" s="349"/>
      <c r="H105" s="349"/>
      <c r="I105" s="127"/>
      <c r="J105" s="127"/>
      <c r="K105" s="127"/>
    </row>
    <row r="106" spans="1:11">
      <c r="A106" s="471" t="s">
        <v>202</v>
      </c>
      <c r="B106" s="471"/>
      <c r="C106" s="471"/>
      <c r="D106" s="471"/>
      <c r="E106" s="471"/>
      <c r="F106" s="471"/>
      <c r="G106" s="204" t="s">
        <v>203</v>
      </c>
      <c r="H106" s="204" t="s">
        <v>203</v>
      </c>
      <c r="I106" s="121"/>
      <c r="J106" s="121"/>
      <c r="K106" s="121"/>
    </row>
    <row r="107" spans="1:11">
      <c r="A107" s="207" t="s">
        <v>5</v>
      </c>
      <c r="B107" s="517" t="s">
        <v>121</v>
      </c>
      <c r="C107" s="517"/>
      <c r="D107" s="517"/>
      <c r="E107" s="517"/>
      <c r="F107" s="517"/>
      <c r="G107" s="225">
        <f>G15</f>
        <v>2399.23</v>
      </c>
      <c r="H107" s="225">
        <f>G15</f>
        <v>2399.23</v>
      </c>
      <c r="I107" s="138"/>
      <c r="J107" s="138"/>
      <c r="K107" s="143"/>
    </row>
    <row r="108" spans="1:11">
      <c r="A108" s="207" t="s">
        <v>7</v>
      </c>
      <c r="B108" s="517" t="s">
        <v>128</v>
      </c>
      <c r="C108" s="517"/>
      <c r="D108" s="517"/>
      <c r="E108" s="517"/>
      <c r="F108" s="517"/>
      <c r="G108" s="225">
        <f>G88</f>
        <v>2093</v>
      </c>
      <c r="H108" s="225">
        <f>H88</f>
        <v>2093</v>
      </c>
      <c r="I108" s="138"/>
      <c r="J108" s="138"/>
      <c r="K108" s="143"/>
    </row>
    <row r="109" spans="1:11">
      <c r="A109" s="207" t="s">
        <v>10</v>
      </c>
      <c r="B109" s="517" t="s">
        <v>164</v>
      </c>
      <c r="C109" s="517"/>
      <c r="D109" s="517"/>
      <c r="E109" s="517"/>
      <c r="F109" s="517"/>
      <c r="G109" s="225">
        <f t="shared" ref="G109:H111" si="2">G89</f>
        <v>172.79</v>
      </c>
      <c r="H109" s="225">
        <f t="shared" si="2"/>
        <v>172.79</v>
      </c>
      <c r="I109" s="138"/>
      <c r="J109" s="138"/>
      <c r="K109" s="143"/>
    </row>
    <row r="110" spans="1:11">
      <c r="A110" s="207" t="s">
        <v>12</v>
      </c>
      <c r="B110" s="517" t="s">
        <v>174</v>
      </c>
      <c r="C110" s="517"/>
      <c r="D110" s="517"/>
      <c r="E110" s="517"/>
      <c r="F110" s="517"/>
      <c r="G110" s="225">
        <f t="shared" si="2"/>
        <v>348.29</v>
      </c>
      <c r="H110" s="225">
        <f t="shared" si="2"/>
        <v>348.29</v>
      </c>
      <c r="I110" s="138"/>
      <c r="J110" s="138"/>
      <c r="K110" s="143"/>
    </row>
    <row r="111" spans="1:11">
      <c r="A111" s="207"/>
      <c r="B111" s="517" t="s">
        <v>184</v>
      </c>
      <c r="C111" s="517"/>
      <c r="D111" s="517"/>
      <c r="E111" s="517"/>
      <c r="F111" s="517"/>
      <c r="G111" s="225">
        <f t="shared" si="2"/>
        <v>221.34108333333333</v>
      </c>
      <c r="H111" s="225">
        <f t="shared" si="2"/>
        <v>172.21383333333333</v>
      </c>
      <c r="I111" s="138"/>
      <c r="J111" s="138"/>
      <c r="K111" s="143"/>
    </row>
    <row r="112" spans="1:11">
      <c r="A112" s="207" t="s">
        <v>55</v>
      </c>
      <c r="B112" s="517" t="s">
        <v>204</v>
      </c>
      <c r="C112" s="517"/>
      <c r="D112" s="517"/>
      <c r="E112" s="517"/>
      <c r="F112" s="517"/>
      <c r="G112" s="225">
        <f>G103</f>
        <v>1251.93</v>
      </c>
      <c r="H112" s="225">
        <f>H103</f>
        <v>1240.17</v>
      </c>
      <c r="I112" s="138"/>
      <c r="J112" s="138"/>
      <c r="K112" s="143"/>
    </row>
    <row r="113" spans="1:11">
      <c r="A113" s="207"/>
      <c r="B113" s="471" t="s">
        <v>205</v>
      </c>
      <c r="C113" s="471"/>
      <c r="D113" s="471"/>
      <c r="E113" s="471"/>
      <c r="F113" s="471"/>
      <c r="G113" s="226">
        <f>SUM(G107:G112)</f>
        <v>6486.5810833333335</v>
      </c>
      <c r="H113" s="226">
        <f>SUM(H107:H112)</f>
        <v>6425.6938333333328</v>
      </c>
      <c r="I113" s="140"/>
      <c r="J113" s="140"/>
      <c r="K113" s="144"/>
    </row>
    <row r="114" spans="1:11">
      <c r="G114" s="224"/>
      <c r="H114" s="145"/>
      <c r="I114" s="145"/>
      <c r="J114" s="145"/>
      <c r="K114" s="146"/>
    </row>
  </sheetData>
  <mergeCells count="124">
    <mergeCell ref="B111:F111"/>
    <mergeCell ref="B112:F112"/>
    <mergeCell ref="B113:F113"/>
    <mergeCell ref="A105:H105"/>
    <mergeCell ref="A106:F106"/>
    <mergeCell ref="B107:F107"/>
    <mergeCell ref="B108:F108"/>
    <mergeCell ref="B109:F109"/>
    <mergeCell ref="B110:F110"/>
    <mergeCell ref="G99:G102"/>
    <mergeCell ref="H99:H102"/>
    <mergeCell ref="B100:C101"/>
    <mergeCell ref="B102:C102"/>
    <mergeCell ref="B103:F103"/>
    <mergeCell ref="A104:G104"/>
    <mergeCell ref="A96:F96"/>
    <mergeCell ref="B97:E97"/>
    <mergeCell ref="B98:E98"/>
    <mergeCell ref="A99:A102"/>
    <mergeCell ref="B99:E99"/>
    <mergeCell ref="F99:F102"/>
    <mergeCell ref="B89:F89"/>
    <mergeCell ref="B90:F90"/>
    <mergeCell ref="B91:F91"/>
    <mergeCell ref="A92:F92"/>
    <mergeCell ref="A94:H94"/>
    <mergeCell ref="B95:E95"/>
    <mergeCell ref="B82:F82"/>
    <mergeCell ref="A84:K84"/>
    <mergeCell ref="A85:H85"/>
    <mergeCell ref="A86:F86"/>
    <mergeCell ref="B87:F87"/>
    <mergeCell ref="B88:F88"/>
    <mergeCell ref="B83:H83"/>
    <mergeCell ref="A76:H76"/>
    <mergeCell ref="B77:F77"/>
    <mergeCell ref="A78:F78"/>
    <mergeCell ref="B79:F79"/>
    <mergeCell ref="B80:F80"/>
    <mergeCell ref="B81:F81"/>
    <mergeCell ref="B70:E70"/>
    <mergeCell ref="B71:E71"/>
    <mergeCell ref="B72:E72"/>
    <mergeCell ref="B73:E73"/>
    <mergeCell ref="A74:F74"/>
    <mergeCell ref="A75:G75"/>
    <mergeCell ref="A66:F66"/>
    <mergeCell ref="B68:E68"/>
    <mergeCell ref="B69:E69"/>
    <mergeCell ref="B56:E56"/>
    <mergeCell ref="B55:E55"/>
    <mergeCell ref="A58:G58"/>
    <mergeCell ref="A59:G59"/>
    <mergeCell ref="A60:G60"/>
    <mergeCell ref="A65:G65"/>
    <mergeCell ref="B67:E67"/>
    <mergeCell ref="A61:G61"/>
    <mergeCell ref="A62:G62"/>
    <mergeCell ref="A63:B63"/>
    <mergeCell ref="C63:D63"/>
    <mergeCell ref="E63:F63"/>
    <mergeCell ref="A64:B64"/>
    <mergeCell ref="C64:D64"/>
    <mergeCell ref="E64:F64"/>
    <mergeCell ref="A38:G38"/>
    <mergeCell ref="B52:E52"/>
    <mergeCell ref="F52:F54"/>
    <mergeCell ref="G52:G54"/>
    <mergeCell ref="B53:C53"/>
    <mergeCell ref="A49:A50"/>
    <mergeCell ref="B49:D49"/>
    <mergeCell ref="F49:F50"/>
    <mergeCell ref="G49:G50"/>
    <mergeCell ref="B50:C50"/>
    <mergeCell ref="B51:E51"/>
    <mergeCell ref="B43:F43"/>
    <mergeCell ref="B44:F44"/>
    <mergeCell ref="B45:F45"/>
    <mergeCell ref="B46:F46"/>
    <mergeCell ref="B47:G47"/>
    <mergeCell ref="A48:G48"/>
    <mergeCell ref="B39:F39"/>
    <mergeCell ref="B40:F40"/>
    <mergeCell ref="B41:F41"/>
    <mergeCell ref="B42:F42"/>
    <mergeCell ref="C54:D54"/>
    <mergeCell ref="B14:F14"/>
    <mergeCell ref="B15:F15"/>
    <mergeCell ref="B29:E29"/>
    <mergeCell ref="B30:E30"/>
    <mergeCell ref="B31:E31"/>
    <mergeCell ref="B33:E33"/>
    <mergeCell ref="B34:E34"/>
    <mergeCell ref="B35:G35"/>
    <mergeCell ref="B22:E22"/>
    <mergeCell ref="B24:G24"/>
    <mergeCell ref="B25:E25"/>
    <mergeCell ref="B26:E26"/>
    <mergeCell ref="B27:E27"/>
    <mergeCell ref="B28:E28"/>
    <mergeCell ref="A52:A54"/>
    <mergeCell ref="B57:F57"/>
    <mergeCell ref="B7:E7"/>
    <mergeCell ref="F7:G7"/>
    <mergeCell ref="B8:E8"/>
    <mergeCell ref="F8:G8"/>
    <mergeCell ref="A9:G9"/>
    <mergeCell ref="A10:G10"/>
    <mergeCell ref="A1:G1"/>
    <mergeCell ref="A3:G3"/>
    <mergeCell ref="A4:G4"/>
    <mergeCell ref="B5:E5"/>
    <mergeCell ref="F5:G5"/>
    <mergeCell ref="B6:E6"/>
    <mergeCell ref="F6:G6"/>
    <mergeCell ref="A16:G16"/>
    <mergeCell ref="A17:G17"/>
    <mergeCell ref="A18:G18"/>
    <mergeCell ref="B19:F19"/>
    <mergeCell ref="B20:E20"/>
    <mergeCell ref="B21:E21"/>
    <mergeCell ref="B11:F11"/>
    <mergeCell ref="B12:D12"/>
    <mergeCell ref="B13:E13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P116"/>
  <sheetViews>
    <sheetView topLeftCell="A85" workbookViewId="0">
      <selection activeCell="A59" sqref="A59:G59"/>
    </sheetView>
  </sheetViews>
  <sheetFormatPr defaultColWidth="9.42578125" defaultRowHeight="12.75"/>
  <cols>
    <col min="1" max="1" width="7.42578125" style="20" customWidth="1"/>
    <col min="2" max="2" width="25.28515625" style="20" customWidth="1"/>
    <col min="3" max="3" width="19.140625" style="20" customWidth="1"/>
    <col min="4" max="4" width="23.42578125" style="20" customWidth="1"/>
    <col min="5" max="5" width="16.42578125" style="20" customWidth="1"/>
    <col min="6" max="6" width="19" style="20" customWidth="1"/>
    <col min="7" max="7" width="19.42578125" style="20" customWidth="1"/>
    <col min="8" max="8" width="18.42578125" style="20" customWidth="1"/>
    <col min="9" max="9" width="21" style="20" customWidth="1"/>
    <col min="10" max="10" width="24.42578125" style="20" customWidth="1"/>
    <col min="11" max="11" width="31.140625" style="20" customWidth="1"/>
    <col min="12" max="250" width="9.42578125" style="20" customWidth="1"/>
  </cols>
  <sheetData>
    <row r="1" spans="1:10" ht="18">
      <c r="A1" s="453" t="s">
        <v>112</v>
      </c>
      <c r="B1" s="453"/>
      <c r="C1" s="453"/>
      <c r="D1" s="453"/>
      <c r="E1" s="453"/>
      <c r="F1" s="453"/>
      <c r="G1" s="453"/>
    </row>
    <row r="2" spans="1:10" ht="18">
      <c r="A2" s="161"/>
      <c r="B2" s="161"/>
      <c r="C2" s="161"/>
      <c r="D2" s="161"/>
      <c r="E2" s="161"/>
      <c r="F2" s="161"/>
      <c r="G2" s="161"/>
    </row>
    <row r="3" spans="1:10">
      <c r="A3" s="454" t="s">
        <v>113</v>
      </c>
      <c r="B3" s="454"/>
      <c r="C3" s="454"/>
      <c r="D3" s="454"/>
      <c r="E3" s="454"/>
      <c r="F3" s="454"/>
      <c r="G3" s="454"/>
    </row>
    <row r="4" spans="1:10">
      <c r="A4" s="402" t="s">
        <v>114</v>
      </c>
      <c r="B4" s="402"/>
      <c r="C4" s="402"/>
      <c r="D4" s="402"/>
      <c r="E4" s="402"/>
      <c r="F4" s="402"/>
      <c r="G4" s="402"/>
    </row>
    <row r="5" spans="1:10" ht="15" customHeight="1">
      <c r="A5" s="2">
        <v>1</v>
      </c>
      <c r="B5" s="357" t="s">
        <v>115</v>
      </c>
      <c r="C5" s="357"/>
      <c r="D5" s="357"/>
      <c r="E5" s="357"/>
      <c r="F5" s="455" t="s">
        <v>116</v>
      </c>
      <c r="G5" s="455"/>
    </row>
    <row r="6" spans="1:10">
      <c r="A6" s="2">
        <v>2</v>
      </c>
      <c r="B6" s="357" t="s">
        <v>117</v>
      </c>
      <c r="C6" s="357"/>
      <c r="D6" s="357"/>
      <c r="E6" s="357"/>
      <c r="F6" s="456">
        <f>Licitante!D15</f>
        <v>1845.56</v>
      </c>
      <c r="G6" s="456"/>
    </row>
    <row r="7" spans="1:10" ht="15" customHeight="1">
      <c r="A7" s="162">
        <v>3</v>
      </c>
      <c r="B7" s="358" t="s">
        <v>118</v>
      </c>
      <c r="C7" s="447"/>
      <c r="D7" s="447"/>
      <c r="E7" s="448"/>
      <c r="F7" s="449" t="s">
        <v>119</v>
      </c>
      <c r="G7" s="450"/>
    </row>
    <row r="8" spans="1:10">
      <c r="A8" s="158">
        <v>4</v>
      </c>
      <c r="B8" s="448" t="s">
        <v>120</v>
      </c>
      <c r="C8" s="357"/>
      <c r="D8" s="357"/>
      <c r="E8" s="357"/>
      <c r="F8" s="451">
        <v>44562</v>
      </c>
      <c r="G8" s="451"/>
    </row>
    <row r="9" spans="1:10">
      <c r="A9" s="452"/>
      <c r="B9" s="452"/>
      <c r="C9" s="452"/>
      <c r="D9" s="452"/>
      <c r="E9" s="452"/>
      <c r="F9" s="452"/>
      <c r="G9" s="452"/>
    </row>
    <row r="10" spans="1:10" ht="14.65" customHeight="1">
      <c r="A10" s="402" t="s">
        <v>121</v>
      </c>
      <c r="B10" s="402"/>
      <c r="C10" s="402"/>
      <c r="D10" s="402"/>
      <c r="E10" s="402"/>
      <c r="F10" s="402"/>
      <c r="G10" s="402"/>
    </row>
    <row r="11" spans="1:10">
      <c r="A11" s="23">
        <v>1</v>
      </c>
      <c r="B11" s="460" t="s">
        <v>122</v>
      </c>
      <c r="C11" s="460"/>
      <c r="D11" s="460"/>
      <c r="E11" s="460"/>
      <c r="F11" s="460"/>
      <c r="G11" s="48" t="s">
        <v>123</v>
      </c>
      <c r="I11" s="69"/>
      <c r="J11" s="69"/>
    </row>
    <row r="12" spans="1:10">
      <c r="A12" s="49" t="s">
        <v>5</v>
      </c>
      <c r="B12" s="357" t="s">
        <v>117</v>
      </c>
      <c r="C12" s="357"/>
      <c r="D12" s="357"/>
      <c r="E12" s="2" t="s">
        <v>124</v>
      </c>
      <c r="F12" s="2">
        <v>21.75</v>
      </c>
      <c r="G12" s="36">
        <f>F6</f>
        <v>1845.56</v>
      </c>
    </row>
    <row r="13" spans="1:10">
      <c r="A13" s="49" t="s">
        <v>7</v>
      </c>
      <c r="B13" s="357" t="s">
        <v>125</v>
      </c>
      <c r="C13" s="357"/>
      <c r="D13" s="357"/>
      <c r="E13" s="357"/>
      <c r="F13" s="50">
        <v>0.3</v>
      </c>
      <c r="G13" s="36">
        <f>ROUND(G12*F13,2)</f>
        <v>553.66999999999996</v>
      </c>
    </row>
    <row r="14" spans="1:10" ht="14.65" customHeight="1">
      <c r="A14" s="49" t="s">
        <v>10</v>
      </c>
      <c r="B14" s="461" t="s">
        <v>126</v>
      </c>
      <c r="C14" s="461"/>
      <c r="D14" s="461"/>
      <c r="E14" s="461"/>
      <c r="F14" s="461"/>
      <c r="G14" s="68">
        <f>G12*0.12</f>
        <v>221.46719999999999</v>
      </c>
    </row>
    <row r="15" spans="1:10" ht="14.65" customHeight="1">
      <c r="A15" s="49"/>
      <c r="B15" s="460" t="s">
        <v>127</v>
      </c>
      <c r="C15" s="460"/>
      <c r="D15" s="460"/>
      <c r="E15" s="460"/>
      <c r="F15" s="460"/>
      <c r="G15" s="51">
        <f>ROUND(G12+G13+G14,2)</f>
        <v>2620.6999999999998</v>
      </c>
      <c r="H15" s="69"/>
    </row>
    <row r="16" spans="1:10" ht="14.65" customHeight="1">
      <c r="A16" s="411"/>
      <c r="B16" s="411"/>
      <c r="C16" s="411"/>
      <c r="D16" s="411"/>
      <c r="E16" s="411"/>
      <c r="F16" s="411"/>
      <c r="G16" s="411"/>
    </row>
    <row r="17" spans="1:8" ht="14.65" customHeight="1">
      <c r="A17" s="457" t="s">
        <v>128</v>
      </c>
      <c r="B17" s="457"/>
      <c r="C17" s="457"/>
      <c r="D17" s="457"/>
      <c r="E17" s="457"/>
      <c r="F17" s="457"/>
      <c r="G17" s="457"/>
    </row>
    <row r="18" spans="1:8" ht="14.65" customHeight="1">
      <c r="A18" s="458" t="s">
        <v>129</v>
      </c>
      <c r="B18" s="459"/>
      <c r="C18" s="459"/>
      <c r="D18" s="459"/>
      <c r="E18" s="459"/>
      <c r="F18" s="459"/>
      <c r="G18" s="459"/>
      <c r="H18" s="142"/>
    </row>
    <row r="19" spans="1:8">
      <c r="A19" s="23" t="s">
        <v>130</v>
      </c>
      <c r="B19" s="460" t="s">
        <v>131</v>
      </c>
      <c r="C19" s="460"/>
      <c r="D19" s="460"/>
      <c r="E19" s="460"/>
      <c r="F19" s="460"/>
      <c r="G19" s="72" t="s">
        <v>123</v>
      </c>
      <c r="H19" s="120"/>
    </row>
    <row r="20" spans="1:8">
      <c r="A20" s="49" t="s">
        <v>5</v>
      </c>
      <c r="B20" s="357" t="s">
        <v>131</v>
      </c>
      <c r="C20" s="357"/>
      <c r="D20" s="357"/>
      <c r="E20" s="357"/>
      <c r="F20" s="52">
        <v>8.3299999999999999E-2</v>
      </c>
      <c r="G20" s="73">
        <f>ROUND(F20*$G$15,2)</f>
        <v>218.3</v>
      </c>
      <c r="H20" s="124"/>
    </row>
    <row r="21" spans="1:8">
      <c r="A21" s="49" t="s">
        <v>7</v>
      </c>
      <c r="B21" s="357" t="s">
        <v>132</v>
      </c>
      <c r="C21" s="357"/>
      <c r="D21" s="357"/>
      <c r="E21" s="357"/>
      <c r="F21" s="282">
        <v>3.0249999999999999E-2</v>
      </c>
      <c r="G21" s="73">
        <f>ROUND(F21*$G$15,2)</f>
        <v>79.28</v>
      </c>
      <c r="H21" s="124"/>
    </row>
    <row r="22" spans="1:8" ht="14.65" customHeight="1">
      <c r="A22" s="49"/>
      <c r="B22" s="460" t="s">
        <v>133</v>
      </c>
      <c r="C22" s="460"/>
      <c r="D22" s="460"/>
      <c r="E22" s="460"/>
      <c r="F22" s="285">
        <f>F20+F21</f>
        <v>0.11355</v>
      </c>
      <c r="G22" s="74">
        <f t="shared" ref="G22" si="0">ROUND(F22*$G$15,2)</f>
        <v>297.58</v>
      </c>
      <c r="H22" s="139"/>
    </row>
    <row r="23" spans="1:8">
      <c r="A23" s="15"/>
      <c r="B23" s="15"/>
      <c r="C23" s="15"/>
      <c r="D23" s="15"/>
      <c r="E23" s="15"/>
      <c r="F23" s="15"/>
      <c r="G23" s="15"/>
    </row>
    <row r="24" spans="1:8" ht="14.65" customHeight="1">
      <c r="A24" s="71" t="s">
        <v>134</v>
      </c>
      <c r="B24" s="465"/>
      <c r="C24" s="466"/>
      <c r="D24" s="466"/>
      <c r="E24" s="466"/>
      <c r="F24" s="466"/>
      <c r="G24" s="466"/>
      <c r="H24" s="133"/>
    </row>
    <row r="25" spans="1:8" ht="14.65" customHeight="1">
      <c r="A25" s="23" t="s">
        <v>135</v>
      </c>
      <c r="B25" s="460" t="s">
        <v>136</v>
      </c>
      <c r="C25" s="460"/>
      <c r="D25" s="460"/>
      <c r="E25" s="460"/>
      <c r="F25" s="23" t="s">
        <v>137</v>
      </c>
      <c r="G25" s="72" t="s">
        <v>138</v>
      </c>
      <c r="H25" s="120"/>
    </row>
    <row r="26" spans="1:8" ht="14.65" customHeight="1">
      <c r="A26" s="49" t="s">
        <v>5</v>
      </c>
      <c r="B26" s="357" t="s">
        <v>139</v>
      </c>
      <c r="C26" s="357"/>
      <c r="D26" s="357"/>
      <c r="E26" s="357"/>
      <c r="F26" s="50">
        <v>0.2</v>
      </c>
      <c r="G26" s="63">
        <f t="shared" ref="G26:G34" si="1">ROUND(F26*($G$15+$G$22),2)</f>
        <v>583.66</v>
      </c>
      <c r="H26" s="122"/>
    </row>
    <row r="27" spans="1:8" ht="14.65" customHeight="1">
      <c r="A27" s="49" t="s">
        <v>7</v>
      </c>
      <c r="B27" s="357" t="s">
        <v>140</v>
      </c>
      <c r="C27" s="357"/>
      <c r="D27" s="357"/>
      <c r="E27" s="357"/>
      <c r="F27" s="50">
        <v>2.5000000000000001E-2</v>
      </c>
      <c r="G27" s="63">
        <f t="shared" si="1"/>
        <v>72.959999999999994</v>
      </c>
      <c r="H27" s="122"/>
    </row>
    <row r="28" spans="1:8" ht="14.65" customHeight="1">
      <c r="A28" s="49" t="s">
        <v>10</v>
      </c>
      <c r="B28" s="357" t="s">
        <v>141</v>
      </c>
      <c r="C28" s="357"/>
      <c r="D28" s="357"/>
      <c r="E28" s="357"/>
      <c r="F28" s="50">
        <v>1.4999999999999999E-2</v>
      </c>
      <c r="G28" s="63">
        <f t="shared" si="1"/>
        <v>43.77</v>
      </c>
      <c r="H28" s="122"/>
    </row>
    <row r="29" spans="1:8" ht="14.65" customHeight="1">
      <c r="A29" s="49" t="s">
        <v>12</v>
      </c>
      <c r="B29" s="357" t="s">
        <v>142</v>
      </c>
      <c r="C29" s="357"/>
      <c r="D29" s="357"/>
      <c r="E29" s="357"/>
      <c r="F29" s="50">
        <v>0.01</v>
      </c>
      <c r="G29" s="63">
        <f t="shared" si="1"/>
        <v>29.18</v>
      </c>
      <c r="H29" s="122"/>
    </row>
    <row r="30" spans="1:8" ht="14.65" customHeight="1">
      <c r="A30" s="49" t="s">
        <v>55</v>
      </c>
      <c r="B30" s="357" t="s">
        <v>143</v>
      </c>
      <c r="C30" s="357"/>
      <c r="D30" s="357"/>
      <c r="E30" s="357"/>
      <c r="F30" s="50">
        <v>6.000000000000001E-3</v>
      </c>
      <c r="G30" s="63">
        <f t="shared" si="1"/>
        <v>17.510000000000002</v>
      </c>
      <c r="H30" s="122"/>
    </row>
    <row r="31" spans="1:8" ht="14.65" customHeight="1">
      <c r="A31" s="49" t="s">
        <v>57</v>
      </c>
      <c r="B31" s="357" t="s">
        <v>144</v>
      </c>
      <c r="C31" s="357"/>
      <c r="D31" s="357"/>
      <c r="E31" s="357"/>
      <c r="F31" s="50">
        <v>2E-3</v>
      </c>
      <c r="G31" s="63">
        <f t="shared" si="1"/>
        <v>5.84</v>
      </c>
      <c r="H31" s="122"/>
    </row>
    <row r="32" spans="1:8">
      <c r="A32" s="49" t="s">
        <v>145</v>
      </c>
      <c r="B32" s="56" t="s">
        <v>146</v>
      </c>
      <c r="C32" s="77">
        <f>Licitante!B19</f>
        <v>0.03</v>
      </c>
      <c r="D32" s="78" t="s">
        <v>147</v>
      </c>
      <c r="E32" s="79">
        <f>Licitante!F19</f>
        <v>1</v>
      </c>
      <c r="F32" s="50">
        <f>C32*E32</f>
        <v>0.03</v>
      </c>
      <c r="G32" s="63">
        <f t="shared" si="1"/>
        <v>87.55</v>
      </c>
      <c r="H32" s="122"/>
    </row>
    <row r="33" spans="1:11" ht="14.65" customHeight="1">
      <c r="A33" s="49" t="s">
        <v>148</v>
      </c>
      <c r="B33" s="357" t="s">
        <v>149</v>
      </c>
      <c r="C33" s="357"/>
      <c r="D33" s="357"/>
      <c r="E33" s="357"/>
      <c r="F33" s="50">
        <v>0.08</v>
      </c>
      <c r="G33" s="63">
        <f t="shared" si="1"/>
        <v>233.46</v>
      </c>
      <c r="H33" s="122"/>
    </row>
    <row r="34" spans="1:11" ht="14.65" customHeight="1">
      <c r="A34" s="61"/>
      <c r="B34" s="462" t="s">
        <v>133</v>
      </c>
      <c r="C34" s="462"/>
      <c r="D34" s="462"/>
      <c r="E34" s="462"/>
      <c r="F34" s="87">
        <f>SUM(F26:F33)</f>
        <v>0.36800000000000005</v>
      </c>
      <c r="G34" s="88">
        <f t="shared" si="1"/>
        <v>1073.93</v>
      </c>
      <c r="H34" s="131"/>
      <c r="I34" s="69"/>
    </row>
    <row r="35" spans="1:11" ht="14.65" customHeight="1">
      <c r="A35" s="82" t="s">
        <v>150</v>
      </c>
      <c r="B35" s="463" t="s">
        <v>151</v>
      </c>
      <c r="C35" s="463"/>
      <c r="D35" s="463"/>
      <c r="E35" s="463"/>
      <c r="F35" s="463"/>
      <c r="G35" s="464"/>
    </row>
    <row r="36" spans="1:11">
      <c r="A36" s="83" t="s">
        <v>152</v>
      </c>
      <c r="B36" s="84" t="s">
        <v>153</v>
      </c>
      <c r="C36" s="85"/>
      <c r="D36" s="85"/>
      <c r="E36" s="85"/>
      <c r="F36" s="85"/>
      <c r="G36" s="86"/>
    </row>
    <row r="37" spans="1:11">
      <c r="A37" s="1"/>
      <c r="B37" s="1"/>
      <c r="C37" s="1"/>
      <c r="D37" s="1"/>
      <c r="E37" s="1"/>
      <c r="F37" s="1"/>
      <c r="G37" s="202"/>
    </row>
    <row r="38" spans="1:11" ht="14.65" customHeight="1">
      <c r="A38" s="467" t="s">
        <v>154</v>
      </c>
      <c r="B38" s="467"/>
      <c r="C38" s="467"/>
      <c r="D38" s="467"/>
      <c r="E38" s="467"/>
      <c r="F38" s="467"/>
      <c r="G38" s="467"/>
      <c r="H38" s="467"/>
      <c r="I38" s="128"/>
      <c r="J38" s="128"/>
      <c r="K38" s="128"/>
    </row>
    <row r="39" spans="1:11" ht="14.65" customHeight="1">
      <c r="A39" s="203" t="s">
        <v>155</v>
      </c>
      <c r="B39" s="471" t="s">
        <v>156</v>
      </c>
      <c r="C39" s="471"/>
      <c r="D39" s="471"/>
      <c r="E39" s="471"/>
      <c r="F39" s="471"/>
      <c r="G39" s="204" t="s">
        <v>123</v>
      </c>
      <c r="H39" s="204" t="s">
        <v>123</v>
      </c>
      <c r="I39" s="128"/>
      <c r="J39" s="128"/>
      <c r="K39" s="128"/>
    </row>
    <row r="40" spans="1:11" ht="14.65" customHeight="1">
      <c r="A40" s="500" t="s">
        <v>280</v>
      </c>
      <c r="B40" s="500"/>
      <c r="C40" s="500"/>
      <c r="D40" s="500"/>
      <c r="E40" s="500"/>
      <c r="F40" s="500"/>
      <c r="G40" s="205" t="s">
        <v>9</v>
      </c>
      <c r="H40" s="206" t="s">
        <v>238</v>
      </c>
      <c r="I40" s="121"/>
      <c r="J40" s="121"/>
      <c r="K40" s="121"/>
    </row>
    <row r="41" spans="1:11" ht="14.65" customHeight="1">
      <c r="A41" s="207" t="s">
        <v>5</v>
      </c>
      <c r="B41" s="353" t="s">
        <v>157</v>
      </c>
      <c r="C41" s="353"/>
      <c r="D41" s="353"/>
      <c r="E41" s="353"/>
      <c r="F41" s="353"/>
      <c r="G41" s="208">
        <f>Licitante!I38</f>
        <v>128.25239999999999</v>
      </c>
      <c r="H41" s="209">
        <f>Licitante!I46</f>
        <v>93.490800000000007</v>
      </c>
      <c r="I41" s="147"/>
      <c r="J41" s="147"/>
      <c r="K41" s="147"/>
    </row>
    <row r="42" spans="1:11" ht="14.65" customHeight="1">
      <c r="A42" s="207" t="s">
        <v>7</v>
      </c>
      <c r="B42" s="353" t="s">
        <v>158</v>
      </c>
      <c r="C42" s="353"/>
      <c r="D42" s="353"/>
      <c r="E42" s="353"/>
      <c r="F42" s="353"/>
      <c r="G42" s="208">
        <f>Licitante!$I$23</f>
        <v>572.04999999999995</v>
      </c>
      <c r="H42" s="208">
        <f>G42</f>
        <v>572.04999999999995</v>
      </c>
      <c r="I42" s="125"/>
      <c r="J42" s="125"/>
      <c r="K42" s="125"/>
    </row>
    <row r="43" spans="1:11" ht="14.65" customHeight="1">
      <c r="A43" s="207" t="s">
        <v>10</v>
      </c>
      <c r="B43" s="353" t="s">
        <v>159</v>
      </c>
      <c r="C43" s="353"/>
      <c r="D43" s="353"/>
      <c r="E43" s="353"/>
      <c r="F43" s="353"/>
      <c r="G43" s="208">
        <f>Licitante!$I$33</f>
        <v>0</v>
      </c>
      <c r="H43" s="208">
        <f>G43</f>
        <v>0</v>
      </c>
      <c r="I43" s="125"/>
      <c r="J43" s="125"/>
      <c r="K43" s="125"/>
    </row>
    <row r="44" spans="1:11" ht="14.65" customHeight="1">
      <c r="A44" s="207" t="s">
        <v>12</v>
      </c>
      <c r="B44" s="353" t="s">
        <v>160</v>
      </c>
      <c r="C44" s="353"/>
      <c r="D44" s="353"/>
      <c r="E44" s="353"/>
      <c r="F44" s="353"/>
      <c r="G44" s="208">
        <f>Licitante!$D$28</f>
        <v>10.72</v>
      </c>
      <c r="H44" s="208">
        <f>G44</f>
        <v>10.72</v>
      </c>
      <c r="I44" s="125"/>
      <c r="J44" s="125"/>
      <c r="K44" s="125"/>
    </row>
    <row r="45" spans="1:11" ht="14.65" customHeight="1">
      <c r="A45" s="207" t="s">
        <v>161</v>
      </c>
      <c r="B45" s="353" t="s">
        <v>28</v>
      </c>
      <c r="C45" s="353"/>
      <c r="D45" s="353"/>
      <c r="E45" s="353"/>
      <c r="F45" s="353"/>
      <c r="G45" s="208">
        <f>Licitante!$I$30</f>
        <v>4.6139000000000006E-2</v>
      </c>
      <c r="H45" s="208">
        <f>G45</f>
        <v>4.6139000000000006E-2</v>
      </c>
      <c r="I45" s="125"/>
      <c r="J45" s="125"/>
      <c r="K45" s="125"/>
    </row>
    <row r="46" spans="1:11" ht="14.65" customHeight="1">
      <c r="A46" s="207" t="s">
        <v>55</v>
      </c>
      <c r="B46" s="353" t="s">
        <v>162</v>
      </c>
      <c r="C46" s="353"/>
      <c r="D46" s="353"/>
      <c r="E46" s="353"/>
      <c r="F46" s="353"/>
      <c r="G46" s="208">
        <f>Licitante!$I$32</f>
        <v>161.0915</v>
      </c>
      <c r="H46" s="208">
        <f>G46</f>
        <v>161.0915</v>
      </c>
      <c r="I46" s="125"/>
      <c r="J46" s="125"/>
      <c r="K46" s="125"/>
    </row>
    <row r="47" spans="1:11" ht="14.65" customHeight="1">
      <c r="A47" s="207"/>
      <c r="B47" s="471" t="s">
        <v>163</v>
      </c>
      <c r="C47" s="471"/>
      <c r="D47" s="471"/>
      <c r="E47" s="471"/>
      <c r="F47" s="471"/>
      <c r="G47" s="210">
        <f>ROUND(SUM(G41:G46),2)</f>
        <v>872.16</v>
      </c>
      <c r="H47" s="210">
        <f>ROUND(SUM(H41:H46),2)</f>
        <v>837.4</v>
      </c>
      <c r="I47" s="125"/>
      <c r="J47" s="125"/>
      <c r="K47" s="125"/>
    </row>
    <row r="48" spans="1:11" ht="14.65" customHeight="1">
      <c r="B48" s="452"/>
      <c r="C48" s="452"/>
      <c r="D48" s="452"/>
      <c r="E48" s="452"/>
      <c r="F48" s="452"/>
      <c r="G48" s="452"/>
    </row>
    <row r="49" spans="1:11" ht="14.65" customHeight="1">
      <c r="A49" s="472" t="s">
        <v>164</v>
      </c>
      <c r="B49" s="473"/>
      <c r="C49" s="473"/>
      <c r="D49" s="473"/>
      <c r="E49" s="473"/>
      <c r="F49" s="473"/>
      <c r="G49" s="473"/>
      <c r="H49" s="116"/>
      <c r="I49" s="127"/>
      <c r="J49" s="127"/>
      <c r="K49" s="127"/>
    </row>
    <row r="50" spans="1:11" ht="14.65" customHeight="1">
      <c r="A50" s="470" t="s">
        <v>5</v>
      </c>
      <c r="B50" s="357" t="s">
        <v>165</v>
      </c>
      <c r="C50" s="357"/>
      <c r="D50" s="357"/>
      <c r="E50" s="96" t="s">
        <v>166</v>
      </c>
      <c r="F50" s="468">
        <f>E51/30/12*D51</f>
        <v>4.1666666666666666E-3</v>
      </c>
      <c r="G50" s="469">
        <f>ROUND($F$50*($G$15+(G15*0.121)+G20),2)</f>
        <v>13.15</v>
      </c>
      <c r="H50" s="122"/>
      <c r="I50" s="69"/>
      <c r="J50" s="69"/>
      <c r="K50" s="69"/>
    </row>
    <row r="51" spans="1:11" ht="14.65" customHeight="1">
      <c r="A51" s="470"/>
      <c r="B51" s="357" t="s">
        <v>167</v>
      </c>
      <c r="C51" s="357"/>
      <c r="D51" s="77">
        <f>Licitante!E53</f>
        <v>0.05</v>
      </c>
      <c r="E51" s="155">
        <v>30</v>
      </c>
      <c r="F51" s="468"/>
      <c r="G51" s="469"/>
      <c r="H51" s="122"/>
      <c r="I51" s="69"/>
      <c r="J51" s="69"/>
      <c r="K51" s="69"/>
    </row>
    <row r="52" spans="1:11" ht="14.65" customHeight="1">
      <c r="A52" s="49" t="s">
        <v>7</v>
      </c>
      <c r="B52" s="357" t="s">
        <v>168</v>
      </c>
      <c r="C52" s="357"/>
      <c r="D52" s="357"/>
      <c r="E52" s="357"/>
      <c r="F52" s="52">
        <f>F33*F50</f>
        <v>3.3333333333333332E-4</v>
      </c>
      <c r="G52" s="63">
        <f>G50*F33</f>
        <v>1.052</v>
      </c>
      <c r="H52" s="122"/>
      <c r="I52" s="69"/>
      <c r="J52" s="69"/>
      <c r="K52" s="69"/>
    </row>
    <row r="53" spans="1:11" ht="14.65" customHeight="1">
      <c r="A53" s="441" t="s">
        <v>10</v>
      </c>
      <c r="B53" s="357" t="s">
        <v>332</v>
      </c>
      <c r="C53" s="357"/>
      <c r="D53" s="357"/>
      <c r="E53" s="357"/>
      <c r="F53" s="468">
        <f>7/30/E54*E55</f>
        <v>1.9444444444444445E-2</v>
      </c>
      <c r="G53" s="469">
        <f>ROUND($F$53*$G$15,2)</f>
        <v>50.96</v>
      </c>
      <c r="H53" s="122"/>
      <c r="I53" s="69"/>
      <c r="J53" s="69"/>
      <c r="K53" s="69"/>
    </row>
    <row r="54" spans="1:11" ht="14.65" customHeight="1">
      <c r="A54" s="442"/>
      <c r="B54" s="357" t="s">
        <v>167</v>
      </c>
      <c r="C54" s="357"/>
      <c r="D54" s="96" t="s">
        <v>169</v>
      </c>
      <c r="E54" s="80">
        <f>Licitante!F9</f>
        <v>12</v>
      </c>
      <c r="F54" s="468"/>
      <c r="G54" s="469"/>
      <c r="H54" s="122"/>
      <c r="I54" s="69"/>
      <c r="J54" s="69"/>
      <c r="K54" s="69"/>
    </row>
    <row r="55" spans="1:11">
      <c r="A55" s="443"/>
      <c r="B55" s="312" t="s">
        <v>170</v>
      </c>
      <c r="C55" s="2" t="s">
        <v>171</v>
      </c>
      <c r="D55" s="155">
        <v>30</v>
      </c>
      <c r="E55" s="77">
        <f>Licitante!E54</f>
        <v>1</v>
      </c>
      <c r="F55" s="468"/>
      <c r="G55" s="469"/>
      <c r="H55" s="122"/>
      <c r="I55" s="69"/>
      <c r="J55" s="69"/>
      <c r="K55" s="69"/>
    </row>
    <row r="56" spans="1:11" ht="28.5" customHeight="1">
      <c r="A56" s="49" t="s">
        <v>12</v>
      </c>
      <c r="B56" s="357" t="s">
        <v>172</v>
      </c>
      <c r="C56" s="357"/>
      <c r="D56" s="357"/>
      <c r="E56" s="357"/>
      <c r="F56" s="52">
        <f>F53*F34</f>
        <v>7.1555555555555565E-3</v>
      </c>
      <c r="G56" s="112">
        <f>G53*F34</f>
        <v>18.753280000000004</v>
      </c>
      <c r="H56" s="122"/>
      <c r="I56" s="69"/>
      <c r="J56" s="69"/>
      <c r="K56" s="69"/>
    </row>
    <row r="57" spans="1:11" ht="18" customHeight="1">
      <c r="A57" s="49" t="s">
        <v>55</v>
      </c>
      <c r="B57" s="357" t="s">
        <v>329</v>
      </c>
      <c r="C57" s="357"/>
      <c r="D57" s="357"/>
      <c r="E57" s="357"/>
      <c r="F57" s="52">
        <v>0.04</v>
      </c>
      <c r="G57" s="112">
        <f>$G$15*$F$57</f>
        <v>104.82799999999999</v>
      </c>
      <c r="H57" s="122"/>
      <c r="I57" s="69"/>
      <c r="J57" s="69"/>
      <c r="K57" s="69"/>
    </row>
    <row r="58" spans="1:11" ht="14.65" customHeight="1">
      <c r="A58" s="61"/>
      <c r="B58" s="444" t="s">
        <v>133</v>
      </c>
      <c r="C58" s="445"/>
      <c r="D58" s="445"/>
      <c r="E58" s="445"/>
      <c r="F58" s="446"/>
      <c r="G58" s="88">
        <f>ROUND(SUM(G50:G57),2)</f>
        <v>188.74</v>
      </c>
      <c r="H58" s="131"/>
      <c r="I58" s="132"/>
      <c r="J58" s="132"/>
      <c r="K58" s="132"/>
    </row>
    <row r="59" spans="1:11" ht="14.65" customHeight="1">
      <c r="A59" s="521" t="s">
        <v>173</v>
      </c>
      <c r="B59" s="522"/>
      <c r="C59" s="522"/>
      <c r="D59" s="522"/>
      <c r="E59" s="522"/>
      <c r="F59" s="522"/>
      <c r="G59" s="523"/>
      <c r="H59" s="57"/>
      <c r="I59" s="57"/>
      <c r="J59" s="57"/>
      <c r="K59" s="57"/>
    </row>
    <row r="60" spans="1:11" ht="14.65" customHeight="1">
      <c r="A60" s="482"/>
      <c r="B60" s="482"/>
      <c r="C60" s="482"/>
      <c r="D60" s="482"/>
      <c r="E60" s="482"/>
      <c r="F60" s="482"/>
      <c r="G60" s="482"/>
    </row>
    <row r="61" spans="1:11" ht="14.65" customHeight="1">
      <c r="A61" s="483" t="s">
        <v>174</v>
      </c>
      <c r="B61" s="484"/>
      <c r="C61" s="484"/>
      <c r="D61" s="484"/>
      <c r="E61" s="484"/>
      <c r="F61" s="484"/>
      <c r="G61" s="485"/>
      <c r="H61" s="291"/>
      <c r="I61" s="127"/>
      <c r="J61" s="127"/>
      <c r="K61" s="127"/>
    </row>
    <row r="62" spans="1:11" ht="33.75" customHeight="1">
      <c r="A62" s="495" t="s">
        <v>324</v>
      </c>
      <c r="B62" s="525"/>
      <c r="C62" s="525"/>
      <c r="D62" s="525"/>
      <c r="E62" s="525"/>
      <c r="F62" s="525"/>
      <c r="G62" s="496"/>
      <c r="H62" s="292"/>
      <c r="I62" s="127"/>
      <c r="J62" s="127"/>
      <c r="K62" s="127"/>
    </row>
    <row r="63" spans="1:11" ht="37.5" customHeight="1">
      <c r="A63" s="495" t="s">
        <v>330</v>
      </c>
      <c r="B63" s="525"/>
      <c r="C63" s="525"/>
      <c r="D63" s="525"/>
      <c r="E63" s="525"/>
      <c r="F63" s="525"/>
      <c r="G63" s="496"/>
      <c r="H63" s="292"/>
      <c r="I63" s="127"/>
      <c r="J63" s="127"/>
      <c r="K63" s="127"/>
    </row>
    <row r="64" spans="1:11" ht="24" customHeight="1">
      <c r="A64" s="495" t="s">
        <v>326</v>
      </c>
      <c r="B64" s="496"/>
      <c r="C64" s="495" t="s">
        <v>331</v>
      </c>
      <c r="D64" s="496"/>
      <c r="E64" s="526" t="s">
        <v>327</v>
      </c>
      <c r="F64" s="526"/>
      <c r="G64" s="290" t="s">
        <v>325</v>
      </c>
      <c r="H64" s="291"/>
      <c r="I64" s="127"/>
      <c r="J64" s="127"/>
      <c r="K64" s="127"/>
    </row>
    <row r="65" spans="1:11" ht="24" customHeight="1">
      <c r="A65" s="527">
        <f>G15</f>
        <v>2620.6999999999998</v>
      </c>
      <c r="B65" s="496"/>
      <c r="C65" s="527">
        <f>$G$22+$G$34+G47-G41-G42+G69</f>
        <v>1868.7176000000004</v>
      </c>
      <c r="D65" s="496"/>
      <c r="E65" s="524">
        <f>G58</f>
        <v>188.74</v>
      </c>
      <c r="F65" s="524"/>
      <c r="G65" s="287">
        <f>A65+C65+E65</f>
        <v>4678.1576000000005</v>
      </c>
      <c r="H65" s="293"/>
      <c r="I65" s="127"/>
      <c r="J65" s="127"/>
      <c r="K65" s="127"/>
    </row>
    <row r="66" spans="1:11" ht="14.65" customHeight="1">
      <c r="A66" s="486" t="s">
        <v>175</v>
      </c>
      <c r="B66" s="487"/>
      <c r="C66" s="487"/>
      <c r="D66" s="487"/>
      <c r="E66" s="487"/>
      <c r="F66" s="487"/>
      <c r="G66" s="488"/>
      <c r="H66" s="294"/>
      <c r="I66" s="128"/>
      <c r="J66" s="128"/>
      <c r="K66" s="128"/>
    </row>
    <row r="67" spans="1:11" ht="14.65" customHeight="1">
      <c r="A67" s="476" t="s">
        <v>176</v>
      </c>
      <c r="B67" s="477"/>
      <c r="C67" s="477"/>
      <c r="D67" s="477"/>
      <c r="E67" s="477"/>
      <c r="F67" s="478"/>
      <c r="G67" s="299" t="s">
        <v>138</v>
      </c>
      <c r="H67" s="295"/>
      <c r="I67" s="121"/>
      <c r="J67" s="121"/>
      <c r="K67" s="121"/>
    </row>
    <row r="68" spans="1:11" ht="14.65" customHeight="1">
      <c r="A68" s="500" t="s">
        <v>280</v>
      </c>
      <c r="B68" s="500"/>
      <c r="C68" s="500"/>
      <c r="D68" s="500"/>
      <c r="E68" s="500"/>
      <c r="F68" s="500"/>
      <c r="G68" s="205" t="s">
        <v>9</v>
      </c>
      <c r="H68" s="296"/>
      <c r="I68" s="121"/>
      <c r="J68" s="121"/>
      <c r="K68" s="121"/>
    </row>
    <row r="69" spans="1:11" ht="15" customHeight="1">
      <c r="A69" s="49" t="s">
        <v>5</v>
      </c>
      <c r="B69" s="489" t="s">
        <v>177</v>
      </c>
      <c r="C69" s="490"/>
      <c r="D69" s="490"/>
      <c r="E69" s="491"/>
      <c r="F69" s="284">
        <v>9.0749999999999997E-2</v>
      </c>
      <c r="G69" s="300">
        <f>ROUND((A65+(A65*F34))*F69,2)</f>
        <v>325.35000000000002</v>
      </c>
      <c r="H69" s="297"/>
      <c r="I69" s="125"/>
      <c r="J69" s="125"/>
      <c r="K69" s="125"/>
    </row>
    <row r="70" spans="1:11" ht="14.65" customHeight="1">
      <c r="A70" s="49" t="s">
        <v>7</v>
      </c>
      <c r="B70" s="357" t="s">
        <v>178</v>
      </c>
      <c r="C70" s="357"/>
      <c r="D70" s="357"/>
      <c r="E70" s="357"/>
      <c r="F70" s="52">
        <f>Licitante!G59</f>
        <v>2.7378507871321013E-3</v>
      </c>
      <c r="G70" s="300">
        <f>ROUND($F$70*G65,2)</f>
        <v>12.81</v>
      </c>
      <c r="H70" s="297"/>
      <c r="I70" s="125"/>
      <c r="J70" s="125"/>
      <c r="K70" s="125"/>
    </row>
    <row r="71" spans="1:11" ht="14.65" customHeight="1">
      <c r="A71" s="49" t="s">
        <v>10</v>
      </c>
      <c r="B71" s="358" t="s">
        <v>179</v>
      </c>
      <c r="C71" s="447"/>
      <c r="D71" s="447"/>
      <c r="E71" s="448"/>
      <c r="F71" s="52">
        <f>Licitante!G60</f>
        <v>2.0533880903490757E-4</v>
      </c>
      <c r="G71" s="300">
        <f>ROUND($F$71*G65,2)</f>
        <v>0.96</v>
      </c>
      <c r="H71" s="297"/>
      <c r="I71" s="125"/>
      <c r="J71" s="125"/>
      <c r="K71" s="125"/>
    </row>
    <row r="72" spans="1:11" ht="14.65" customHeight="1">
      <c r="A72" s="49" t="s">
        <v>12</v>
      </c>
      <c r="B72" s="502" t="s">
        <v>180</v>
      </c>
      <c r="C72" s="503"/>
      <c r="D72" s="503"/>
      <c r="E72" s="504"/>
      <c r="F72" s="91">
        <f>Licitante!G61</f>
        <v>3.2032854209445585E-4</v>
      </c>
      <c r="G72" s="301">
        <f>ROUND(($F$72*G65),2)</f>
        <v>1.5</v>
      </c>
      <c r="H72" s="297"/>
      <c r="I72" s="125"/>
      <c r="J72" s="125"/>
      <c r="K72" s="125"/>
    </row>
    <row r="73" spans="1:11" ht="14.65" customHeight="1">
      <c r="A73" s="49" t="s">
        <v>55</v>
      </c>
      <c r="B73" s="358" t="s">
        <v>181</v>
      </c>
      <c r="C73" s="447"/>
      <c r="D73" s="447"/>
      <c r="E73" s="448"/>
      <c r="F73" s="90">
        <f>Licitante!G62</f>
        <v>6.570841889117043E-3</v>
      </c>
      <c r="G73" s="302">
        <f>ROUND((((A65*0.121+(F34)*(A65*0.121)))*F73)+(((G34-(A65*(F34-F33))+G47-G41-G42+G58))*F73),2)</f>
        <v>7.32</v>
      </c>
      <c r="H73" s="297"/>
      <c r="I73" s="125"/>
      <c r="J73" s="125"/>
      <c r="K73" s="125"/>
    </row>
    <row r="74" spans="1:11" ht="14.65" customHeight="1">
      <c r="A74" s="49" t="s">
        <v>57</v>
      </c>
      <c r="B74" s="358" t="s">
        <v>182</v>
      </c>
      <c r="C74" s="447"/>
      <c r="D74" s="447"/>
      <c r="E74" s="448"/>
      <c r="F74" s="90">
        <f>Licitante!G63</f>
        <v>8.2135523613963042E-3</v>
      </c>
      <c r="G74" s="301">
        <f>ROUND((G65 - A65*(F34-F33))*F74,2)</f>
        <v>32.229999999999997</v>
      </c>
      <c r="H74" s="297"/>
      <c r="I74" s="125"/>
      <c r="J74" s="125"/>
      <c r="K74" s="125"/>
    </row>
    <row r="75" spans="1:11" ht="14.65" customHeight="1">
      <c r="A75" s="49" t="s">
        <v>145</v>
      </c>
      <c r="B75" s="505" t="s">
        <v>183</v>
      </c>
      <c r="C75" s="506"/>
      <c r="D75" s="506"/>
      <c r="E75" s="507"/>
      <c r="F75" s="52">
        <f>Licitante!G64</f>
        <v>0</v>
      </c>
      <c r="G75" s="301">
        <f>ROUND($F$75*G65,2)</f>
        <v>0</v>
      </c>
      <c r="H75" s="297"/>
      <c r="I75" s="125"/>
      <c r="J75" s="125"/>
      <c r="K75" s="125"/>
    </row>
    <row r="76" spans="1:11" ht="14.65" customHeight="1">
      <c r="A76" s="470" t="s">
        <v>133</v>
      </c>
      <c r="B76" s="470"/>
      <c r="C76" s="470"/>
      <c r="D76" s="470"/>
      <c r="E76" s="470"/>
      <c r="F76" s="470"/>
      <c r="G76" s="303">
        <f>ROUND(SUM(G69:G75),2)</f>
        <v>380.17</v>
      </c>
      <c r="H76" s="298"/>
      <c r="I76" s="129"/>
      <c r="J76" s="129"/>
      <c r="K76" s="129"/>
    </row>
    <row r="77" spans="1:11" ht="14.65" customHeight="1">
      <c r="A77" s="403"/>
      <c r="B77" s="403"/>
      <c r="C77" s="403"/>
      <c r="D77" s="403"/>
      <c r="E77" s="403"/>
      <c r="F77" s="403"/>
      <c r="G77" s="403"/>
    </row>
    <row r="78" spans="1:11" ht="14.65" customHeight="1">
      <c r="A78" s="349" t="s">
        <v>184</v>
      </c>
      <c r="B78" s="349"/>
      <c r="C78" s="349"/>
      <c r="D78" s="349"/>
      <c r="E78" s="349"/>
      <c r="F78" s="349"/>
      <c r="G78" s="349"/>
      <c r="H78" s="349"/>
      <c r="I78" s="127"/>
      <c r="J78" s="127"/>
      <c r="K78" s="127"/>
    </row>
    <row r="79" spans="1:11" ht="14.65" customHeight="1">
      <c r="A79" s="214"/>
      <c r="B79" s="499" t="s">
        <v>185</v>
      </c>
      <c r="C79" s="499"/>
      <c r="D79" s="499"/>
      <c r="E79" s="499"/>
      <c r="F79" s="499"/>
      <c r="G79" s="211" t="s">
        <v>123</v>
      </c>
      <c r="H79" s="215" t="s">
        <v>123</v>
      </c>
      <c r="I79" s="121"/>
      <c r="J79" s="121"/>
      <c r="K79" s="121"/>
    </row>
    <row r="80" spans="1:11" ht="14.65" customHeight="1">
      <c r="A80" s="500" t="s">
        <v>280</v>
      </c>
      <c r="B80" s="500"/>
      <c r="C80" s="500"/>
      <c r="D80" s="500"/>
      <c r="E80" s="500"/>
      <c r="F80" s="500"/>
      <c r="G80" s="212" t="s">
        <v>9</v>
      </c>
      <c r="H80" s="206" t="s">
        <v>238</v>
      </c>
      <c r="I80" s="121"/>
      <c r="J80" s="121"/>
      <c r="K80" s="121"/>
    </row>
    <row r="81" spans="1:11" ht="14.65" customHeight="1">
      <c r="A81" s="89" t="s">
        <v>5</v>
      </c>
      <c r="B81" s="357" t="s">
        <v>186</v>
      </c>
      <c r="C81" s="357"/>
      <c r="D81" s="357"/>
      <c r="E81" s="357"/>
      <c r="F81" s="357"/>
      <c r="G81" s="63">
        <f>Licitante!$H$78</f>
        <v>104.10683333333333</v>
      </c>
      <c r="H81" s="216">
        <f>Licitante!H78</f>
        <v>104.10683333333333</v>
      </c>
      <c r="I81" s="69"/>
      <c r="J81" s="69"/>
      <c r="K81" s="69"/>
    </row>
    <row r="82" spans="1:11" ht="14.65" customHeight="1">
      <c r="A82" s="89" t="s">
        <v>7</v>
      </c>
      <c r="B82" s="357" t="s">
        <v>187</v>
      </c>
      <c r="C82" s="357"/>
      <c r="D82" s="357"/>
      <c r="E82" s="357"/>
      <c r="F82" s="357"/>
      <c r="G82" s="63">
        <f>Licitante!$F$91</f>
        <v>9.835916666666666</v>
      </c>
      <c r="H82" s="216">
        <f>Licitante!F113</f>
        <v>68.106999999999999</v>
      </c>
      <c r="I82" s="69"/>
      <c r="J82" s="69"/>
      <c r="K82" s="69"/>
    </row>
    <row r="83" spans="1:11" ht="14.65" customHeight="1">
      <c r="A83" s="163" t="s">
        <v>10</v>
      </c>
      <c r="B83" s="518" t="str">
        <f>Licitante!A77</f>
        <v>Outros (especificar)</v>
      </c>
      <c r="C83" s="518"/>
      <c r="D83" s="518"/>
      <c r="E83" s="518"/>
      <c r="F83" s="518"/>
      <c r="G83" s="220">
        <f>Licitante!H77</f>
        <v>0</v>
      </c>
      <c r="H83" s="221">
        <f>Licitante!Q77</f>
        <v>0</v>
      </c>
      <c r="I83" s="123"/>
      <c r="J83" s="123"/>
      <c r="K83" s="123"/>
    </row>
    <row r="84" spans="1:11" ht="14.65" customHeight="1">
      <c r="A84" s="278"/>
      <c r="B84" s="519" t="s">
        <v>188</v>
      </c>
      <c r="C84" s="519"/>
      <c r="D84" s="519"/>
      <c r="E84" s="519"/>
      <c r="F84" s="519"/>
      <c r="G84" s="268">
        <f>G81+G82+G83</f>
        <v>113.94274999999999</v>
      </c>
      <c r="H84" s="268">
        <f>H81+H82+H83</f>
        <v>172.21383333333333</v>
      </c>
      <c r="I84" s="69"/>
      <c r="J84" s="69"/>
      <c r="K84" s="69"/>
    </row>
    <row r="85" spans="1:11" ht="14.65" customHeight="1">
      <c r="A85" s="279" t="s">
        <v>189</v>
      </c>
      <c r="B85" s="520" t="s">
        <v>190</v>
      </c>
      <c r="C85" s="520"/>
      <c r="D85" s="520"/>
      <c r="E85" s="520"/>
      <c r="F85" s="520"/>
      <c r="G85" s="520"/>
      <c r="H85" s="520"/>
      <c r="I85" s="128"/>
      <c r="J85" s="128"/>
      <c r="K85" s="128"/>
    </row>
    <row r="86" spans="1:11" ht="14.65" customHeight="1">
      <c r="A86" s="511"/>
      <c r="B86" s="511"/>
      <c r="C86" s="511"/>
      <c r="D86" s="511"/>
      <c r="E86" s="511"/>
      <c r="F86" s="511"/>
      <c r="G86" s="511"/>
      <c r="H86" s="511"/>
      <c r="I86" s="511"/>
      <c r="J86" s="511"/>
      <c r="K86" s="511"/>
    </row>
    <row r="87" spans="1:11" ht="14.65" customHeight="1">
      <c r="A87" s="349" t="s">
        <v>191</v>
      </c>
      <c r="B87" s="349"/>
      <c r="C87" s="349"/>
      <c r="D87" s="349"/>
      <c r="E87" s="349"/>
      <c r="F87" s="349"/>
      <c r="G87" s="349"/>
      <c r="H87" s="349"/>
      <c r="I87" s="127"/>
      <c r="J87" s="127"/>
      <c r="K87" s="127"/>
    </row>
    <row r="88" spans="1:11" ht="14.65" customHeight="1">
      <c r="A88" s="500" t="s">
        <v>280</v>
      </c>
      <c r="B88" s="500"/>
      <c r="C88" s="500"/>
      <c r="D88" s="500"/>
      <c r="E88" s="500"/>
      <c r="F88" s="500"/>
      <c r="G88" s="212" t="s">
        <v>9</v>
      </c>
      <c r="H88" s="206" t="s">
        <v>238</v>
      </c>
      <c r="I88" s="127"/>
      <c r="J88" s="127"/>
      <c r="K88" s="127"/>
    </row>
    <row r="89" spans="1:11" ht="14.65" customHeight="1">
      <c r="A89" s="92" t="s">
        <v>5</v>
      </c>
      <c r="B89" s="508" t="s">
        <v>121</v>
      </c>
      <c r="C89" s="508"/>
      <c r="D89" s="508"/>
      <c r="E89" s="508"/>
      <c r="F89" s="508"/>
      <c r="G89" s="217">
        <f>G15</f>
        <v>2620.6999999999998</v>
      </c>
      <c r="H89" s="219">
        <f>G15</f>
        <v>2620.6999999999998</v>
      </c>
      <c r="I89" s="118"/>
      <c r="J89" s="118"/>
      <c r="K89" s="118"/>
    </row>
    <row r="90" spans="1:11" ht="14.65" customHeight="1">
      <c r="A90" s="92" t="s">
        <v>7</v>
      </c>
      <c r="B90" s="508" t="s">
        <v>128</v>
      </c>
      <c r="C90" s="508"/>
      <c r="D90" s="508"/>
      <c r="E90" s="508"/>
      <c r="F90" s="508"/>
      <c r="G90" s="217">
        <f>$G$22+$G$34+G47</f>
        <v>2243.67</v>
      </c>
      <c r="H90" s="219">
        <f>$G$22+$G$34+H47</f>
        <v>2208.91</v>
      </c>
      <c r="I90" s="118"/>
      <c r="J90" s="118"/>
      <c r="K90" s="118"/>
    </row>
    <row r="91" spans="1:11" ht="14.65" customHeight="1">
      <c r="A91" s="92" t="s">
        <v>10</v>
      </c>
      <c r="B91" s="508" t="s">
        <v>164</v>
      </c>
      <c r="C91" s="508"/>
      <c r="D91" s="508"/>
      <c r="E91" s="508"/>
      <c r="F91" s="508"/>
      <c r="G91" s="217">
        <f>G58</f>
        <v>188.74</v>
      </c>
      <c r="H91" s="219">
        <f>G58</f>
        <v>188.74</v>
      </c>
      <c r="I91" s="118"/>
      <c r="J91" s="118"/>
      <c r="K91" s="118"/>
    </row>
    <row r="92" spans="1:11" ht="14.65" customHeight="1">
      <c r="A92" s="92" t="s">
        <v>12</v>
      </c>
      <c r="B92" s="508" t="s">
        <v>174</v>
      </c>
      <c r="C92" s="508"/>
      <c r="D92" s="508"/>
      <c r="E92" s="508"/>
      <c r="F92" s="508"/>
      <c r="G92" s="217">
        <f>G76</f>
        <v>380.17</v>
      </c>
      <c r="H92" s="219">
        <f>G76</f>
        <v>380.17</v>
      </c>
      <c r="I92" s="118"/>
      <c r="J92" s="118"/>
      <c r="K92" s="118"/>
    </row>
    <row r="93" spans="1:11" ht="14.65" customHeight="1">
      <c r="A93" s="92" t="s">
        <v>55</v>
      </c>
      <c r="B93" s="508" t="s">
        <v>184</v>
      </c>
      <c r="C93" s="508"/>
      <c r="D93" s="508"/>
      <c r="E93" s="508"/>
      <c r="F93" s="508"/>
      <c r="G93" s="217">
        <f>G84</f>
        <v>113.94274999999999</v>
      </c>
      <c r="H93" s="219">
        <f>H84</f>
        <v>172.21383333333333</v>
      </c>
      <c r="I93" s="118"/>
      <c r="J93" s="118"/>
      <c r="K93" s="118"/>
    </row>
    <row r="94" spans="1:11">
      <c r="A94" s="509" t="s">
        <v>133</v>
      </c>
      <c r="B94" s="509"/>
      <c r="C94" s="509"/>
      <c r="D94" s="509"/>
      <c r="E94" s="509"/>
      <c r="F94" s="509"/>
      <c r="G94" s="218">
        <f>SUM(G89:G93)</f>
        <v>5547.2227499999999</v>
      </c>
      <c r="H94" s="277">
        <f>SUM(H89:H93)</f>
        <v>5570.7338333333328</v>
      </c>
      <c r="I94" s="119"/>
      <c r="J94" s="119"/>
      <c r="K94" s="119"/>
    </row>
    <row r="95" spans="1:11" ht="14.65" customHeight="1">
      <c r="A95" s="223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ht="14.65" customHeight="1">
      <c r="A96" s="349" t="s">
        <v>192</v>
      </c>
      <c r="B96" s="349"/>
      <c r="C96" s="349"/>
      <c r="D96" s="349"/>
      <c r="E96" s="349"/>
      <c r="F96" s="349"/>
      <c r="G96" s="349"/>
      <c r="H96" s="349"/>
      <c r="I96" s="127"/>
      <c r="J96" s="127"/>
      <c r="K96" s="127"/>
    </row>
    <row r="97" spans="1:11">
      <c r="A97" s="203"/>
      <c r="B97" s="471" t="s">
        <v>193</v>
      </c>
      <c r="C97" s="471"/>
      <c r="D97" s="471"/>
      <c r="E97" s="471"/>
      <c r="F97" s="203" t="s">
        <v>194</v>
      </c>
      <c r="G97" s="203" t="s">
        <v>123</v>
      </c>
      <c r="H97" s="203" t="s">
        <v>123</v>
      </c>
      <c r="I97" s="117"/>
      <c r="J97" s="117"/>
      <c r="K97" s="117"/>
    </row>
    <row r="98" spans="1:11">
      <c r="A98" s="500" t="s">
        <v>280</v>
      </c>
      <c r="B98" s="500"/>
      <c r="C98" s="500"/>
      <c r="D98" s="500"/>
      <c r="E98" s="500"/>
      <c r="F98" s="500"/>
      <c r="G98" s="212" t="s">
        <v>9</v>
      </c>
      <c r="H98" s="206" t="s">
        <v>238</v>
      </c>
      <c r="I98" s="117"/>
      <c r="J98" s="117"/>
      <c r="K98" s="117"/>
    </row>
    <row r="99" spans="1:11" ht="14.65" customHeight="1">
      <c r="A99" s="49" t="s">
        <v>5</v>
      </c>
      <c r="B99" s="357" t="s">
        <v>195</v>
      </c>
      <c r="C99" s="357"/>
      <c r="D99" s="357"/>
      <c r="E99" s="357"/>
      <c r="F99" s="59">
        <f>Licitante!D119</f>
        <v>0.06</v>
      </c>
      <c r="G99" s="73">
        <f>ROUND(G94*$F$99,2)</f>
        <v>332.83</v>
      </c>
      <c r="H99" s="208">
        <f>ROUND(H94*$F$99,2)</f>
        <v>334.24</v>
      </c>
      <c r="I99" s="125"/>
      <c r="J99" s="125"/>
      <c r="K99" s="125"/>
    </row>
    <row r="100" spans="1:11" ht="14.65" customHeight="1">
      <c r="A100" s="49" t="s">
        <v>7</v>
      </c>
      <c r="B100" s="357" t="s">
        <v>90</v>
      </c>
      <c r="C100" s="357"/>
      <c r="D100" s="357"/>
      <c r="E100" s="357"/>
      <c r="F100" s="59">
        <f>Licitante!D120</f>
        <v>6.7900000000000002E-2</v>
      </c>
      <c r="G100" s="98">
        <f>ROUND((G94+G99)*$F$100,2)</f>
        <v>399.26</v>
      </c>
      <c r="H100" s="208">
        <f>ROUND((H94+H99)*$F$100,2)</f>
        <v>400.95</v>
      </c>
      <c r="I100" s="125"/>
      <c r="J100" s="125"/>
      <c r="K100" s="125"/>
    </row>
    <row r="101" spans="1:11">
      <c r="A101" s="470" t="s">
        <v>10</v>
      </c>
      <c r="B101" s="357" t="s">
        <v>99</v>
      </c>
      <c r="C101" s="357"/>
      <c r="D101" s="357"/>
      <c r="E101" s="357"/>
      <c r="F101" s="516">
        <f>SUM(E102:E104)</f>
        <v>8.6499999999999994E-2</v>
      </c>
      <c r="G101" s="512">
        <f>((G94+G99+G100)/(1-$F$101))*$F$101</f>
        <v>594.5928329228243</v>
      </c>
      <c r="H101" s="515">
        <f>((H94+H99+H100)/(1-$F$101))*$F$101</f>
        <v>597.11265635832865</v>
      </c>
      <c r="I101" s="125"/>
      <c r="J101" s="125"/>
      <c r="K101" s="125"/>
    </row>
    <row r="102" spans="1:11">
      <c r="A102" s="470"/>
      <c r="B102" s="357" t="s">
        <v>196</v>
      </c>
      <c r="C102" s="357"/>
      <c r="D102" s="10" t="s">
        <v>197</v>
      </c>
      <c r="E102" s="60">
        <f>Licitante!D123</f>
        <v>6.4999999999999997E-3</v>
      </c>
      <c r="F102" s="516"/>
      <c r="G102" s="513"/>
      <c r="H102" s="515"/>
      <c r="I102" s="125"/>
      <c r="J102" s="125"/>
      <c r="K102" s="125"/>
    </row>
    <row r="103" spans="1:11">
      <c r="A103" s="470"/>
      <c r="B103" s="357"/>
      <c r="C103" s="357"/>
      <c r="D103" s="10" t="s">
        <v>198</v>
      </c>
      <c r="E103" s="60">
        <f>Licitante!D124</f>
        <v>0.03</v>
      </c>
      <c r="F103" s="516"/>
      <c r="G103" s="513"/>
      <c r="H103" s="515"/>
      <c r="I103" s="125"/>
      <c r="J103" s="125"/>
      <c r="K103" s="125"/>
    </row>
    <row r="104" spans="1:11">
      <c r="A104" s="470"/>
      <c r="B104" s="357" t="s">
        <v>199</v>
      </c>
      <c r="C104" s="357"/>
      <c r="D104" s="10" t="s">
        <v>200</v>
      </c>
      <c r="E104" s="93">
        <f>Licitante!D125</f>
        <v>0.05</v>
      </c>
      <c r="F104" s="516"/>
      <c r="G104" s="514"/>
      <c r="H104" s="515"/>
      <c r="I104" s="125"/>
      <c r="J104" s="125"/>
      <c r="K104" s="125"/>
    </row>
    <row r="105" spans="1:11">
      <c r="A105" s="49"/>
      <c r="B105" s="460" t="s">
        <v>133</v>
      </c>
      <c r="C105" s="460"/>
      <c r="D105" s="460"/>
      <c r="E105" s="460"/>
      <c r="F105" s="460"/>
      <c r="G105" s="95">
        <f>ROUND(G99+G100+G101,2)</f>
        <v>1326.68</v>
      </c>
      <c r="H105" s="213">
        <f>ROUND(H99+H100+H101,2)</f>
        <v>1332.3</v>
      </c>
      <c r="I105" s="129"/>
      <c r="J105" s="129"/>
      <c r="K105" s="129"/>
    </row>
    <row r="106" spans="1:11">
      <c r="A106" s="403"/>
      <c r="B106" s="403"/>
      <c r="C106" s="403"/>
      <c r="D106" s="403"/>
      <c r="E106" s="403"/>
      <c r="F106" s="403"/>
      <c r="G106" s="403"/>
    </row>
    <row r="107" spans="1:11">
      <c r="A107" s="349" t="s">
        <v>201</v>
      </c>
      <c r="B107" s="349"/>
      <c r="C107" s="349"/>
      <c r="D107" s="349"/>
      <c r="E107" s="349"/>
      <c r="F107" s="349"/>
      <c r="G107" s="349"/>
      <c r="H107" s="349"/>
      <c r="I107" s="127"/>
      <c r="J107" s="127"/>
      <c r="K107" s="127"/>
    </row>
    <row r="108" spans="1:11">
      <c r="A108" s="471" t="s">
        <v>202</v>
      </c>
      <c r="B108" s="471"/>
      <c r="C108" s="471"/>
      <c r="D108" s="471"/>
      <c r="E108" s="471"/>
      <c r="F108" s="471"/>
      <c r="G108" s="204" t="s">
        <v>203</v>
      </c>
      <c r="H108" s="204" t="s">
        <v>203</v>
      </c>
      <c r="I108" s="121"/>
      <c r="J108" s="121"/>
      <c r="K108" s="121"/>
    </row>
    <row r="109" spans="1:11">
      <c r="A109" s="207" t="s">
        <v>5</v>
      </c>
      <c r="B109" s="517" t="s">
        <v>121</v>
      </c>
      <c r="C109" s="517"/>
      <c r="D109" s="517"/>
      <c r="E109" s="517"/>
      <c r="F109" s="517"/>
      <c r="G109" s="225">
        <f>G15</f>
        <v>2620.6999999999998</v>
      </c>
      <c r="H109" s="225">
        <f>G15</f>
        <v>2620.6999999999998</v>
      </c>
      <c r="I109" s="138"/>
      <c r="J109" s="138"/>
      <c r="K109" s="143"/>
    </row>
    <row r="110" spans="1:11">
      <c r="A110" s="207" t="s">
        <v>7</v>
      </c>
      <c r="B110" s="517" t="s">
        <v>128</v>
      </c>
      <c r="C110" s="517"/>
      <c r="D110" s="517"/>
      <c r="E110" s="517"/>
      <c r="F110" s="517"/>
      <c r="G110" s="225">
        <f>G90</f>
        <v>2243.67</v>
      </c>
      <c r="H110" s="225">
        <f>H90</f>
        <v>2208.91</v>
      </c>
      <c r="I110" s="138"/>
      <c r="J110" s="138"/>
      <c r="K110" s="143"/>
    </row>
    <row r="111" spans="1:11">
      <c r="A111" s="207" t="s">
        <v>10</v>
      </c>
      <c r="B111" s="517" t="s">
        <v>164</v>
      </c>
      <c r="C111" s="517"/>
      <c r="D111" s="517"/>
      <c r="E111" s="517"/>
      <c r="F111" s="517"/>
      <c r="G111" s="225">
        <f t="shared" ref="G111:H113" si="2">G91</f>
        <v>188.74</v>
      </c>
      <c r="H111" s="225">
        <f t="shared" si="2"/>
        <v>188.74</v>
      </c>
      <c r="I111" s="138"/>
      <c r="J111" s="138"/>
      <c r="K111" s="143" t="s">
        <v>282</v>
      </c>
    </row>
    <row r="112" spans="1:11">
      <c r="A112" s="207" t="s">
        <v>12</v>
      </c>
      <c r="B112" s="517" t="s">
        <v>174</v>
      </c>
      <c r="C112" s="517"/>
      <c r="D112" s="517"/>
      <c r="E112" s="517"/>
      <c r="F112" s="517"/>
      <c r="G112" s="225">
        <f t="shared" si="2"/>
        <v>380.17</v>
      </c>
      <c r="H112" s="225">
        <f t="shared" si="2"/>
        <v>380.17</v>
      </c>
      <c r="I112" s="138"/>
      <c r="J112" s="138"/>
      <c r="K112" s="143"/>
    </row>
    <row r="113" spans="1:11">
      <c r="A113" s="207"/>
      <c r="B113" s="517" t="s">
        <v>184</v>
      </c>
      <c r="C113" s="517"/>
      <c r="D113" s="517"/>
      <c r="E113" s="517"/>
      <c r="F113" s="517"/>
      <c r="G113" s="225">
        <f t="shared" si="2"/>
        <v>113.94274999999999</v>
      </c>
      <c r="H113" s="225">
        <f t="shared" si="2"/>
        <v>172.21383333333333</v>
      </c>
      <c r="I113" s="138"/>
      <c r="J113" s="138"/>
      <c r="K113" s="143"/>
    </row>
    <row r="114" spans="1:11">
      <c r="A114" s="207" t="s">
        <v>55</v>
      </c>
      <c r="B114" s="517" t="s">
        <v>204</v>
      </c>
      <c r="C114" s="517"/>
      <c r="D114" s="517"/>
      <c r="E114" s="517"/>
      <c r="F114" s="517"/>
      <c r="G114" s="225">
        <f>G105</f>
        <v>1326.68</v>
      </c>
      <c r="H114" s="225">
        <f>H105</f>
        <v>1332.3</v>
      </c>
      <c r="I114" s="138"/>
      <c r="J114" s="138"/>
      <c r="K114" s="143"/>
    </row>
    <row r="115" spans="1:11">
      <c r="A115" s="207"/>
      <c r="B115" s="471" t="s">
        <v>205</v>
      </c>
      <c r="C115" s="471"/>
      <c r="D115" s="471"/>
      <c r="E115" s="471"/>
      <c r="F115" s="471"/>
      <c r="G115" s="226">
        <f>SUM(G109:G114)</f>
        <v>6873.9027500000002</v>
      </c>
      <c r="H115" s="226">
        <f>SUM(H109:H114)</f>
        <v>6903.033833333333</v>
      </c>
      <c r="I115" s="140"/>
      <c r="J115" s="140"/>
      <c r="K115" s="144"/>
    </row>
    <row r="116" spans="1:11">
      <c r="G116" s="224"/>
      <c r="H116" s="145"/>
      <c r="I116" s="145"/>
      <c r="J116" s="145"/>
      <c r="K116" s="146"/>
    </row>
  </sheetData>
  <sheetProtection selectLockedCells="1" selectUnlockedCells="1"/>
  <mergeCells count="125">
    <mergeCell ref="B71:E71"/>
    <mergeCell ref="B72:E72"/>
    <mergeCell ref="B73:E73"/>
    <mergeCell ref="B75:E75"/>
    <mergeCell ref="A66:G66"/>
    <mergeCell ref="C64:D64"/>
    <mergeCell ref="E64:F64"/>
    <mergeCell ref="C65:D65"/>
    <mergeCell ref="A65:B65"/>
    <mergeCell ref="H101:H104"/>
    <mergeCell ref="A107:H107"/>
    <mergeCell ref="B74:E74"/>
    <mergeCell ref="A3:G3"/>
    <mergeCell ref="B8:E8"/>
    <mergeCell ref="F8:G8"/>
    <mergeCell ref="A9:G9"/>
    <mergeCell ref="A10:G10"/>
    <mergeCell ref="B11:F11"/>
    <mergeCell ref="B12:D12"/>
    <mergeCell ref="A4:G4"/>
    <mergeCell ref="B5:E5"/>
    <mergeCell ref="F5:G5"/>
    <mergeCell ref="B6:E6"/>
    <mergeCell ref="F6:G6"/>
    <mergeCell ref="B45:F45"/>
    <mergeCell ref="B46:F46"/>
    <mergeCell ref="B47:F47"/>
    <mergeCell ref="B48:G48"/>
    <mergeCell ref="B35:G35"/>
    <mergeCell ref="A62:G62"/>
    <mergeCell ref="A63:G63"/>
    <mergeCell ref="A64:B64"/>
    <mergeCell ref="B70:E70"/>
    <mergeCell ref="A1:G1"/>
    <mergeCell ref="F7:G7"/>
    <mergeCell ref="B7:E7"/>
    <mergeCell ref="B28:E28"/>
    <mergeCell ref="B29:E29"/>
    <mergeCell ref="B30:E30"/>
    <mergeCell ref="B31:E31"/>
    <mergeCell ref="B33:E33"/>
    <mergeCell ref="B34:E34"/>
    <mergeCell ref="B21:E21"/>
    <mergeCell ref="B22:E22"/>
    <mergeCell ref="B25:E25"/>
    <mergeCell ref="B26:E26"/>
    <mergeCell ref="B27:E27"/>
    <mergeCell ref="B24:G24"/>
    <mergeCell ref="A16:G16"/>
    <mergeCell ref="A17:G17"/>
    <mergeCell ref="B19:F19"/>
    <mergeCell ref="B20:E20"/>
    <mergeCell ref="B13:E13"/>
    <mergeCell ref="B14:F14"/>
    <mergeCell ref="B15:F15"/>
    <mergeCell ref="A18:G18"/>
    <mergeCell ref="B42:F42"/>
    <mergeCell ref="B43:F43"/>
    <mergeCell ref="A40:F40"/>
    <mergeCell ref="A38:H38"/>
    <mergeCell ref="B44:F44"/>
    <mergeCell ref="A49:G49"/>
    <mergeCell ref="B39:F39"/>
    <mergeCell ref="B41:F41"/>
    <mergeCell ref="B51:C51"/>
    <mergeCell ref="B69:E69"/>
    <mergeCell ref="B52:E52"/>
    <mergeCell ref="B53:E53"/>
    <mergeCell ref="F53:F55"/>
    <mergeCell ref="G53:G55"/>
    <mergeCell ref="A50:A51"/>
    <mergeCell ref="B50:D50"/>
    <mergeCell ref="F50:F51"/>
    <mergeCell ref="G50:G51"/>
    <mergeCell ref="B54:C54"/>
    <mergeCell ref="B57:E57"/>
    <mergeCell ref="B56:E56"/>
    <mergeCell ref="A59:G59"/>
    <mergeCell ref="A60:G60"/>
    <mergeCell ref="A53:A55"/>
    <mergeCell ref="B58:F58"/>
    <mergeCell ref="A61:G61"/>
    <mergeCell ref="E65:F65"/>
    <mergeCell ref="A68:F68"/>
    <mergeCell ref="A67:F67"/>
    <mergeCell ref="A94:F94"/>
    <mergeCell ref="B97:E97"/>
    <mergeCell ref="B99:E99"/>
    <mergeCell ref="B81:F81"/>
    <mergeCell ref="B82:F82"/>
    <mergeCell ref="B83:F83"/>
    <mergeCell ref="B84:F84"/>
    <mergeCell ref="A86:K86"/>
    <mergeCell ref="A76:F76"/>
    <mergeCell ref="A77:G77"/>
    <mergeCell ref="B79:F79"/>
    <mergeCell ref="B89:F89"/>
    <mergeCell ref="B90:F90"/>
    <mergeCell ref="B91:F91"/>
    <mergeCell ref="B92:F92"/>
    <mergeCell ref="B93:F93"/>
    <mergeCell ref="B85:H85"/>
    <mergeCell ref="A78:H78"/>
    <mergeCell ref="A80:F80"/>
    <mergeCell ref="A96:H96"/>
    <mergeCell ref="A98:F98"/>
    <mergeCell ref="A87:H87"/>
    <mergeCell ref="A88:F88"/>
    <mergeCell ref="B112:F112"/>
    <mergeCell ref="B113:F113"/>
    <mergeCell ref="B100:E100"/>
    <mergeCell ref="B114:F114"/>
    <mergeCell ref="B115:F115"/>
    <mergeCell ref="A106:G106"/>
    <mergeCell ref="A108:F108"/>
    <mergeCell ref="B109:F109"/>
    <mergeCell ref="B110:F110"/>
    <mergeCell ref="B111:F111"/>
    <mergeCell ref="B105:F105"/>
    <mergeCell ref="B102:C103"/>
    <mergeCell ref="B104:C104"/>
    <mergeCell ref="A101:A104"/>
    <mergeCell ref="B101:E101"/>
    <mergeCell ref="F101:F104"/>
    <mergeCell ref="G101:G104"/>
  </mergeCells>
  <printOptions horizontalCentered="1"/>
  <pageMargins left="0.59027777777777779" right="0.59027777777777779" top="0.39305555555555555" bottom="0.39305555555555555" header="0.19652777777777777" footer="0.19652777777777777"/>
  <pageSetup paperSize="9" scale="65" firstPageNumber="0" orientation="portrait" horizontalDpi="300" verticalDpi="300" r:id="rId1"/>
  <headerFooter alignWithMargins="0">
    <oddHeader>&amp;L&amp;F&amp;R&amp;A</oddHeader>
    <oddFooter>&amp;C&amp;P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23"/>
  <sheetViews>
    <sheetView topLeftCell="A92" workbookViewId="0">
      <selection activeCell="B59" sqref="B59:F59"/>
    </sheetView>
  </sheetViews>
  <sheetFormatPr defaultColWidth="9.42578125" defaultRowHeight="12.75"/>
  <cols>
    <col min="1" max="1" width="7.42578125" style="20" customWidth="1"/>
    <col min="2" max="2" width="25.28515625" style="20" customWidth="1"/>
    <col min="3" max="3" width="20" style="20" customWidth="1"/>
    <col min="4" max="4" width="23.42578125" style="20" customWidth="1"/>
    <col min="5" max="5" width="16.42578125" style="20" customWidth="1"/>
    <col min="6" max="6" width="19" style="20" customWidth="1"/>
    <col min="7" max="7" width="20.7109375" style="20" customWidth="1"/>
    <col min="8" max="8" width="17.5703125" style="20" customWidth="1"/>
    <col min="9" max="9" width="14.140625" style="20" customWidth="1"/>
    <col min="10" max="10" width="24.42578125" style="20" customWidth="1"/>
    <col min="11" max="16384" width="9.42578125" style="20"/>
  </cols>
  <sheetData>
    <row r="1" spans="1:7" ht="18">
      <c r="A1" s="566" t="s">
        <v>206</v>
      </c>
      <c r="B1" s="567"/>
      <c r="C1" s="567"/>
      <c r="D1" s="567"/>
      <c r="E1" s="567"/>
      <c r="F1" s="567"/>
      <c r="G1" s="568"/>
    </row>
    <row r="2" spans="1:7">
      <c r="A2" s="511"/>
      <c r="B2" s="511"/>
      <c r="C2" s="511"/>
      <c r="D2" s="511"/>
      <c r="E2" s="511"/>
      <c r="F2" s="511"/>
      <c r="G2" s="511"/>
    </row>
    <row r="3" spans="1:7">
      <c r="A3" s="569" t="s">
        <v>113</v>
      </c>
      <c r="B3" s="569"/>
      <c r="C3" s="569"/>
      <c r="D3" s="569"/>
      <c r="E3" s="569"/>
      <c r="F3" s="569"/>
      <c r="G3" s="569"/>
    </row>
    <row r="4" spans="1:7">
      <c r="A4" s="402" t="s">
        <v>114</v>
      </c>
      <c r="B4" s="402"/>
      <c r="C4" s="402"/>
      <c r="D4" s="402"/>
      <c r="E4" s="402"/>
      <c r="F4" s="402"/>
      <c r="G4" s="402"/>
    </row>
    <row r="5" spans="1:7" ht="15" customHeight="1">
      <c r="A5" s="49">
        <v>1</v>
      </c>
      <c r="B5" s="357" t="s">
        <v>115</v>
      </c>
      <c r="C5" s="357"/>
      <c r="D5" s="357"/>
      <c r="E5" s="357"/>
      <c r="F5" s="455" t="s">
        <v>207</v>
      </c>
      <c r="G5" s="455"/>
    </row>
    <row r="6" spans="1:7">
      <c r="A6" s="49">
        <v>2</v>
      </c>
      <c r="B6" s="357" t="s">
        <v>117</v>
      </c>
      <c r="C6" s="357"/>
      <c r="D6" s="357"/>
      <c r="E6" s="357"/>
      <c r="F6" s="456">
        <f>Licitante!D15</f>
        <v>1845.56</v>
      </c>
      <c r="G6" s="456"/>
    </row>
    <row r="7" spans="1:7" ht="15" customHeight="1">
      <c r="A7" s="58">
        <v>3</v>
      </c>
      <c r="B7" s="358" t="s">
        <v>118</v>
      </c>
      <c r="C7" s="447"/>
      <c r="D7" s="447"/>
      <c r="E7" s="448"/>
      <c r="F7" s="449" t="s">
        <v>208</v>
      </c>
      <c r="G7" s="450"/>
    </row>
    <row r="8" spans="1:7">
      <c r="A8" s="61">
        <v>4</v>
      </c>
      <c r="B8" s="357" t="s">
        <v>120</v>
      </c>
      <c r="C8" s="357"/>
      <c r="D8" s="357"/>
      <c r="E8" s="357"/>
      <c r="F8" s="451">
        <v>44562</v>
      </c>
      <c r="G8" s="451"/>
    </row>
    <row r="9" spans="1:7">
      <c r="A9" s="452"/>
      <c r="B9" s="452"/>
      <c r="C9" s="452"/>
      <c r="D9" s="452"/>
      <c r="E9" s="452"/>
      <c r="F9" s="452"/>
      <c r="G9" s="452"/>
    </row>
    <row r="10" spans="1:7" ht="14.65" customHeight="1">
      <c r="A10" s="402" t="s">
        <v>121</v>
      </c>
      <c r="B10" s="402"/>
      <c r="C10" s="402"/>
      <c r="D10" s="402"/>
      <c r="E10" s="402"/>
      <c r="F10" s="402"/>
      <c r="G10" s="402"/>
    </row>
    <row r="11" spans="1:7">
      <c r="A11" s="23">
        <v>1</v>
      </c>
      <c r="B11" s="460" t="s">
        <v>122</v>
      </c>
      <c r="C11" s="460"/>
      <c r="D11" s="460"/>
      <c r="E11" s="460"/>
      <c r="F11" s="460"/>
      <c r="G11" s="48" t="s">
        <v>123</v>
      </c>
    </row>
    <row r="12" spans="1:7">
      <c r="A12" s="49" t="s">
        <v>5</v>
      </c>
      <c r="B12" s="357" t="s">
        <v>117</v>
      </c>
      <c r="C12" s="357"/>
      <c r="D12" s="357"/>
      <c r="E12" s="2" t="s">
        <v>209</v>
      </c>
      <c r="F12" s="2">
        <v>15.22</v>
      </c>
      <c r="G12" s="36">
        <f>F6</f>
        <v>1845.56</v>
      </c>
    </row>
    <row r="13" spans="1:7">
      <c r="A13" s="49" t="s">
        <v>7</v>
      </c>
      <c r="B13" s="405" t="s">
        <v>125</v>
      </c>
      <c r="C13" s="405"/>
      <c r="D13" s="405"/>
      <c r="E13" s="570"/>
      <c r="F13" s="111">
        <v>0.3</v>
      </c>
      <c r="G13" s="36">
        <f>ROUND(G12*F13,2)</f>
        <v>553.66999999999996</v>
      </c>
    </row>
    <row r="14" spans="1:7">
      <c r="A14" s="49"/>
      <c r="B14" s="2" t="s">
        <v>210</v>
      </c>
      <c r="C14" s="36" t="s">
        <v>211</v>
      </c>
      <c r="D14" s="109">
        <v>0.6</v>
      </c>
      <c r="E14" s="571"/>
      <c r="F14" s="572"/>
      <c r="G14" s="110"/>
    </row>
    <row r="15" spans="1:7" ht="14.65" customHeight="1">
      <c r="A15" s="49"/>
      <c r="B15" s="2">
        <f>ROUND((G12+G13)/220,2)</f>
        <v>10.91</v>
      </c>
      <c r="C15" s="575">
        <f>ROUND(B15*1.6,2)</f>
        <v>17.46</v>
      </c>
      <c r="D15" s="469"/>
      <c r="E15" s="573"/>
      <c r="F15" s="574"/>
      <c r="G15" s="110"/>
    </row>
    <row r="16" spans="1:7">
      <c r="A16" s="49"/>
      <c r="B16" s="460" t="s">
        <v>127</v>
      </c>
      <c r="C16" s="460"/>
      <c r="D16" s="460"/>
      <c r="E16" s="460"/>
      <c r="F16" s="460"/>
      <c r="G16" s="51">
        <f>SUM(G12:G15)</f>
        <v>2399.23</v>
      </c>
    </row>
    <row r="17" spans="1:7" ht="14.65" customHeight="1">
      <c r="A17" s="403"/>
      <c r="B17" s="403"/>
      <c r="C17" s="403"/>
      <c r="D17" s="403"/>
      <c r="E17" s="403"/>
      <c r="F17" s="403"/>
      <c r="G17" s="403"/>
    </row>
    <row r="18" spans="1:7" ht="14.65" customHeight="1">
      <c r="A18" s="559" t="s">
        <v>128</v>
      </c>
      <c r="B18" s="560"/>
      <c r="C18" s="560"/>
      <c r="D18" s="560"/>
      <c r="E18" s="560"/>
      <c r="F18" s="560"/>
      <c r="G18" s="561"/>
    </row>
    <row r="19" spans="1:7" ht="14.65" customHeight="1">
      <c r="A19" s="576" t="s">
        <v>129</v>
      </c>
      <c r="B19" s="576"/>
      <c r="C19" s="576"/>
      <c r="D19" s="576"/>
      <c r="E19" s="576"/>
      <c r="F19" s="576"/>
      <c r="G19" s="576"/>
    </row>
    <row r="20" spans="1:7">
      <c r="A20" s="23" t="s">
        <v>130</v>
      </c>
      <c r="B20" s="460" t="s">
        <v>131</v>
      </c>
      <c r="C20" s="460"/>
      <c r="D20" s="460"/>
      <c r="E20" s="460"/>
      <c r="F20" s="460"/>
      <c r="G20" s="48" t="s">
        <v>123</v>
      </c>
    </row>
    <row r="21" spans="1:7" ht="14.65" customHeight="1">
      <c r="A21" s="49" t="s">
        <v>5</v>
      </c>
      <c r="B21" s="357" t="s">
        <v>131</v>
      </c>
      <c r="C21" s="357"/>
      <c r="D21" s="357"/>
      <c r="E21" s="357"/>
      <c r="F21" s="52">
        <v>8.3299999999999999E-2</v>
      </c>
      <c r="G21" s="53">
        <f>ROUND(F21*$G$16,2)</f>
        <v>199.86</v>
      </c>
    </row>
    <row r="22" spans="1:7">
      <c r="A22" s="49" t="s">
        <v>7</v>
      </c>
      <c r="B22" s="357" t="s">
        <v>132</v>
      </c>
      <c r="C22" s="357"/>
      <c r="D22" s="357"/>
      <c r="E22" s="357"/>
      <c r="F22" s="282">
        <v>3.0249999999999999E-2</v>
      </c>
      <c r="G22" s="53">
        <f>ROUND(F22*$G$16,2)</f>
        <v>72.58</v>
      </c>
    </row>
    <row r="23" spans="1:7" ht="14.65" customHeight="1">
      <c r="A23" s="49"/>
      <c r="B23" s="460" t="s">
        <v>133</v>
      </c>
      <c r="C23" s="460"/>
      <c r="D23" s="460"/>
      <c r="E23" s="460"/>
      <c r="F23" s="285">
        <f>F21+F22</f>
        <v>0.11355</v>
      </c>
      <c r="G23" s="55">
        <f>ROUND(F23*$G$16,2)</f>
        <v>272.43</v>
      </c>
    </row>
    <row r="24" spans="1:7">
      <c r="A24" s="15"/>
      <c r="B24" s="15"/>
      <c r="C24" s="15"/>
      <c r="D24" s="15"/>
      <c r="E24" s="15"/>
      <c r="F24" s="15"/>
      <c r="G24" s="15"/>
    </row>
    <row r="25" spans="1:7" ht="14.65" customHeight="1">
      <c r="A25" s="558" t="s">
        <v>134</v>
      </c>
      <c r="B25" s="558"/>
      <c r="C25" s="558"/>
      <c r="D25" s="558"/>
      <c r="E25" s="558"/>
      <c r="F25" s="558"/>
      <c r="G25" s="558"/>
    </row>
    <row r="26" spans="1:7" ht="14.65" customHeight="1">
      <c r="A26" s="23" t="s">
        <v>135</v>
      </c>
      <c r="B26" s="460" t="s">
        <v>136</v>
      </c>
      <c r="C26" s="460"/>
      <c r="D26" s="460"/>
      <c r="E26" s="460"/>
      <c r="F26" s="23" t="s">
        <v>137</v>
      </c>
      <c r="G26" s="48" t="s">
        <v>138</v>
      </c>
    </row>
    <row r="27" spans="1:7" ht="14.65" customHeight="1">
      <c r="A27" s="49" t="s">
        <v>5</v>
      </c>
      <c r="B27" s="357" t="s">
        <v>139</v>
      </c>
      <c r="C27" s="357"/>
      <c r="D27" s="357"/>
      <c r="E27" s="357"/>
      <c r="F27" s="50">
        <v>0.2</v>
      </c>
      <c r="G27" s="62">
        <f t="shared" ref="G27:G35" si="0">ROUND(F27*($G$16+$G$23),2)</f>
        <v>534.33000000000004</v>
      </c>
    </row>
    <row r="28" spans="1:7" ht="14.65" customHeight="1">
      <c r="A28" s="49" t="s">
        <v>7</v>
      </c>
      <c r="B28" s="357" t="s">
        <v>140</v>
      </c>
      <c r="C28" s="357"/>
      <c r="D28" s="357"/>
      <c r="E28" s="357"/>
      <c r="F28" s="50">
        <v>2.5000000000000001E-2</v>
      </c>
      <c r="G28" s="62">
        <f t="shared" si="0"/>
        <v>66.790000000000006</v>
      </c>
    </row>
    <row r="29" spans="1:7" ht="14.65" customHeight="1">
      <c r="A29" s="49" t="s">
        <v>10</v>
      </c>
      <c r="B29" s="357" t="s">
        <v>141</v>
      </c>
      <c r="C29" s="357"/>
      <c r="D29" s="357"/>
      <c r="E29" s="357"/>
      <c r="F29" s="50">
        <v>1.4999999999999999E-2</v>
      </c>
      <c r="G29" s="62">
        <f t="shared" si="0"/>
        <v>40.07</v>
      </c>
    </row>
    <row r="30" spans="1:7" ht="14.65" customHeight="1">
      <c r="A30" s="49" t="s">
        <v>12</v>
      </c>
      <c r="B30" s="357" t="s">
        <v>142</v>
      </c>
      <c r="C30" s="357"/>
      <c r="D30" s="357"/>
      <c r="E30" s="357"/>
      <c r="F30" s="50">
        <v>0.01</v>
      </c>
      <c r="G30" s="62">
        <f t="shared" si="0"/>
        <v>26.72</v>
      </c>
    </row>
    <row r="31" spans="1:7" ht="14.65" customHeight="1">
      <c r="A31" s="49" t="s">
        <v>55</v>
      </c>
      <c r="B31" s="357" t="s">
        <v>143</v>
      </c>
      <c r="C31" s="357"/>
      <c r="D31" s="357"/>
      <c r="E31" s="357"/>
      <c r="F31" s="50">
        <v>6.000000000000001E-3</v>
      </c>
      <c r="G31" s="62">
        <f t="shared" si="0"/>
        <v>16.03</v>
      </c>
    </row>
    <row r="32" spans="1:7" ht="14.65" customHeight="1">
      <c r="A32" s="49" t="s">
        <v>57</v>
      </c>
      <c r="B32" s="357" t="s">
        <v>144</v>
      </c>
      <c r="C32" s="357"/>
      <c r="D32" s="357"/>
      <c r="E32" s="357"/>
      <c r="F32" s="50">
        <v>2E-3</v>
      </c>
      <c r="G32" s="62">
        <f t="shared" si="0"/>
        <v>5.34</v>
      </c>
    </row>
    <row r="33" spans="1:10">
      <c r="A33" s="49" t="s">
        <v>145</v>
      </c>
      <c r="B33" s="56" t="s">
        <v>146</v>
      </c>
      <c r="C33" s="77">
        <f>Licitante!B19</f>
        <v>0.03</v>
      </c>
      <c r="D33" s="78" t="s">
        <v>147</v>
      </c>
      <c r="E33" s="79">
        <f>Licitante!F19</f>
        <v>1</v>
      </c>
      <c r="F33" s="50">
        <f>C33*E33</f>
        <v>0.03</v>
      </c>
      <c r="G33" s="62">
        <f t="shared" si="0"/>
        <v>80.150000000000006</v>
      </c>
    </row>
    <row r="34" spans="1:10" ht="14.65" customHeight="1">
      <c r="A34" s="49" t="s">
        <v>148</v>
      </c>
      <c r="B34" s="357" t="s">
        <v>149</v>
      </c>
      <c r="C34" s="357"/>
      <c r="D34" s="357"/>
      <c r="E34" s="357"/>
      <c r="F34" s="50">
        <v>0.08</v>
      </c>
      <c r="G34" s="62">
        <f t="shared" si="0"/>
        <v>213.73</v>
      </c>
    </row>
    <row r="35" spans="1:10" ht="14.65" customHeight="1">
      <c r="A35" s="49"/>
      <c r="B35" s="462" t="s">
        <v>133</v>
      </c>
      <c r="C35" s="462"/>
      <c r="D35" s="462"/>
      <c r="E35" s="462"/>
      <c r="F35" s="87">
        <f>SUM(F27:F34)</f>
        <v>0.36800000000000005</v>
      </c>
      <c r="G35" s="280">
        <f t="shared" si="0"/>
        <v>983.17</v>
      </c>
    </row>
    <row r="36" spans="1:10" ht="14.65" customHeight="1">
      <c r="A36" s="20" t="s">
        <v>150</v>
      </c>
      <c r="B36" s="562" t="s">
        <v>151</v>
      </c>
      <c r="C36" s="463"/>
      <c r="D36" s="463"/>
      <c r="E36" s="463"/>
      <c r="F36" s="463"/>
      <c r="G36" s="464"/>
    </row>
    <row r="37" spans="1:10">
      <c r="A37" s="20" t="s">
        <v>152</v>
      </c>
      <c r="B37" s="94" t="s">
        <v>153</v>
      </c>
      <c r="C37" s="85"/>
      <c r="D37" s="85"/>
      <c r="E37" s="85"/>
      <c r="F37" s="85"/>
      <c r="G37" s="86"/>
    </row>
    <row r="38" spans="1:10">
      <c r="A38" s="239"/>
      <c r="B38" s="1"/>
      <c r="C38" s="1"/>
      <c r="D38" s="1"/>
      <c r="E38" s="1"/>
      <c r="F38" s="1"/>
      <c r="G38" s="202"/>
      <c r="H38" s="136"/>
      <c r="I38" s="137"/>
      <c r="J38" s="137"/>
    </row>
    <row r="39" spans="1:10" ht="14.65" customHeight="1">
      <c r="A39" s="467" t="s">
        <v>154</v>
      </c>
      <c r="B39" s="467"/>
      <c r="C39" s="467"/>
      <c r="D39" s="467"/>
      <c r="E39" s="467"/>
      <c r="F39" s="467"/>
      <c r="G39" s="467"/>
      <c r="H39" s="467"/>
    </row>
    <row r="40" spans="1:10" ht="14.65" customHeight="1">
      <c r="A40" s="203" t="s">
        <v>155</v>
      </c>
      <c r="B40" s="471" t="s">
        <v>156</v>
      </c>
      <c r="C40" s="471"/>
      <c r="D40" s="471"/>
      <c r="E40" s="471"/>
      <c r="F40" s="471"/>
      <c r="G40" s="238" t="s">
        <v>123</v>
      </c>
      <c r="H40" s="204" t="s">
        <v>123</v>
      </c>
    </row>
    <row r="41" spans="1:10" ht="14.65" customHeight="1">
      <c r="A41" s="500" t="s">
        <v>280</v>
      </c>
      <c r="B41" s="500"/>
      <c r="C41" s="500"/>
      <c r="D41" s="500"/>
      <c r="E41" s="500"/>
      <c r="F41" s="500"/>
      <c r="G41" s="212" t="s">
        <v>9</v>
      </c>
      <c r="H41" s="206" t="s">
        <v>238</v>
      </c>
      <c r="I41" s="134"/>
      <c r="J41" s="134"/>
    </row>
    <row r="42" spans="1:10" ht="14.65" customHeight="1">
      <c r="A42" s="58" t="s">
        <v>5</v>
      </c>
      <c r="B42" s="357" t="s">
        <v>157</v>
      </c>
      <c r="C42" s="357"/>
      <c r="D42" s="357"/>
      <c r="E42" s="357"/>
      <c r="F42" s="357"/>
      <c r="G42" s="73">
        <f>Licitante!I42</f>
        <v>56.68640000000002</v>
      </c>
      <c r="H42" s="208">
        <f>Licitante!I50</f>
        <v>32.334400000000016</v>
      </c>
      <c r="I42" s="135"/>
      <c r="J42" s="135"/>
    </row>
    <row r="43" spans="1:10" ht="14.65" customHeight="1">
      <c r="A43" s="58" t="s">
        <v>7</v>
      </c>
      <c r="B43" s="357" t="s">
        <v>158</v>
      </c>
      <c r="C43" s="357"/>
      <c r="D43" s="357"/>
      <c r="E43" s="357"/>
      <c r="F43" s="357"/>
      <c r="G43" s="73">
        <f>Licitante!$I$25</f>
        <v>400.75</v>
      </c>
      <c r="H43" s="208">
        <f>Licitante!I25</f>
        <v>400.75</v>
      </c>
      <c r="I43" s="135"/>
      <c r="J43" s="135"/>
    </row>
    <row r="44" spans="1:10" ht="14.65" customHeight="1">
      <c r="A44" s="58" t="s">
        <v>10</v>
      </c>
      <c r="B44" s="357" t="s">
        <v>159</v>
      </c>
      <c r="C44" s="357"/>
      <c r="D44" s="357"/>
      <c r="E44" s="357"/>
      <c r="F44" s="357"/>
      <c r="G44" s="73">
        <f>Licitante!$I$33</f>
        <v>0</v>
      </c>
      <c r="H44" s="208">
        <f>Licitante!I33</f>
        <v>0</v>
      </c>
      <c r="I44" s="135"/>
      <c r="J44" s="135"/>
    </row>
    <row r="45" spans="1:10" ht="14.65" customHeight="1">
      <c r="A45" s="58" t="s">
        <v>12</v>
      </c>
      <c r="B45" s="357" t="s">
        <v>160</v>
      </c>
      <c r="C45" s="357"/>
      <c r="D45" s="357"/>
      <c r="E45" s="357"/>
      <c r="F45" s="357"/>
      <c r="G45" s="73">
        <f>Licitante!$D$28</f>
        <v>10.72</v>
      </c>
      <c r="H45" s="208">
        <f>Licitante!D28</f>
        <v>10.72</v>
      </c>
      <c r="I45" s="135"/>
      <c r="J45" s="135"/>
    </row>
    <row r="46" spans="1:10" ht="14.65" customHeight="1">
      <c r="A46" s="58" t="s">
        <v>161</v>
      </c>
      <c r="B46" s="357" t="s">
        <v>28</v>
      </c>
      <c r="C46" s="357"/>
      <c r="D46" s="357"/>
      <c r="E46" s="357"/>
      <c r="F46" s="357"/>
      <c r="G46" s="73">
        <f>Licitante!$I$30</f>
        <v>4.6139000000000006E-2</v>
      </c>
      <c r="H46" s="208">
        <f>Licitante!I30</f>
        <v>4.6139000000000006E-2</v>
      </c>
      <c r="I46" s="135"/>
      <c r="J46" s="135"/>
    </row>
    <row r="47" spans="1:10" ht="14.65" customHeight="1">
      <c r="A47" s="58" t="s">
        <v>55</v>
      </c>
      <c r="B47" s="357" t="s">
        <v>162</v>
      </c>
      <c r="C47" s="357"/>
      <c r="D47" s="357"/>
      <c r="E47" s="357"/>
      <c r="F47" s="357"/>
      <c r="G47" s="73">
        <f>Licitante!$I$32</f>
        <v>161.0915</v>
      </c>
      <c r="H47" s="208">
        <f>Licitante!I32</f>
        <v>161.0915</v>
      </c>
      <c r="I47" s="135"/>
      <c r="J47" s="135"/>
    </row>
    <row r="48" spans="1:10" ht="14.65" customHeight="1">
      <c r="A48" s="49"/>
      <c r="B48" s="460" t="s">
        <v>133</v>
      </c>
      <c r="C48" s="460"/>
      <c r="D48" s="460"/>
      <c r="E48" s="460"/>
      <c r="F48" s="460"/>
      <c r="G48" s="95">
        <f>ROUND(SUM(G42:G47),2)</f>
        <v>629.29</v>
      </c>
      <c r="H48" s="213">
        <f>ROUND(SUM(H42:H47),2)</f>
        <v>604.94000000000005</v>
      </c>
      <c r="I48" s="135"/>
      <c r="J48" s="135"/>
    </row>
    <row r="49" spans="1:10" ht="14.65" customHeight="1">
      <c r="B49" s="411"/>
      <c r="C49" s="411"/>
      <c r="D49" s="411"/>
      <c r="E49" s="411"/>
      <c r="F49" s="411"/>
      <c r="G49" s="411"/>
    </row>
    <row r="50" spans="1:10" ht="14.65" customHeight="1">
      <c r="A50" s="472" t="s">
        <v>164</v>
      </c>
      <c r="B50" s="473"/>
      <c r="C50" s="473"/>
      <c r="D50" s="473"/>
      <c r="E50" s="473"/>
      <c r="F50" s="473"/>
      <c r="G50" s="557"/>
      <c r="H50" s="116"/>
      <c r="I50" s="117"/>
      <c r="J50" s="117"/>
    </row>
    <row r="51" spans="1:10" ht="14.65" customHeight="1">
      <c r="A51" s="470" t="s">
        <v>5</v>
      </c>
      <c r="B51" s="357" t="s">
        <v>165</v>
      </c>
      <c r="C51" s="357"/>
      <c r="D51" s="357"/>
      <c r="E51" s="2" t="s">
        <v>166</v>
      </c>
      <c r="F51" s="468">
        <f>E52/30/12*D52</f>
        <v>4.1666666666666666E-3</v>
      </c>
      <c r="G51" s="469">
        <f>ROUND($F$51*($G$16+(G16*0.121)+$G$21),2)</f>
        <v>12.04</v>
      </c>
      <c r="H51" s="122"/>
      <c r="I51" s="69"/>
      <c r="J51" s="69"/>
    </row>
    <row r="52" spans="1:10" ht="14.65" customHeight="1">
      <c r="A52" s="470"/>
      <c r="B52" s="357" t="s">
        <v>167</v>
      </c>
      <c r="C52" s="357"/>
      <c r="D52" s="77">
        <f>Licitante!E53</f>
        <v>0.05</v>
      </c>
      <c r="E52" s="174">
        <v>30</v>
      </c>
      <c r="F52" s="468"/>
      <c r="G52" s="469"/>
      <c r="H52" s="122"/>
      <c r="I52" s="69"/>
      <c r="J52" s="69"/>
    </row>
    <row r="53" spans="1:10" ht="14.65" customHeight="1">
      <c r="A53" s="49" t="s">
        <v>7</v>
      </c>
      <c r="B53" s="357" t="s">
        <v>168</v>
      </c>
      <c r="C53" s="357"/>
      <c r="D53" s="357"/>
      <c r="E53" s="357"/>
      <c r="F53" s="52">
        <f>F34*F51</f>
        <v>3.3333333333333332E-4</v>
      </c>
      <c r="G53" s="63">
        <f>G51*0.08</f>
        <v>0.96319999999999995</v>
      </c>
      <c r="H53" s="122"/>
      <c r="I53" s="69"/>
      <c r="J53" s="69"/>
    </row>
    <row r="54" spans="1:10" ht="14.65" customHeight="1">
      <c r="A54" s="441" t="s">
        <v>10</v>
      </c>
      <c r="B54" s="357" t="s">
        <v>332</v>
      </c>
      <c r="C54" s="357"/>
      <c r="D54" s="357"/>
      <c r="E54" s="357"/>
      <c r="F54" s="468">
        <f>7/30/E55*E56</f>
        <v>1.9444444444444445E-2</v>
      </c>
      <c r="G54" s="469">
        <f>ROUND($F$54*$G$16,2)</f>
        <v>46.65</v>
      </c>
      <c r="H54" s="122"/>
      <c r="I54" s="69"/>
      <c r="J54" s="69"/>
    </row>
    <row r="55" spans="1:10" ht="14.65" customHeight="1">
      <c r="A55" s="442"/>
      <c r="B55" s="357" t="s">
        <v>167</v>
      </c>
      <c r="C55" s="357"/>
      <c r="D55" s="2" t="s">
        <v>169</v>
      </c>
      <c r="E55" s="80">
        <v>12</v>
      </c>
      <c r="F55" s="468"/>
      <c r="G55" s="469"/>
      <c r="H55" s="122"/>
      <c r="I55" s="69"/>
      <c r="J55" s="69"/>
    </row>
    <row r="56" spans="1:10" ht="14.25" customHeight="1">
      <c r="A56" s="443"/>
      <c r="B56" s="312" t="s">
        <v>170</v>
      </c>
      <c r="C56" s="2" t="s">
        <v>22</v>
      </c>
      <c r="D56" s="174">
        <v>30</v>
      </c>
      <c r="E56" s="77">
        <f>Licitante!E54</f>
        <v>1</v>
      </c>
      <c r="F56" s="468"/>
      <c r="G56" s="469"/>
      <c r="H56" s="122"/>
      <c r="I56" s="69"/>
      <c r="J56" s="69"/>
    </row>
    <row r="57" spans="1:10" ht="22.5" customHeight="1">
      <c r="A57" s="49" t="s">
        <v>12</v>
      </c>
      <c r="B57" s="357" t="s">
        <v>172</v>
      </c>
      <c r="C57" s="357"/>
      <c r="D57" s="357"/>
      <c r="E57" s="357"/>
      <c r="F57" s="52">
        <f>F54*F35</f>
        <v>7.1555555555555565E-3</v>
      </c>
      <c r="G57" s="63">
        <f>G54*F35</f>
        <v>17.167200000000001</v>
      </c>
      <c r="H57" s="130"/>
      <c r="I57" s="69"/>
      <c r="J57" s="69"/>
    </row>
    <row r="58" spans="1:10" ht="19.5" customHeight="1">
      <c r="A58" s="49" t="s">
        <v>55</v>
      </c>
      <c r="B58" s="357" t="s">
        <v>329</v>
      </c>
      <c r="C58" s="357"/>
      <c r="D58" s="357"/>
      <c r="E58" s="357"/>
      <c r="F58" s="52">
        <v>0.04</v>
      </c>
      <c r="G58" s="63">
        <f>$G$16*$F$58</f>
        <v>95.969200000000001</v>
      </c>
      <c r="H58" s="122"/>
      <c r="I58" s="69"/>
      <c r="J58" s="69"/>
    </row>
    <row r="59" spans="1:10" ht="14.65" customHeight="1">
      <c r="A59" s="49"/>
      <c r="B59" s="528" t="s">
        <v>133</v>
      </c>
      <c r="C59" s="529"/>
      <c r="D59" s="529"/>
      <c r="E59" s="529"/>
      <c r="F59" s="530"/>
      <c r="G59" s="75">
        <f>ROUND(SUM(G51:G58),2)</f>
        <v>172.79</v>
      </c>
      <c r="H59" s="131"/>
      <c r="I59" s="132"/>
      <c r="J59" s="132"/>
    </row>
    <row r="60" spans="1:10" ht="14.65" customHeight="1">
      <c r="A60" s="547" t="s">
        <v>333</v>
      </c>
      <c r="B60" s="548"/>
      <c r="C60" s="548"/>
      <c r="D60" s="548"/>
      <c r="E60" s="548"/>
      <c r="F60" s="548"/>
      <c r="G60" s="549"/>
    </row>
    <row r="61" spans="1:10" ht="14.65" customHeight="1">
      <c r="A61" s="313"/>
      <c r="B61" s="313"/>
      <c r="C61" s="313"/>
      <c r="D61" s="313"/>
      <c r="E61" s="313"/>
      <c r="F61" s="313"/>
      <c r="G61" s="313"/>
    </row>
    <row r="62" spans="1:10" ht="14.65" customHeight="1">
      <c r="A62" s="472" t="s">
        <v>174</v>
      </c>
      <c r="B62" s="473"/>
      <c r="C62" s="473"/>
      <c r="D62" s="473"/>
      <c r="E62" s="473"/>
      <c r="F62" s="473"/>
      <c r="G62" s="473"/>
      <c r="H62" s="116"/>
      <c r="I62" s="117"/>
      <c r="J62" s="117"/>
    </row>
    <row r="63" spans="1:10" ht="33" customHeight="1">
      <c r="A63" s="495" t="s">
        <v>324</v>
      </c>
      <c r="B63" s="525"/>
      <c r="C63" s="525"/>
      <c r="D63" s="525"/>
      <c r="E63" s="525"/>
      <c r="F63" s="525"/>
      <c r="G63" s="496"/>
      <c r="H63" s="116"/>
      <c r="I63" s="117"/>
      <c r="J63" s="117"/>
    </row>
    <row r="64" spans="1:10" ht="43.5" customHeight="1">
      <c r="A64" s="495" t="s">
        <v>330</v>
      </c>
      <c r="B64" s="525"/>
      <c r="C64" s="525"/>
      <c r="D64" s="525"/>
      <c r="E64" s="525"/>
      <c r="F64" s="525"/>
      <c r="G64" s="496"/>
      <c r="H64" s="116"/>
      <c r="I64" s="117"/>
      <c r="J64" s="117"/>
    </row>
    <row r="65" spans="1:11" ht="24.75" customHeight="1">
      <c r="A65" s="495" t="s">
        <v>326</v>
      </c>
      <c r="B65" s="496"/>
      <c r="C65" s="495" t="s">
        <v>331</v>
      </c>
      <c r="D65" s="496"/>
      <c r="E65" s="526" t="s">
        <v>327</v>
      </c>
      <c r="F65" s="526"/>
      <c r="G65" s="290" t="s">
        <v>325</v>
      </c>
      <c r="H65" s="116"/>
      <c r="I65" s="117"/>
      <c r="J65" s="117"/>
    </row>
    <row r="66" spans="1:11" ht="24" customHeight="1">
      <c r="A66" s="527">
        <f>G16</f>
        <v>2399.23</v>
      </c>
      <c r="B66" s="496"/>
      <c r="C66" s="527">
        <f>G23+G35+G48-G42-G43+G70</f>
        <v>1725.3035999999997</v>
      </c>
      <c r="D66" s="496"/>
      <c r="E66" s="524">
        <f>G59</f>
        <v>172.79</v>
      </c>
      <c r="F66" s="524"/>
      <c r="G66" s="287">
        <f>A66+C66+E66</f>
        <v>4297.3235999999997</v>
      </c>
      <c r="H66" s="116"/>
      <c r="I66" s="117"/>
      <c r="J66" s="117"/>
    </row>
    <row r="67" spans="1:11" ht="21" customHeight="1">
      <c r="A67" s="550" t="s">
        <v>175</v>
      </c>
      <c r="B67" s="551"/>
      <c r="C67" s="551"/>
      <c r="D67" s="551"/>
      <c r="E67" s="551"/>
      <c r="F67" s="551"/>
      <c r="G67" s="552"/>
      <c r="H67" s="128"/>
    </row>
    <row r="68" spans="1:11" ht="18.75" customHeight="1">
      <c r="A68" s="476" t="s">
        <v>176</v>
      </c>
      <c r="B68" s="477"/>
      <c r="C68" s="477"/>
      <c r="D68" s="477"/>
      <c r="E68" s="477"/>
      <c r="F68" s="478"/>
      <c r="G68" s="299" t="s">
        <v>138</v>
      </c>
      <c r="H68" s="295"/>
    </row>
    <row r="69" spans="1:11" ht="18" customHeight="1">
      <c r="A69" s="500" t="s">
        <v>280</v>
      </c>
      <c r="B69" s="500"/>
      <c r="C69" s="500"/>
      <c r="D69" s="500"/>
      <c r="E69" s="500"/>
      <c r="F69" s="500"/>
      <c r="G69" s="205" t="s">
        <v>9</v>
      </c>
      <c r="H69" s="121"/>
      <c r="I69" s="121"/>
      <c r="J69" s="121"/>
    </row>
    <row r="70" spans="1:11" ht="15" customHeight="1">
      <c r="A70" s="49" t="s">
        <v>5</v>
      </c>
      <c r="B70" s="553" t="s">
        <v>177</v>
      </c>
      <c r="C70" s="554"/>
      <c r="D70" s="554"/>
      <c r="E70" s="555"/>
      <c r="F70" s="284">
        <v>9.0749999999999997E-2</v>
      </c>
      <c r="G70" s="300">
        <f>ROUND(A66*F70+((A66*F70)*F35),2)</f>
        <v>297.85000000000002</v>
      </c>
      <c r="H70" s="125"/>
      <c r="I70" s="125"/>
      <c r="J70" s="125"/>
    </row>
    <row r="71" spans="1:11" ht="14.65" customHeight="1">
      <c r="A71" s="49" t="s">
        <v>7</v>
      </c>
      <c r="B71" s="357" t="s">
        <v>178</v>
      </c>
      <c r="C71" s="357"/>
      <c r="D71" s="357"/>
      <c r="E71" s="357"/>
      <c r="F71" s="52">
        <f>Licitante!G59</f>
        <v>2.7378507871321013E-3</v>
      </c>
      <c r="G71" s="300">
        <f>ROUND($F$71*G66,2)</f>
        <v>11.77</v>
      </c>
      <c r="H71" s="125"/>
      <c r="I71" s="125"/>
      <c r="J71" s="125"/>
    </row>
    <row r="72" spans="1:11" ht="14.65" customHeight="1">
      <c r="A72" s="49" t="s">
        <v>10</v>
      </c>
      <c r="B72" s="358" t="s">
        <v>179</v>
      </c>
      <c r="C72" s="447"/>
      <c r="D72" s="447"/>
      <c r="E72" s="448"/>
      <c r="F72" s="52">
        <f>Licitante!G60</f>
        <v>2.0533880903490757E-4</v>
      </c>
      <c r="G72" s="300">
        <f>ROUND($F$72*G66,2)</f>
        <v>0.88</v>
      </c>
      <c r="H72" s="125"/>
      <c r="I72" s="125"/>
      <c r="J72" s="125"/>
      <c r="K72" s="65"/>
    </row>
    <row r="73" spans="1:11" ht="14.65" customHeight="1">
      <c r="A73" s="49" t="s">
        <v>12</v>
      </c>
      <c r="B73" s="358" t="s">
        <v>212</v>
      </c>
      <c r="C73" s="447"/>
      <c r="D73" s="447"/>
      <c r="E73" s="448"/>
      <c r="F73" s="52">
        <f>Licitante!G61</f>
        <v>3.2032854209445585E-4</v>
      </c>
      <c r="G73" s="300">
        <f>ROUND($F$73*G66,2)</f>
        <v>1.38</v>
      </c>
      <c r="H73" s="125"/>
      <c r="I73" s="125"/>
      <c r="J73" s="125"/>
    </row>
    <row r="74" spans="1:11" ht="14.65" customHeight="1">
      <c r="A74" s="49" t="s">
        <v>55</v>
      </c>
      <c r="B74" s="358" t="s">
        <v>181</v>
      </c>
      <c r="C74" s="447"/>
      <c r="D74" s="447"/>
      <c r="E74" s="448"/>
      <c r="F74" s="52">
        <f>Licitante!G62</f>
        <v>6.570841889117043E-3</v>
      </c>
      <c r="G74" s="300">
        <f>ROUND((((A66*0.121+F35*(A66*0.121)))*F74)+(((G35-(A66*(F35-F34))+G48-G42-G43+G59))*F74),2)</f>
        <v>6.79</v>
      </c>
      <c r="H74" s="125"/>
      <c r="I74" s="125"/>
      <c r="J74" s="125"/>
    </row>
    <row r="75" spans="1:11" ht="14.65" customHeight="1">
      <c r="A75" s="49" t="s">
        <v>57</v>
      </c>
      <c r="B75" s="358" t="s">
        <v>182</v>
      </c>
      <c r="C75" s="447"/>
      <c r="D75" s="447"/>
      <c r="E75" s="448"/>
      <c r="F75" s="52">
        <f>Licitante!G63</f>
        <v>8.2135523613963042E-3</v>
      </c>
      <c r="G75" s="300">
        <f>ROUND((G66 - A66*(F35-F34))*F75,2)</f>
        <v>29.62</v>
      </c>
      <c r="H75" s="125"/>
      <c r="I75" s="125"/>
      <c r="J75" s="125"/>
    </row>
    <row r="76" spans="1:11" ht="14.65" customHeight="1">
      <c r="A76" s="49" t="s">
        <v>145</v>
      </c>
      <c r="B76" s="531" t="s">
        <v>183</v>
      </c>
      <c r="C76" s="532"/>
      <c r="D76" s="532"/>
      <c r="E76" s="533"/>
      <c r="F76" s="52">
        <f>(E77/30)/12</f>
        <v>0</v>
      </c>
      <c r="G76" s="305">
        <f>ROUND($F$76*G66,2)</f>
        <v>0</v>
      </c>
      <c r="H76" s="125"/>
      <c r="I76" s="126"/>
      <c r="J76" s="126"/>
    </row>
    <row r="77" spans="1:11" ht="14.65" customHeight="1">
      <c r="A77" s="49"/>
      <c r="B77" s="534" t="s">
        <v>133</v>
      </c>
      <c r="C77" s="535"/>
      <c r="D77" s="535"/>
      <c r="E77" s="535"/>
      <c r="F77" s="535"/>
      <c r="G77" s="306">
        <f>ROUND(SUM(G70:G76),2)</f>
        <v>348.29</v>
      </c>
      <c r="H77" s="304"/>
      <c r="I77" s="127"/>
      <c r="J77" s="127"/>
      <c r="K77" s="127"/>
    </row>
    <row r="78" spans="1:11" ht="14.65" customHeight="1">
      <c r="A78" s="97"/>
      <c r="B78" s="97"/>
      <c r="C78" s="97"/>
      <c r="D78" s="97"/>
      <c r="E78" s="97"/>
      <c r="F78" s="97"/>
      <c r="G78" s="76"/>
      <c r="H78" s="128"/>
      <c r="I78" s="128"/>
      <c r="J78" s="129"/>
    </row>
    <row r="79" spans="1:11" ht="14.65" customHeight="1">
      <c r="A79" s="536" t="s">
        <v>213</v>
      </c>
      <c r="B79" s="536"/>
      <c r="C79" s="536"/>
      <c r="D79" s="536"/>
      <c r="E79" s="536"/>
      <c r="F79" s="536"/>
      <c r="G79" s="536"/>
      <c r="H79" s="129"/>
      <c r="I79" s="129"/>
      <c r="J79" s="129"/>
    </row>
    <row r="80" spans="1:11" ht="14.65" customHeight="1">
      <c r="A80" s="100" t="s">
        <v>5</v>
      </c>
      <c r="B80" s="101" t="s">
        <v>214</v>
      </c>
      <c r="C80" s="102"/>
      <c r="D80" s="102"/>
      <c r="E80" s="103" t="s">
        <v>215</v>
      </c>
      <c r="F80" s="102">
        <v>15.22</v>
      </c>
      <c r="G80" s="104">
        <f>C15*F80</f>
        <v>265.74120000000005</v>
      </c>
      <c r="H80" s="129"/>
      <c r="I80" s="129"/>
      <c r="J80" s="129"/>
    </row>
    <row r="81" spans="1:10" ht="14.65" customHeight="1">
      <c r="A81" s="92"/>
      <c r="B81" s="537" t="s">
        <v>133</v>
      </c>
      <c r="C81" s="537"/>
      <c r="D81" s="537"/>
      <c r="E81" s="537"/>
      <c r="F81" s="537"/>
      <c r="G81" s="99">
        <f>G80</f>
        <v>265.74120000000005</v>
      </c>
      <c r="H81" s="129"/>
      <c r="I81" s="129"/>
      <c r="J81" s="129"/>
    </row>
    <row r="82" spans="1:10" ht="14.65" customHeight="1">
      <c r="A82" s="1"/>
      <c r="B82" s="1"/>
      <c r="C82" s="1"/>
      <c r="D82" s="1"/>
      <c r="E82" s="1"/>
      <c r="F82" s="1"/>
      <c r="G82" s="1"/>
    </row>
    <row r="83" spans="1:10" ht="14.65" customHeight="1">
      <c r="A83" s="349" t="s">
        <v>184</v>
      </c>
      <c r="B83" s="349"/>
      <c r="C83" s="349"/>
      <c r="D83" s="349"/>
      <c r="E83" s="349"/>
      <c r="F83" s="349"/>
      <c r="G83" s="349"/>
      <c r="H83" s="349"/>
      <c r="I83" s="117"/>
      <c r="J83" s="117"/>
    </row>
    <row r="84" spans="1:10" ht="14.65" customHeight="1">
      <c r="A84" s="214"/>
      <c r="B84" s="499" t="s">
        <v>185</v>
      </c>
      <c r="C84" s="499"/>
      <c r="D84" s="499"/>
      <c r="E84" s="499"/>
      <c r="F84" s="499"/>
      <c r="G84" s="211" t="s">
        <v>123</v>
      </c>
      <c r="H84" s="215" t="s">
        <v>123</v>
      </c>
      <c r="I84" s="117"/>
      <c r="J84" s="117"/>
    </row>
    <row r="85" spans="1:10" ht="14.65" customHeight="1">
      <c r="A85" s="500" t="s">
        <v>280</v>
      </c>
      <c r="B85" s="500"/>
      <c r="C85" s="500"/>
      <c r="D85" s="500"/>
      <c r="E85" s="500"/>
      <c r="F85" s="500"/>
      <c r="G85" s="212" t="s">
        <v>9</v>
      </c>
      <c r="H85" s="206" t="s">
        <v>238</v>
      </c>
      <c r="I85" s="121"/>
      <c r="J85" s="121"/>
    </row>
    <row r="86" spans="1:10" ht="14.65" customHeight="1">
      <c r="A86" s="49" t="s">
        <v>5</v>
      </c>
      <c r="B86" s="357" t="s">
        <v>186</v>
      </c>
      <c r="C86" s="357"/>
      <c r="D86" s="357"/>
      <c r="E86" s="357"/>
      <c r="F86" s="357"/>
      <c r="G86" s="63">
        <f>Licitante!$H$78</f>
        <v>104.10683333333333</v>
      </c>
      <c r="H86" s="216">
        <f>Licitante!H78</f>
        <v>104.10683333333333</v>
      </c>
      <c r="I86" s="69"/>
      <c r="J86" s="69"/>
    </row>
    <row r="87" spans="1:10" ht="14.65" customHeight="1">
      <c r="A87" s="49" t="s">
        <v>7</v>
      </c>
      <c r="B87" s="357" t="s">
        <v>187</v>
      </c>
      <c r="C87" s="357"/>
      <c r="D87" s="357"/>
      <c r="E87" s="357"/>
      <c r="F87" s="357"/>
      <c r="G87" s="63">
        <f>Licitante!F92</f>
        <v>3.0584583333333333</v>
      </c>
      <c r="H87" s="216">
        <f>Licitante!F115</f>
        <v>61.249166666666667</v>
      </c>
      <c r="I87" s="69"/>
      <c r="J87" s="69"/>
    </row>
    <row r="88" spans="1:10" ht="14.65" customHeight="1">
      <c r="A88" s="49" t="s">
        <v>10</v>
      </c>
      <c r="B88" s="501" t="str">
        <f>Licitante!A77</f>
        <v>Outros (especificar)</v>
      </c>
      <c r="C88" s="501"/>
      <c r="D88" s="501"/>
      <c r="E88" s="501"/>
      <c r="F88" s="501"/>
      <c r="G88" s="113">
        <f>Licitante!H77</f>
        <v>0</v>
      </c>
      <c r="H88" s="241">
        <f>Licitante!H77</f>
        <v>0</v>
      </c>
      <c r="I88" s="123"/>
      <c r="J88" s="123"/>
    </row>
    <row r="89" spans="1:10" ht="14.65" customHeight="1">
      <c r="A89" s="49"/>
      <c r="B89" s="460" t="s">
        <v>188</v>
      </c>
      <c r="C89" s="460"/>
      <c r="D89" s="460"/>
      <c r="E89" s="460"/>
      <c r="F89" s="460"/>
      <c r="G89" s="75">
        <f>G86+G87+G88</f>
        <v>107.16529166666666</v>
      </c>
      <c r="H89" s="240">
        <f>H86+H87+H88</f>
        <v>165.35599999999999</v>
      </c>
      <c r="I89" s="69"/>
      <c r="J89" s="69"/>
    </row>
    <row r="90" spans="1:10" ht="14.65" customHeight="1">
      <c r="A90" s="20" t="s">
        <v>189</v>
      </c>
      <c r="B90" s="556" t="s">
        <v>190</v>
      </c>
      <c r="C90" s="556"/>
      <c r="D90" s="556"/>
      <c r="E90" s="556"/>
      <c r="F90" s="556"/>
      <c r="G90" s="556"/>
    </row>
    <row r="91" spans="1:10" ht="14.65" customHeight="1">
      <c r="A91" s="541"/>
      <c r="B91" s="541"/>
      <c r="C91" s="541"/>
      <c r="D91" s="541"/>
      <c r="E91" s="541"/>
      <c r="F91" s="541"/>
      <c r="G91" s="541"/>
    </row>
    <row r="92" spans="1:10" ht="14.65" customHeight="1">
      <c r="A92" s="349" t="s">
        <v>191</v>
      </c>
      <c r="B92" s="349"/>
      <c r="C92" s="349"/>
      <c r="D92" s="349"/>
      <c r="E92" s="349"/>
      <c r="F92" s="349"/>
      <c r="G92" s="349"/>
      <c r="H92" s="349"/>
      <c r="I92" s="117"/>
      <c r="J92" s="117"/>
    </row>
    <row r="93" spans="1:10" ht="14.65" customHeight="1">
      <c r="A93" s="500" t="s">
        <v>280</v>
      </c>
      <c r="B93" s="500"/>
      <c r="C93" s="500"/>
      <c r="D93" s="500"/>
      <c r="E93" s="500"/>
      <c r="F93" s="500"/>
      <c r="G93" s="212" t="s">
        <v>9</v>
      </c>
      <c r="H93" s="206" t="s">
        <v>238</v>
      </c>
      <c r="I93" s="117"/>
      <c r="J93" s="117"/>
    </row>
    <row r="94" spans="1:10" ht="14.65" customHeight="1">
      <c r="A94" s="242" t="s">
        <v>5</v>
      </c>
      <c r="B94" s="538" t="s">
        <v>121</v>
      </c>
      <c r="C94" s="538"/>
      <c r="D94" s="538"/>
      <c r="E94" s="538"/>
      <c r="F94" s="538"/>
      <c r="G94" s="243">
        <f>G16</f>
        <v>2399.23</v>
      </c>
      <c r="H94" s="219">
        <f>G16</f>
        <v>2399.23</v>
      </c>
      <c r="I94" s="118"/>
      <c r="J94" s="118"/>
    </row>
    <row r="95" spans="1:10" ht="14.65" customHeight="1">
      <c r="A95" s="22" t="s">
        <v>7</v>
      </c>
      <c r="B95" s="539" t="s">
        <v>128</v>
      </c>
      <c r="C95" s="539"/>
      <c r="D95" s="539"/>
      <c r="E95" s="539"/>
      <c r="F95" s="539"/>
      <c r="G95" s="114">
        <f>$G$23+$G$35+G48</f>
        <v>1884.8899999999999</v>
      </c>
      <c r="H95" s="219">
        <f>$G$23+$G$35+H48</f>
        <v>1860.54</v>
      </c>
      <c r="I95" s="118"/>
      <c r="J95" s="118"/>
    </row>
    <row r="96" spans="1:10">
      <c r="A96" s="22" t="s">
        <v>10</v>
      </c>
      <c r="B96" s="540" t="s">
        <v>164</v>
      </c>
      <c r="C96" s="540"/>
      <c r="D96" s="540"/>
      <c r="E96" s="540"/>
      <c r="F96" s="540"/>
      <c r="G96" s="114">
        <f>$G$59</f>
        <v>172.79</v>
      </c>
      <c r="H96" s="219">
        <f>$G$59</f>
        <v>172.79</v>
      </c>
      <c r="I96" s="118"/>
      <c r="J96" s="118"/>
    </row>
    <row r="97" spans="1:10" ht="14.65" customHeight="1">
      <c r="A97" s="22" t="s">
        <v>12</v>
      </c>
      <c r="B97" s="540" t="s">
        <v>174</v>
      </c>
      <c r="C97" s="540"/>
      <c r="D97" s="540"/>
      <c r="E97" s="540"/>
      <c r="F97" s="540"/>
      <c r="G97" s="114">
        <f>G77+G81</f>
        <v>614.03120000000013</v>
      </c>
      <c r="H97" s="219">
        <f>G77+G81</f>
        <v>614.03120000000013</v>
      </c>
      <c r="I97" s="118"/>
      <c r="J97" s="118"/>
    </row>
    <row r="98" spans="1:10" ht="14.65" customHeight="1">
      <c r="A98" s="22" t="s">
        <v>55</v>
      </c>
      <c r="B98" s="540" t="s">
        <v>184</v>
      </c>
      <c r="C98" s="540"/>
      <c r="D98" s="540"/>
      <c r="E98" s="540"/>
      <c r="F98" s="540"/>
      <c r="G98" s="114">
        <f>$G$89</f>
        <v>107.16529166666666</v>
      </c>
      <c r="H98" s="219">
        <f>$H$89</f>
        <v>165.35599999999999</v>
      </c>
      <c r="I98" s="118"/>
      <c r="J98" s="118"/>
    </row>
    <row r="99" spans="1:10">
      <c r="A99" s="460" t="s">
        <v>133</v>
      </c>
      <c r="B99" s="460"/>
      <c r="C99" s="460"/>
      <c r="D99" s="460"/>
      <c r="E99" s="460"/>
      <c r="F99" s="460"/>
      <c r="G99" s="115">
        <f>SUM(G94:G98)</f>
        <v>5178.1064916666664</v>
      </c>
      <c r="H99" s="245">
        <f>SUM(H94:H98)</f>
        <v>5211.9472000000005</v>
      </c>
      <c r="I99" s="119"/>
      <c r="J99" s="119"/>
    </row>
    <row r="100" spans="1:10" ht="12.6" customHeight="1">
      <c r="A100" s="563"/>
      <c r="B100" s="564"/>
      <c r="C100" s="564"/>
      <c r="D100" s="564"/>
      <c r="E100" s="564"/>
      <c r="F100" s="564"/>
      <c r="G100" s="565"/>
    </row>
    <row r="101" spans="1:10" ht="14.65" customHeight="1">
      <c r="A101" s="349" t="s">
        <v>192</v>
      </c>
      <c r="B101" s="349"/>
      <c r="C101" s="349"/>
      <c r="D101" s="349"/>
      <c r="E101" s="349"/>
      <c r="F101" s="349"/>
      <c r="G101" s="349"/>
      <c r="H101" s="349"/>
      <c r="I101" s="117"/>
      <c r="J101" s="117"/>
    </row>
    <row r="102" spans="1:10" ht="14.65" customHeight="1">
      <c r="A102" s="203"/>
      <c r="B102" s="471" t="s">
        <v>193</v>
      </c>
      <c r="C102" s="471"/>
      <c r="D102" s="471"/>
      <c r="E102" s="471"/>
      <c r="F102" s="203" t="s">
        <v>194</v>
      </c>
      <c r="G102" s="203" t="s">
        <v>123</v>
      </c>
      <c r="H102" s="203" t="s">
        <v>123</v>
      </c>
      <c r="I102" s="117"/>
      <c r="J102" s="117"/>
    </row>
    <row r="103" spans="1:10">
      <c r="A103" s="500" t="s">
        <v>280</v>
      </c>
      <c r="B103" s="500"/>
      <c r="C103" s="500"/>
      <c r="D103" s="500"/>
      <c r="E103" s="500"/>
      <c r="F103" s="500"/>
      <c r="G103" s="212" t="s">
        <v>9</v>
      </c>
      <c r="H103" s="206" t="s">
        <v>238</v>
      </c>
      <c r="I103" s="117"/>
      <c r="J103" s="117"/>
    </row>
    <row r="104" spans="1:10">
      <c r="A104" s="49" t="s">
        <v>5</v>
      </c>
      <c r="B104" s="357" t="s">
        <v>195</v>
      </c>
      <c r="C104" s="357"/>
      <c r="D104" s="357"/>
      <c r="E104" s="357"/>
      <c r="F104" s="59">
        <f>Licitante!D119</f>
        <v>0.06</v>
      </c>
      <c r="G104" s="73">
        <f>ROUND(G99*$F$104,2)</f>
        <v>310.69</v>
      </c>
      <c r="H104" s="208">
        <f>ROUND(H99*$F$104,2)</f>
        <v>312.72000000000003</v>
      </c>
      <c r="I104" s="125"/>
      <c r="J104" s="125"/>
    </row>
    <row r="105" spans="1:10">
      <c r="A105" s="49" t="s">
        <v>7</v>
      </c>
      <c r="B105" s="357" t="s">
        <v>90</v>
      </c>
      <c r="C105" s="357"/>
      <c r="D105" s="357"/>
      <c r="E105" s="357"/>
      <c r="F105" s="59">
        <f>Licitante!D120</f>
        <v>6.7900000000000002E-2</v>
      </c>
      <c r="G105" s="73">
        <f>ROUND((G99+G104)*$F$105,2)</f>
        <v>372.69</v>
      </c>
      <c r="H105" s="208">
        <f>ROUND((H99+H104)*$F$105,2)</f>
        <v>375.12</v>
      </c>
      <c r="I105" s="125"/>
      <c r="J105" s="125"/>
    </row>
    <row r="106" spans="1:10">
      <c r="A106" s="470" t="s">
        <v>10</v>
      </c>
      <c r="B106" s="357" t="s">
        <v>99</v>
      </c>
      <c r="C106" s="357"/>
      <c r="D106" s="357"/>
      <c r="E106" s="357"/>
      <c r="F106" s="542">
        <f>SUM(E107:E109)</f>
        <v>8.6499999999999994E-2</v>
      </c>
      <c r="G106" s="543">
        <f>G121*F106</f>
        <v>555.02855120872096</v>
      </c>
      <c r="H106" s="544">
        <f>H121*F106</f>
        <v>558.65527400109477</v>
      </c>
      <c r="I106" s="125"/>
      <c r="J106" s="125"/>
    </row>
    <row r="107" spans="1:10">
      <c r="A107" s="470"/>
      <c r="B107" s="357" t="s">
        <v>196</v>
      </c>
      <c r="C107" s="357"/>
      <c r="D107" s="10" t="s">
        <v>197</v>
      </c>
      <c r="E107" s="60">
        <f>Licitante!D123</f>
        <v>6.4999999999999997E-3</v>
      </c>
      <c r="F107" s="542"/>
      <c r="G107" s="543"/>
      <c r="H107" s="545"/>
      <c r="I107" s="125"/>
      <c r="J107" s="125"/>
    </row>
    <row r="108" spans="1:10">
      <c r="A108" s="470"/>
      <c r="B108" s="357"/>
      <c r="C108" s="357"/>
      <c r="D108" s="10" t="s">
        <v>198</v>
      </c>
      <c r="E108" s="60">
        <f>Licitante!D124</f>
        <v>0.03</v>
      </c>
      <c r="F108" s="542"/>
      <c r="G108" s="543"/>
      <c r="H108" s="545"/>
      <c r="I108" s="125"/>
      <c r="J108" s="125"/>
    </row>
    <row r="109" spans="1:10">
      <c r="A109" s="470"/>
      <c r="B109" s="357" t="s">
        <v>199</v>
      </c>
      <c r="C109" s="357"/>
      <c r="D109" s="10" t="s">
        <v>200</v>
      </c>
      <c r="E109" s="93">
        <f>Licitante!D125</f>
        <v>0.05</v>
      </c>
      <c r="F109" s="542"/>
      <c r="G109" s="543"/>
      <c r="H109" s="546"/>
      <c r="I109" s="125"/>
      <c r="J109" s="125"/>
    </row>
    <row r="110" spans="1:10">
      <c r="A110" s="49"/>
      <c r="B110" s="460" t="s">
        <v>133</v>
      </c>
      <c r="C110" s="460"/>
      <c r="D110" s="460"/>
      <c r="E110" s="460"/>
      <c r="F110" s="460"/>
      <c r="G110" s="74">
        <f>ROUND(G104+G105+G106,2)</f>
        <v>1238.4100000000001</v>
      </c>
      <c r="H110" s="213">
        <f>ROUND(H104+H105+H106,2)</f>
        <v>1246.5</v>
      </c>
      <c r="I110" s="129"/>
      <c r="J110" s="129"/>
    </row>
    <row r="111" spans="1:10">
      <c r="A111" s="403"/>
      <c r="B111" s="403"/>
      <c r="C111" s="403"/>
      <c r="D111" s="403"/>
      <c r="E111" s="403"/>
      <c r="F111" s="403"/>
      <c r="G111" s="403"/>
    </row>
    <row r="112" spans="1:10" ht="12.95" customHeight="1">
      <c r="A112" s="349" t="s">
        <v>201</v>
      </c>
      <c r="B112" s="349"/>
      <c r="C112" s="349"/>
      <c r="D112" s="349"/>
      <c r="E112" s="349"/>
      <c r="F112" s="349"/>
      <c r="G112" s="349"/>
      <c r="H112" s="349"/>
      <c r="I112" s="117"/>
      <c r="J112" s="117"/>
    </row>
    <row r="113" spans="1:10" ht="12.95" customHeight="1">
      <c r="A113" s="471" t="s">
        <v>202</v>
      </c>
      <c r="B113" s="471"/>
      <c r="C113" s="471"/>
      <c r="D113" s="471"/>
      <c r="E113" s="471"/>
      <c r="F113" s="471"/>
      <c r="G113" s="204" t="s">
        <v>203</v>
      </c>
      <c r="H113" s="204" t="s">
        <v>203</v>
      </c>
      <c r="I113" s="117"/>
      <c r="J113" s="117"/>
    </row>
    <row r="114" spans="1:10">
      <c r="A114" s="500" t="s">
        <v>280</v>
      </c>
      <c r="B114" s="500"/>
      <c r="C114" s="500"/>
      <c r="D114" s="500"/>
      <c r="E114" s="500"/>
      <c r="F114" s="500"/>
      <c r="G114" s="205" t="s">
        <v>9</v>
      </c>
      <c r="H114" s="206" t="s">
        <v>238</v>
      </c>
      <c r="I114" s="121"/>
      <c r="J114" s="121"/>
    </row>
    <row r="115" spans="1:10">
      <c r="A115" s="207" t="s">
        <v>5</v>
      </c>
      <c r="B115" s="517" t="s">
        <v>121</v>
      </c>
      <c r="C115" s="517"/>
      <c r="D115" s="517"/>
      <c r="E115" s="517"/>
      <c r="F115" s="517"/>
      <c r="G115" s="216">
        <f t="shared" ref="G115:H119" si="1">G94</f>
        <v>2399.23</v>
      </c>
      <c r="H115" s="216">
        <f t="shared" si="1"/>
        <v>2399.23</v>
      </c>
      <c r="I115" s="138"/>
      <c r="J115" s="138"/>
    </row>
    <row r="116" spans="1:10">
      <c r="A116" s="207" t="s">
        <v>7</v>
      </c>
      <c r="B116" s="517" t="s">
        <v>128</v>
      </c>
      <c r="C116" s="517"/>
      <c r="D116" s="517"/>
      <c r="E116" s="517"/>
      <c r="F116" s="517"/>
      <c r="G116" s="216">
        <f t="shared" si="1"/>
        <v>1884.8899999999999</v>
      </c>
      <c r="H116" s="216">
        <f t="shared" si="1"/>
        <v>1860.54</v>
      </c>
      <c r="I116" s="138"/>
      <c r="J116" s="138"/>
    </row>
    <row r="117" spans="1:10">
      <c r="A117" s="207" t="s">
        <v>10</v>
      </c>
      <c r="B117" s="517" t="s">
        <v>164</v>
      </c>
      <c r="C117" s="517"/>
      <c r="D117" s="517"/>
      <c r="E117" s="517"/>
      <c r="F117" s="517"/>
      <c r="G117" s="216">
        <f t="shared" si="1"/>
        <v>172.79</v>
      </c>
      <c r="H117" s="216">
        <f t="shared" si="1"/>
        <v>172.79</v>
      </c>
      <c r="I117" s="138"/>
      <c r="J117" s="138"/>
    </row>
    <row r="118" spans="1:10">
      <c r="A118" s="207" t="s">
        <v>12</v>
      </c>
      <c r="B118" s="517" t="s">
        <v>174</v>
      </c>
      <c r="C118" s="517"/>
      <c r="D118" s="517"/>
      <c r="E118" s="517"/>
      <c r="F118" s="517"/>
      <c r="G118" s="216">
        <f t="shared" si="1"/>
        <v>614.03120000000013</v>
      </c>
      <c r="H118" s="216">
        <f t="shared" si="1"/>
        <v>614.03120000000013</v>
      </c>
      <c r="I118" s="138"/>
      <c r="J118" s="138"/>
    </row>
    <row r="119" spans="1:10">
      <c r="A119" s="207" t="s">
        <v>55</v>
      </c>
      <c r="B119" s="517" t="s">
        <v>184</v>
      </c>
      <c r="C119" s="517"/>
      <c r="D119" s="517"/>
      <c r="E119" s="517"/>
      <c r="F119" s="517"/>
      <c r="G119" s="216">
        <f t="shared" si="1"/>
        <v>107.16529166666666</v>
      </c>
      <c r="H119" s="216">
        <f t="shared" si="1"/>
        <v>165.35599999999999</v>
      </c>
      <c r="I119" s="138"/>
      <c r="J119" s="138"/>
    </row>
    <row r="120" spans="1:10">
      <c r="A120" s="207" t="s">
        <v>57</v>
      </c>
      <c r="B120" s="517" t="s">
        <v>216</v>
      </c>
      <c r="C120" s="517"/>
      <c r="D120" s="517"/>
      <c r="E120" s="517"/>
      <c r="F120" s="517"/>
      <c r="G120" s="216">
        <f>G110</f>
        <v>1238.4100000000001</v>
      </c>
      <c r="H120" s="216">
        <f>H110</f>
        <v>1246.5</v>
      </c>
      <c r="I120" s="138"/>
      <c r="J120" s="138"/>
    </row>
    <row r="121" spans="1:10">
      <c r="A121" s="207"/>
      <c r="B121" s="471" t="s">
        <v>205</v>
      </c>
      <c r="C121" s="471"/>
      <c r="D121" s="471"/>
      <c r="E121" s="471"/>
      <c r="F121" s="471"/>
      <c r="G121" s="240">
        <f>((G99+G104+G105)/(1-F106))</f>
        <v>6416.5150428753868</v>
      </c>
      <c r="H121" s="240">
        <f>((H99+H104+H105)/(1-F106))</f>
        <v>6458.4424740010954</v>
      </c>
      <c r="I121" s="140"/>
      <c r="J121" s="140"/>
    </row>
    <row r="122" spans="1:10">
      <c r="G122" s="244"/>
    </row>
    <row r="123" spans="1:10">
      <c r="G123" s="69"/>
    </row>
  </sheetData>
  <sheetProtection selectLockedCells="1" selectUnlockedCells="1"/>
  <mergeCells count="129">
    <mergeCell ref="B7:E7"/>
    <mergeCell ref="F7:G7"/>
    <mergeCell ref="A100:G100"/>
    <mergeCell ref="A1:G1"/>
    <mergeCell ref="A4:G4"/>
    <mergeCell ref="B5:E5"/>
    <mergeCell ref="F5:G5"/>
    <mergeCell ref="B6:E6"/>
    <mergeCell ref="F6:G6"/>
    <mergeCell ref="A2:G2"/>
    <mergeCell ref="A3:G3"/>
    <mergeCell ref="B13:E13"/>
    <mergeCell ref="E14:F15"/>
    <mergeCell ref="C15:D15"/>
    <mergeCell ref="B8:E8"/>
    <mergeCell ref="F8:G8"/>
    <mergeCell ref="A9:G9"/>
    <mergeCell ref="A10:G10"/>
    <mergeCell ref="B11:F11"/>
    <mergeCell ref="B12:D12"/>
    <mergeCell ref="A19:G19"/>
    <mergeCell ref="B20:F20"/>
    <mergeCell ref="B21:E21"/>
    <mergeCell ref="B22:E22"/>
    <mergeCell ref="B23:E23"/>
    <mergeCell ref="A25:G25"/>
    <mergeCell ref="B16:F16"/>
    <mergeCell ref="A17:G17"/>
    <mergeCell ref="A18:G18"/>
    <mergeCell ref="B32:E32"/>
    <mergeCell ref="B34:E34"/>
    <mergeCell ref="B35:E35"/>
    <mergeCell ref="B36:G36"/>
    <mergeCell ref="B26:E26"/>
    <mergeCell ref="B27:E27"/>
    <mergeCell ref="B28:E28"/>
    <mergeCell ref="B29:E29"/>
    <mergeCell ref="B30:E30"/>
    <mergeCell ref="B31:E31"/>
    <mergeCell ref="A39:H39"/>
    <mergeCell ref="B49:G49"/>
    <mergeCell ref="A51:A52"/>
    <mergeCell ref="B51:D51"/>
    <mergeCell ref="F51:F52"/>
    <mergeCell ref="G51:G52"/>
    <mergeCell ref="B42:F42"/>
    <mergeCell ref="B43:F43"/>
    <mergeCell ref="B44:F44"/>
    <mergeCell ref="B45:F45"/>
    <mergeCell ref="B46:F46"/>
    <mergeCell ref="B47:F47"/>
    <mergeCell ref="A50:G50"/>
    <mergeCell ref="B52:C52"/>
    <mergeCell ref="E66:F66"/>
    <mergeCell ref="B70:E70"/>
    <mergeCell ref="B72:E72"/>
    <mergeCell ref="B73:E73"/>
    <mergeCell ref="B74:E74"/>
    <mergeCell ref="B89:F89"/>
    <mergeCell ref="B90:G90"/>
    <mergeCell ref="B48:F48"/>
    <mergeCell ref="B40:F40"/>
    <mergeCell ref="A41:F41"/>
    <mergeCell ref="B53:E53"/>
    <mergeCell ref="A83:H83"/>
    <mergeCell ref="A92:H92"/>
    <mergeCell ref="B104:E104"/>
    <mergeCell ref="B105:E105"/>
    <mergeCell ref="H106:H109"/>
    <mergeCell ref="B54:E54"/>
    <mergeCell ref="F54:F56"/>
    <mergeCell ref="G54:G56"/>
    <mergeCell ref="B55:C55"/>
    <mergeCell ref="B71:E71"/>
    <mergeCell ref="B58:E58"/>
    <mergeCell ref="B57:E57"/>
    <mergeCell ref="A60:G60"/>
    <mergeCell ref="A62:G62"/>
    <mergeCell ref="A67:G67"/>
    <mergeCell ref="A68:F68"/>
    <mergeCell ref="A69:F69"/>
    <mergeCell ref="A63:G63"/>
    <mergeCell ref="A64:G64"/>
    <mergeCell ref="A65:B65"/>
    <mergeCell ref="C65:D65"/>
    <mergeCell ref="E65:F65"/>
    <mergeCell ref="A66:B66"/>
    <mergeCell ref="C66:D66"/>
    <mergeCell ref="B121:F121"/>
    <mergeCell ref="A111:G111"/>
    <mergeCell ref="A114:F114"/>
    <mergeCell ref="B115:F115"/>
    <mergeCell ref="B116:F116"/>
    <mergeCell ref="B117:F117"/>
    <mergeCell ref="B107:C108"/>
    <mergeCell ref="B109:C109"/>
    <mergeCell ref="B110:F110"/>
    <mergeCell ref="F106:F109"/>
    <mergeCell ref="A106:A109"/>
    <mergeCell ref="A112:H112"/>
    <mergeCell ref="A113:F113"/>
    <mergeCell ref="G106:G109"/>
    <mergeCell ref="B118:F118"/>
    <mergeCell ref="B119:F119"/>
    <mergeCell ref="B120:F120"/>
    <mergeCell ref="A54:A56"/>
    <mergeCell ref="B59:F59"/>
    <mergeCell ref="B75:E75"/>
    <mergeCell ref="B76:E76"/>
    <mergeCell ref="B77:F77"/>
    <mergeCell ref="A79:G79"/>
    <mergeCell ref="B81:F81"/>
    <mergeCell ref="B84:F84"/>
    <mergeCell ref="B106:E106"/>
    <mergeCell ref="B94:F94"/>
    <mergeCell ref="B95:F95"/>
    <mergeCell ref="B96:F96"/>
    <mergeCell ref="B97:F97"/>
    <mergeCell ref="B98:F98"/>
    <mergeCell ref="B86:F86"/>
    <mergeCell ref="B87:F87"/>
    <mergeCell ref="B88:F88"/>
    <mergeCell ref="A91:G91"/>
    <mergeCell ref="A93:F93"/>
    <mergeCell ref="A101:H101"/>
    <mergeCell ref="B102:E102"/>
    <mergeCell ref="A103:F103"/>
    <mergeCell ref="A99:F99"/>
    <mergeCell ref="A85:F85"/>
  </mergeCells>
  <printOptions horizontalCentered="1" verticalCentered="1"/>
  <pageMargins left="0.59027777777777779" right="0.59027777777777779" top="0.39305555555555555" bottom="0.39305555555555555" header="0.19652777777777777" footer="0.19652777777777777"/>
  <pageSetup paperSize="9" firstPageNumber="0" fitToHeight="0" orientation="portrait" horizontalDpi="300" verticalDpi="300" r:id="rId1"/>
  <headerFooter alignWithMargins="0">
    <oddHeader>&amp;L&amp;F&amp;R&amp;A</oddHeader>
    <oddFooter>&amp;C&amp;P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24"/>
  <sheetViews>
    <sheetView topLeftCell="A88" workbookViewId="0">
      <selection activeCell="B60" sqref="B60:F60"/>
    </sheetView>
  </sheetViews>
  <sheetFormatPr defaultColWidth="9.42578125" defaultRowHeight="12.75"/>
  <cols>
    <col min="1" max="1" width="7.42578125" style="20" customWidth="1"/>
    <col min="2" max="2" width="25.28515625" style="20" customWidth="1"/>
    <col min="3" max="3" width="19.140625" style="20" customWidth="1"/>
    <col min="4" max="4" width="23.42578125" style="20" customWidth="1"/>
    <col min="5" max="5" width="16.42578125" style="20" customWidth="1"/>
    <col min="6" max="6" width="19" style="20" customWidth="1"/>
    <col min="7" max="7" width="18" style="20" customWidth="1"/>
    <col min="8" max="8" width="16.5703125" style="20" customWidth="1"/>
    <col min="9" max="9" width="14.140625" style="20" customWidth="1"/>
    <col min="10" max="10" width="24.42578125" style="20" customWidth="1"/>
    <col min="11" max="16384" width="9.42578125" style="20"/>
  </cols>
  <sheetData>
    <row r="1" spans="1:7" ht="18">
      <c r="A1" s="566" t="s">
        <v>217</v>
      </c>
      <c r="B1" s="567"/>
      <c r="C1" s="567"/>
      <c r="D1" s="567"/>
      <c r="E1" s="567"/>
      <c r="F1" s="567"/>
      <c r="G1" s="568"/>
    </row>
    <row r="2" spans="1:7">
      <c r="A2" s="594"/>
      <c r="B2" s="594"/>
      <c r="C2" s="594"/>
      <c r="D2" s="594"/>
      <c r="E2" s="594"/>
      <c r="F2" s="594"/>
      <c r="G2" s="594"/>
    </row>
    <row r="3" spans="1:7">
      <c r="A3" s="454" t="s">
        <v>113</v>
      </c>
      <c r="B3" s="454"/>
      <c r="C3" s="454"/>
      <c r="D3" s="454"/>
      <c r="E3" s="454"/>
      <c r="F3" s="454"/>
      <c r="G3" s="454"/>
    </row>
    <row r="4" spans="1:7">
      <c r="A4" s="402" t="s">
        <v>114</v>
      </c>
      <c r="B4" s="402"/>
      <c r="C4" s="402"/>
      <c r="D4" s="402"/>
      <c r="E4" s="402"/>
      <c r="F4" s="402"/>
      <c r="G4" s="402"/>
    </row>
    <row r="5" spans="1:7" ht="15" customHeight="1">
      <c r="A5" s="49">
        <v>1</v>
      </c>
      <c r="B5" s="357" t="s">
        <v>115</v>
      </c>
      <c r="C5" s="357"/>
      <c r="D5" s="357"/>
      <c r="E5" s="357"/>
      <c r="F5" s="455" t="s">
        <v>218</v>
      </c>
      <c r="G5" s="455"/>
    </row>
    <row r="6" spans="1:7">
      <c r="A6" s="49">
        <v>2</v>
      </c>
      <c r="B6" s="357" t="s">
        <v>117</v>
      </c>
      <c r="C6" s="357"/>
      <c r="D6" s="357"/>
      <c r="E6" s="357"/>
      <c r="F6" s="456">
        <f>Licitante!D15</f>
        <v>1845.56</v>
      </c>
      <c r="G6" s="456"/>
    </row>
    <row r="7" spans="1:7" ht="15" customHeight="1">
      <c r="A7" s="58">
        <v>3</v>
      </c>
      <c r="B7" s="358" t="s">
        <v>118</v>
      </c>
      <c r="C7" s="447"/>
      <c r="D7" s="447"/>
      <c r="E7" s="448"/>
      <c r="F7" s="449" t="s">
        <v>208</v>
      </c>
      <c r="G7" s="450"/>
    </row>
    <row r="8" spans="1:7">
      <c r="A8" s="61">
        <v>4</v>
      </c>
      <c r="B8" s="357" t="s">
        <v>120</v>
      </c>
      <c r="C8" s="357"/>
      <c r="D8" s="357"/>
      <c r="E8" s="357"/>
      <c r="F8" s="451">
        <v>44562</v>
      </c>
      <c r="G8" s="451"/>
    </row>
    <row r="9" spans="1:7">
      <c r="A9" s="411"/>
      <c r="B9" s="411"/>
      <c r="C9" s="411"/>
      <c r="D9" s="411"/>
      <c r="E9" s="411"/>
      <c r="F9" s="411"/>
      <c r="G9" s="411"/>
    </row>
    <row r="10" spans="1:7" ht="14.65" customHeight="1">
      <c r="A10" s="595" t="s">
        <v>121</v>
      </c>
      <c r="B10" s="595"/>
      <c r="C10" s="595"/>
      <c r="D10" s="595"/>
      <c r="E10" s="595"/>
      <c r="F10" s="595"/>
      <c r="G10" s="595"/>
    </row>
    <row r="11" spans="1:7" ht="18" customHeight="1">
      <c r="A11" s="23">
        <v>1</v>
      </c>
      <c r="B11" s="460" t="s">
        <v>122</v>
      </c>
      <c r="C11" s="460"/>
      <c r="D11" s="460"/>
      <c r="E11" s="460"/>
      <c r="F11" s="460"/>
      <c r="G11" s="48" t="s">
        <v>123</v>
      </c>
    </row>
    <row r="12" spans="1:7" ht="21" customHeight="1">
      <c r="A12" s="49" t="s">
        <v>5</v>
      </c>
      <c r="B12" s="596" t="s">
        <v>117</v>
      </c>
      <c r="C12" s="596"/>
      <c r="D12" s="596"/>
      <c r="E12" s="255" t="s">
        <v>209</v>
      </c>
      <c r="F12" s="180">
        <v>15.22</v>
      </c>
      <c r="G12" s="36">
        <f>F6</f>
        <v>1845.56</v>
      </c>
    </row>
    <row r="13" spans="1:7" ht="21" customHeight="1">
      <c r="A13" s="58" t="s">
        <v>7</v>
      </c>
      <c r="B13" s="353" t="s">
        <v>125</v>
      </c>
      <c r="C13" s="353"/>
      <c r="D13" s="353"/>
      <c r="E13" s="353"/>
      <c r="F13" s="256">
        <v>0.3</v>
      </c>
      <c r="G13" s="110">
        <f>ROUND(G12*F13,2)</f>
        <v>553.66999999999996</v>
      </c>
    </row>
    <row r="14" spans="1:7" ht="21.75" customHeight="1">
      <c r="A14" s="58" t="s">
        <v>10</v>
      </c>
      <c r="B14" s="580" t="s">
        <v>219</v>
      </c>
      <c r="C14" s="580"/>
      <c r="D14" s="580"/>
      <c r="E14" s="580"/>
      <c r="F14" s="580"/>
      <c r="G14" s="254">
        <f>'Cálculos Noturnos'!C20</f>
        <v>265.43680000000001</v>
      </c>
    </row>
    <row r="15" spans="1:7" ht="21" customHeight="1">
      <c r="A15" s="58" t="s">
        <v>12</v>
      </c>
      <c r="B15" s="581" t="s">
        <v>220</v>
      </c>
      <c r="C15" s="582"/>
      <c r="D15" s="582"/>
      <c r="E15" s="582"/>
      <c r="F15" s="583"/>
      <c r="G15" s="110">
        <f>'Cálculos Noturnos'!C22</f>
        <v>298.75254981818182</v>
      </c>
    </row>
    <row r="16" spans="1:7" ht="21" customHeight="1">
      <c r="A16" s="58" t="s">
        <v>55</v>
      </c>
      <c r="B16" s="584" t="s">
        <v>300</v>
      </c>
      <c r="C16" s="585"/>
      <c r="D16" s="585"/>
      <c r="E16" s="585"/>
      <c r="F16" s="586"/>
      <c r="G16" s="110">
        <f>'Cálculos Noturnos'!C27</f>
        <v>122.58</v>
      </c>
    </row>
    <row r="17" spans="1:8" ht="18" customHeight="1">
      <c r="A17" s="49"/>
      <c r="B17" s="499" t="s">
        <v>127</v>
      </c>
      <c r="C17" s="499"/>
      <c r="D17" s="499"/>
      <c r="E17" s="499"/>
      <c r="F17" s="499"/>
      <c r="G17" s="51">
        <f>SUM(G12:G16)</f>
        <v>3085.9993498181816</v>
      </c>
    </row>
    <row r="18" spans="1:8" ht="14.65" customHeight="1">
      <c r="A18" s="403"/>
      <c r="B18" s="403"/>
      <c r="C18" s="403"/>
      <c r="D18" s="403"/>
      <c r="E18" s="403"/>
      <c r="F18" s="403"/>
      <c r="G18" s="403"/>
    </row>
    <row r="19" spans="1:8" ht="14.65" customHeight="1">
      <c r="A19" s="559" t="s">
        <v>128</v>
      </c>
      <c r="B19" s="560"/>
      <c r="C19" s="560"/>
      <c r="D19" s="560"/>
      <c r="E19" s="560"/>
      <c r="F19" s="560"/>
      <c r="G19" s="561"/>
    </row>
    <row r="20" spans="1:8" ht="14.65" customHeight="1">
      <c r="A20" s="576" t="s">
        <v>129</v>
      </c>
      <c r="B20" s="576"/>
      <c r="C20" s="576"/>
      <c r="D20" s="576"/>
      <c r="E20" s="576"/>
      <c r="F20" s="576"/>
      <c r="G20" s="576"/>
    </row>
    <row r="21" spans="1:8" ht="14.65" customHeight="1">
      <c r="A21" s="23" t="s">
        <v>130</v>
      </c>
      <c r="B21" s="460" t="s">
        <v>131</v>
      </c>
      <c r="C21" s="460"/>
      <c r="D21" s="460"/>
      <c r="E21" s="460"/>
      <c r="F21" s="460"/>
      <c r="G21" s="48" t="s">
        <v>123</v>
      </c>
    </row>
    <row r="22" spans="1:8" ht="14.65" customHeight="1">
      <c r="A22" s="49" t="s">
        <v>5</v>
      </c>
      <c r="B22" s="357" t="s">
        <v>131</v>
      </c>
      <c r="C22" s="357"/>
      <c r="D22" s="357"/>
      <c r="E22" s="357"/>
      <c r="F22" s="52">
        <v>8.3299999999999999E-2</v>
      </c>
      <c r="G22" s="257">
        <f>$G$17*F22</f>
        <v>257.0637458398545</v>
      </c>
    </row>
    <row r="23" spans="1:8" ht="14.65" customHeight="1">
      <c r="A23" s="49" t="s">
        <v>7</v>
      </c>
      <c r="B23" s="357" t="s">
        <v>132</v>
      </c>
      <c r="C23" s="357"/>
      <c r="D23" s="357"/>
      <c r="E23" s="357"/>
      <c r="F23" s="282">
        <v>3.0249999999999999E-2</v>
      </c>
      <c r="G23" s="257">
        <f>$G$17*F23</f>
        <v>93.351480331999994</v>
      </c>
    </row>
    <row r="24" spans="1:8" ht="14.65" customHeight="1">
      <c r="A24" s="49"/>
      <c r="B24" s="460" t="s">
        <v>133</v>
      </c>
      <c r="C24" s="460"/>
      <c r="D24" s="460"/>
      <c r="E24" s="460"/>
      <c r="F24" s="285">
        <f>F22+F23</f>
        <v>0.11355</v>
      </c>
      <c r="G24" s="258">
        <f>$G$17*F24</f>
        <v>350.4152261718545</v>
      </c>
      <c r="H24" s="281"/>
    </row>
    <row r="25" spans="1:8">
      <c r="A25" s="587"/>
      <c r="B25" s="587"/>
      <c r="C25" s="587"/>
      <c r="D25" s="587"/>
      <c r="E25" s="587"/>
      <c r="F25" s="587"/>
      <c r="G25" s="587"/>
    </row>
    <row r="26" spans="1:8" ht="14.65" customHeight="1">
      <c r="A26" s="558" t="s">
        <v>134</v>
      </c>
      <c r="B26" s="558"/>
      <c r="C26" s="558"/>
      <c r="D26" s="558"/>
      <c r="E26" s="558"/>
      <c r="F26" s="558"/>
      <c r="G26" s="558"/>
    </row>
    <row r="27" spans="1:8" ht="14.65" customHeight="1">
      <c r="A27" s="23" t="s">
        <v>135</v>
      </c>
      <c r="B27" s="460" t="s">
        <v>136</v>
      </c>
      <c r="C27" s="460"/>
      <c r="D27" s="460"/>
      <c r="E27" s="460"/>
      <c r="F27" s="23" t="s">
        <v>137</v>
      </c>
      <c r="G27" s="48" t="s">
        <v>123</v>
      </c>
    </row>
    <row r="28" spans="1:8" ht="14.65" customHeight="1">
      <c r="A28" s="49" t="s">
        <v>5</v>
      </c>
      <c r="B28" s="357" t="s">
        <v>139</v>
      </c>
      <c r="C28" s="357"/>
      <c r="D28" s="357"/>
      <c r="E28" s="357"/>
      <c r="F28" s="50">
        <v>0.2</v>
      </c>
      <c r="G28" s="62">
        <f t="shared" ref="G28:G36" si="0">ROUND(F28*($G$17+$G$24),2)</f>
        <v>687.28</v>
      </c>
    </row>
    <row r="29" spans="1:8" ht="14.65" customHeight="1">
      <c r="A29" s="49" t="s">
        <v>7</v>
      </c>
      <c r="B29" s="357" t="s">
        <v>140</v>
      </c>
      <c r="C29" s="357"/>
      <c r="D29" s="357"/>
      <c r="E29" s="357"/>
      <c r="F29" s="50">
        <v>2.5000000000000001E-2</v>
      </c>
      <c r="G29" s="62">
        <f t="shared" si="0"/>
        <v>85.91</v>
      </c>
    </row>
    <row r="30" spans="1:8" ht="14.65" customHeight="1">
      <c r="A30" s="49" t="s">
        <v>10</v>
      </c>
      <c r="B30" s="357" t="s">
        <v>141</v>
      </c>
      <c r="C30" s="357"/>
      <c r="D30" s="357"/>
      <c r="E30" s="357"/>
      <c r="F30" s="50">
        <v>1.4999999999999999E-2</v>
      </c>
      <c r="G30" s="62">
        <f t="shared" si="0"/>
        <v>51.55</v>
      </c>
    </row>
    <row r="31" spans="1:8" ht="14.65" customHeight="1">
      <c r="A31" s="49" t="s">
        <v>12</v>
      </c>
      <c r="B31" s="357" t="s">
        <v>142</v>
      </c>
      <c r="C31" s="357"/>
      <c r="D31" s="357"/>
      <c r="E31" s="357"/>
      <c r="F31" s="50">
        <v>0.01</v>
      </c>
      <c r="G31" s="62">
        <f t="shared" si="0"/>
        <v>34.36</v>
      </c>
    </row>
    <row r="32" spans="1:8" ht="14.65" customHeight="1">
      <c r="A32" s="49" t="s">
        <v>55</v>
      </c>
      <c r="B32" s="357" t="s">
        <v>143</v>
      </c>
      <c r="C32" s="357"/>
      <c r="D32" s="357"/>
      <c r="E32" s="357"/>
      <c r="F32" s="50">
        <v>6.000000000000001E-3</v>
      </c>
      <c r="G32" s="62">
        <f t="shared" si="0"/>
        <v>20.62</v>
      </c>
    </row>
    <row r="33" spans="1:10" ht="14.65" customHeight="1">
      <c r="A33" s="49" t="s">
        <v>57</v>
      </c>
      <c r="B33" s="357" t="s">
        <v>144</v>
      </c>
      <c r="C33" s="357"/>
      <c r="D33" s="357"/>
      <c r="E33" s="357"/>
      <c r="F33" s="50">
        <v>2E-3</v>
      </c>
      <c r="G33" s="62">
        <f t="shared" si="0"/>
        <v>6.87</v>
      </c>
    </row>
    <row r="34" spans="1:10">
      <c r="A34" s="49" t="s">
        <v>145</v>
      </c>
      <c r="B34" s="78" t="s">
        <v>146</v>
      </c>
      <c r="C34" s="77">
        <v>0.03</v>
      </c>
      <c r="D34" s="78" t="s">
        <v>147</v>
      </c>
      <c r="E34" s="79">
        <v>1</v>
      </c>
      <c r="F34" s="50">
        <f>C34*E34</f>
        <v>0.03</v>
      </c>
      <c r="G34" s="62">
        <f t="shared" si="0"/>
        <v>103.09</v>
      </c>
    </row>
    <row r="35" spans="1:10" ht="14.65" customHeight="1">
      <c r="A35" s="49" t="s">
        <v>148</v>
      </c>
      <c r="B35" s="357" t="s">
        <v>149</v>
      </c>
      <c r="C35" s="357"/>
      <c r="D35" s="357"/>
      <c r="E35" s="357"/>
      <c r="F35" s="50">
        <v>0.08</v>
      </c>
      <c r="G35" s="62">
        <f t="shared" si="0"/>
        <v>274.91000000000003</v>
      </c>
    </row>
    <row r="36" spans="1:10" ht="14.65" customHeight="1">
      <c r="A36" s="49"/>
      <c r="B36" s="460" t="s">
        <v>133</v>
      </c>
      <c r="C36" s="460"/>
      <c r="D36" s="460"/>
      <c r="E36" s="460"/>
      <c r="F36" s="54">
        <f>SUM(F28:F35)</f>
        <v>0.36800000000000005</v>
      </c>
      <c r="G36" s="48">
        <f t="shared" si="0"/>
        <v>1264.5999999999999</v>
      </c>
    </row>
    <row r="37" spans="1:10" ht="14.65" customHeight="1">
      <c r="A37" s="20" t="s">
        <v>150</v>
      </c>
      <c r="B37" s="593" t="s">
        <v>151</v>
      </c>
      <c r="C37" s="593"/>
      <c r="D37" s="593"/>
      <c r="E37" s="593"/>
      <c r="F37" s="593"/>
      <c r="G37" s="593"/>
    </row>
    <row r="38" spans="1:10">
      <c r="A38" s="20" t="s">
        <v>152</v>
      </c>
      <c r="B38" s="57" t="s">
        <v>153</v>
      </c>
    </row>
    <row r="39" spans="1:10">
      <c r="A39" s="1"/>
      <c r="B39" s="1"/>
      <c r="C39" s="1"/>
      <c r="D39" s="1"/>
      <c r="E39" s="1"/>
      <c r="F39" s="1"/>
      <c r="G39" s="244"/>
    </row>
    <row r="40" spans="1:10" ht="14.65" customHeight="1">
      <c r="A40" s="486" t="s">
        <v>154</v>
      </c>
      <c r="B40" s="487"/>
      <c r="C40" s="487"/>
      <c r="D40" s="487"/>
      <c r="E40" s="487"/>
      <c r="F40" s="487"/>
      <c r="G40" s="487"/>
      <c r="H40" s="488"/>
    </row>
    <row r="41" spans="1:10" ht="14.65" customHeight="1">
      <c r="A41" s="203" t="s">
        <v>155</v>
      </c>
      <c r="B41" s="471" t="s">
        <v>156</v>
      </c>
      <c r="C41" s="471"/>
      <c r="D41" s="471"/>
      <c r="E41" s="471"/>
      <c r="F41" s="471"/>
      <c r="G41" s="238" t="s">
        <v>123</v>
      </c>
      <c r="H41" s="204" t="s">
        <v>123</v>
      </c>
    </row>
    <row r="42" spans="1:10" ht="14.65" customHeight="1">
      <c r="A42" s="500" t="s">
        <v>280</v>
      </c>
      <c r="B42" s="500"/>
      <c r="C42" s="500"/>
      <c r="D42" s="500"/>
      <c r="E42" s="500"/>
      <c r="F42" s="500"/>
      <c r="G42" s="212" t="s">
        <v>9</v>
      </c>
      <c r="H42" s="206" t="s">
        <v>238</v>
      </c>
      <c r="I42" s="121"/>
      <c r="J42" s="121"/>
    </row>
    <row r="43" spans="1:10" ht="14.65" customHeight="1">
      <c r="A43" s="58" t="s">
        <v>5</v>
      </c>
      <c r="B43" s="357" t="s">
        <v>157</v>
      </c>
      <c r="C43" s="357"/>
      <c r="D43" s="357"/>
      <c r="E43" s="357"/>
      <c r="F43" s="357"/>
      <c r="G43" s="259">
        <f>Licitante!I42</f>
        <v>56.68640000000002</v>
      </c>
      <c r="H43" s="260">
        <f>Licitante!I50</f>
        <v>32.334400000000016</v>
      </c>
      <c r="I43" s="141"/>
      <c r="J43" s="141"/>
    </row>
    <row r="44" spans="1:10" ht="14.65" customHeight="1">
      <c r="A44" s="58" t="s">
        <v>7</v>
      </c>
      <c r="B44" s="357" t="s">
        <v>158</v>
      </c>
      <c r="C44" s="357"/>
      <c r="D44" s="357"/>
      <c r="E44" s="357"/>
      <c r="F44" s="357"/>
      <c r="G44" s="259">
        <f>Licitante!$I$25</f>
        <v>400.75</v>
      </c>
      <c r="H44" s="260">
        <f>Licitante!$I$25</f>
        <v>400.75</v>
      </c>
      <c r="I44" s="141"/>
      <c r="J44" s="141"/>
    </row>
    <row r="45" spans="1:10" ht="14.65" customHeight="1">
      <c r="A45" s="58" t="s">
        <v>10</v>
      </c>
      <c r="B45" s="357" t="s">
        <v>159</v>
      </c>
      <c r="C45" s="357"/>
      <c r="D45" s="357"/>
      <c r="E45" s="357"/>
      <c r="F45" s="357"/>
      <c r="G45" s="259">
        <f>Licitante!$I$33</f>
        <v>0</v>
      </c>
      <c r="H45" s="260">
        <f>Licitante!$I$33</f>
        <v>0</v>
      </c>
      <c r="I45" s="141"/>
      <c r="J45" s="141"/>
    </row>
    <row r="46" spans="1:10" ht="14.65" customHeight="1">
      <c r="A46" s="58" t="s">
        <v>12</v>
      </c>
      <c r="B46" s="357" t="s">
        <v>160</v>
      </c>
      <c r="C46" s="357"/>
      <c r="D46" s="357"/>
      <c r="E46" s="357"/>
      <c r="F46" s="357"/>
      <c r="G46" s="259">
        <f>Licitante!$D$28</f>
        <v>10.72</v>
      </c>
      <c r="H46" s="260">
        <f>Licitante!$D$28</f>
        <v>10.72</v>
      </c>
      <c r="I46" s="141"/>
      <c r="J46" s="141"/>
    </row>
    <row r="47" spans="1:10" ht="14.65" customHeight="1">
      <c r="A47" s="58" t="s">
        <v>161</v>
      </c>
      <c r="B47" s="357" t="s">
        <v>28</v>
      </c>
      <c r="C47" s="357"/>
      <c r="D47" s="357"/>
      <c r="E47" s="357"/>
      <c r="F47" s="357"/>
      <c r="G47" s="259">
        <f>Licitante!$I$30</f>
        <v>4.6139000000000006E-2</v>
      </c>
      <c r="H47" s="260">
        <f>Licitante!$I$30</f>
        <v>4.6139000000000006E-2</v>
      </c>
      <c r="I47" s="141"/>
      <c r="J47" s="141"/>
    </row>
    <row r="48" spans="1:10" ht="14.65" customHeight="1">
      <c r="A48" s="58" t="s">
        <v>55</v>
      </c>
      <c r="B48" s="357" t="s">
        <v>162</v>
      </c>
      <c r="C48" s="357"/>
      <c r="D48" s="357"/>
      <c r="E48" s="357"/>
      <c r="F48" s="357"/>
      <c r="G48" s="259">
        <f>Licitante!$I$32</f>
        <v>161.0915</v>
      </c>
      <c r="H48" s="260">
        <f>Licitante!$I$32</f>
        <v>161.0915</v>
      </c>
      <c r="I48" s="141"/>
      <c r="J48" s="141"/>
    </row>
    <row r="49" spans="1:10" ht="14.65" customHeight="1">
      <c r="A49" s="49"/>
      <c r="B49" s="460" t="s">
        <v>133</v>
      </c>
      <c r="C49" s="460"/>
      <c r="D49" s="460"/>
      <c r="E49" s="460"/>
      <c r="F49" s="460"/>
      <c r="G49" s="261">
        <f>ROUND(SUM(G43:G48),2)</f>
        <v>629.29</v>
      </c>
      <c r="H49" s="262">
        <f>ROUND(SUM(H43:H48),2)</f>
        <v>604.94000000000005</v>
      </c>
      <c r="I49" s="141"/>
      <c r="J49" s="141"/>
    </row>
    <row r="50" spans="1:10" ht="14.65" customHeight="1">
      <c r="B50" s="411"/>
      <c r="C50" s="411"/>
      <c r="D50" s="411"/>
      <c r="E50" s="411"/>
      <c r="F50" s="411"/>
      <c r="G50" s="411"/>
    </row>
    <row r="51" spans="1:10" ht="14.65" customHeight="1">
      <c r="A51" s="472" t="s">
        <v>164</v>
      </c>
      <c r="B51" s="473"/>
      <c r="C51" s="473"/>
      <c r="D51" s="473"/>
      <c r="E51" s="473"/>
      <c r="F51" s="473"/>
      <c r="G51" s="473"/>
      <c r="H51" s="116"/>
      <c r="I51" s="117"/>
      <c r="J51" s="117"/>
    </row>
    <row r="52" spans="1:10" ht="14.65" customHeight="1">
      <c r="A52" s="470" t="s">
        <v>5</v>
      </c>
      <c r="B52" s="357" t="s">
        <v>165</v>
      </c>
      <c r="C52" s="357"/>
      <c r="D52" s="357"/>
      <c r="E52" s="2" t="s">
        <v>166</v>
      </c>
      <c r="F52" s="468">
        <f>E53/30/12*D53</f>
        <v>4.1666666666666666E-3</v>
      </c>
      <c r="G52" s="469">
        <f>ROUND($F$52*($G$17+$G$17*0.121+G22),2)</f>
        <v>15.49</v>
      </c>
      <c r="H52" s="122"/>
      <c r="I52" s="69"/>
      <c r="J52" s="69"/>
    </row>
    <row r="53" spans="1:10" ht="14.65" customHeight="1">
      <c r="A53" s="470"/>
      <c r="B53" s="357" t="s">
        <v>167</v>
      </c>
      <c r="C53" s="357"/>
      <c r="D53" s="77">
        <f>Licitante!E53</f>
        <v>0.05</v>
      </c>
      <c r="E53" s="174">
        <v>30</v>
      </c>
      <c r="F53" s="468"/>
      <c r="G53" s="469"/>
      <c r="H53" s="122"/>
      <c r="I53" s="69"/>
      <c r="J53" s="69"/>
    </row>
    <row r="54" spans="1:10" ht="14.65" customHeight="1">
      <c r="A54" s="49" t="s">
        <v>7</v>
      </c>
      <c r="B54" s="357" t="s">
        <v>168</v>
      </c>
      <c r="C54" s="357"/>
      <c r="D54" s="357"/>
      <c r="E54" s="357"/>
      <c r="F54" s="52">
        <f>F35*F52</f>
        <v>3.3333333333333332E-4</v>
      </c>
      <c r="G54" s="63">
        <f>ROUND(G52*F35,2)</f>
        <v>1.24</v>
      </c>
      <c r="H54" s="122"/>
      <c r="I54" s="69"/>
      <c r="J54" s="69"/>
    </row>
    <row r="55" spans="1:10" ht="14.65" customHeight="1">
      <c r="A55" s="441" t="s">
        <v>10</v>
      </c>
      <c r="B55" s="357" t="s">
        <v>332</v>
      </c>
      <c r="C55" s="357"/>
      <c r="D55" s="357"/>
      <c r="E55" s="357"/>
      <c r="F55" s="468">
        <f>7/30/E56*E57</f>
        <v>1.9444444444444445E-2</v>
      </c>
      <c r="G55" s="469">
        <f>ROUND($F$55*$G$17,2)</f>
        <v>60.01</v>
      </c>
      <c r="H55" s="122"/>
      <c r="I55" s="69"/>
      <c r="J55" s="69"/>
    </row>
    <row r="56" spans="1:10" ht="14.65" customHeight="1">
      <c r="A56" s="442"/>
      <c r="B56" s="357" t="s">
        <v>167</v>
      </c>
      <c r="C56" s="357"/>
      <c r="D56" s="2" t="s">
        <v>169</v>
      </c>
      <c r="E56" s="81">
        <v>12</v>
      </c>
      <c r="F56" s="468"/>
      <c r="G56" s="469"/>
      <c r="H56" s="122"/>
      <c r="I56" s="69"/>
      <c r="J56" s="69"/>
    </row>
    <row r="57" spans="1:10" ht="15.75" customHeight="1">
      <c r="A57" s="443"/>
      <c r="B57" s="312" t="s">
        <v>170</v>
      </c>
      <c r="C57" s="2" t="s">
        <v>221</v>
      </c>
      <c r="D57" s="174">
        <v>30</v>
      </c>
      <c r="E57" s="77">
        <f>Licitante!E54</f>
        <v>1</v>
      </c>
      <c r="F57" s="468"/>
      <c r="G57" s="469"/>
      <c r="H57" s="122"/>
      <c r="I57" s="69"/>
      <c r="J57" s="69"/>
    </row>
    <row r="58" spans="1:10" ht="22.5" customHeight="1">
      <c r="A58" s="49" t="s">
        <v>12</v>
      </c>
      <c r="B58" s="357" t="s">
        <v>172</v>
      </c>
      <c r="C58" s="357"/>
      <c r="D58" s="357"/>
      <c r="E58" s="357"/>
      <c r="F58" s="52">
        <f>F55*F36</f>
        <v>7.1555555555555565E-3</v>
      </c>
      <c r="G58" s="63">
        <f>G55*F36</f>
        <v>22.083680000000001</v>
      </c>
      <c r="H58" s="122"/>
      <c r="I58" s="69"/>
      <c r="J58" s="69"/>
    </row>
    <row r="59" spans="1:10" ht="20.25" customHeight="1">
      <c r="A59" s="49" t="s">
        <v>328</v>
      </c>
      <c r="B59" s="357" t="s">
        <v>329</v>
      </c>
      <c r="C59" s="357"/>
      <c r="D59" s="357"/>
      <c r="E59" s="357"/>
      <c r="F59" s="52">
        <v>0.04</v>
      </c>
      <c r="G59" s="63">
        <f>$G$17*$F$59</f>
        <v>123.43997399272726</v>
      </c>
      <c r="H59" s="122"/>
      <c r="I59" s="69"/>
      <c r="J59" s="69"/>
    </row>
    <row r="60" spans="1:10" ht="14.65" customHeight="1">
      <c r="A60" s="49"/>
      <c r="B60" s="528" t="s">
        <v>133</v>
      </c>
      <c r="C60" s="529"/>
      <c r="D60" s="529"/>
      <c r="E60" s="529"/>
      <c r="F60" s="530"/>
      <c r="G60" s="75">
        <f>ROUND(SUM(G52:G59),2)</f>
        <v>222.26</v>
      </c>
      <c r="H60" s="131"/>
      <c r="I60" s="132"/>
      <c r="J60" s="132"/>
    </row>
    <row r="61" spans="1:10" ht="14.65" customHeight="1">
      <c r="A61" s="547" t="s">
        <v>334</v>
      </c>
      <c r="B61" s="548"/>
      <c r="C61" s="548"/>
      <c r="D61" s="548"/>
      <c r="E61" s="548"/>
      <c r="F61" s="548"/>
      <c r="G61" s="549"/>
    </row>
    <row r="62" spans="1:10" ht="14.65" customHeight="1">
      <c r="A62" s="591"/>
      <c r="B62" s="482"/>
      <c r="C62" s="482"/>
      <c r="D62" s="482"/>
      <c r="E62" s="482"/>
      <c r="F62" s="482"/>
      <c r="G62" s="482"/>
      <c r="H62" s="592"/>
    </row>
    <row r="63" spans="1:10" ht="25.5" customHeight="1">
      <c r="A63" s="483" t="s">
        <v>174</v>
      </c>
      <c r="B63" s="484"/>
      <c r="C63" s="484"/>
      <c r="D63" s="484"/>
      <c r="E63" s="484"/>
      <c r="F63" s="484"/>
      <c r="G63" s="485"/>
      <c r="H63" s="291"/>
      <c r="I63" s="117"/>
      <c r="J63" s="117"/>
    </row>
    <row r="64" spans="1:10" ht="38.25" customHeight="1">
      <c r="A64" s="495" t="s">
        <v>324</v>
      </c>
      <c r="B64" s="525"/>
      <c r="C64" s="525"/>
      <c r="D64" s="525"/>
      <c r="E64" s="525"/>
      <c r="F64" s="525"/>
      <c r="G64" s="496"/>
      <c r="H64" s="307"/>
      <c r="I64" s="117"/>
      <c r="J64" s="117"/>
    </row>
    <row r="65" spans="1:10" ht="46.5" customHeight="1">
      <c r="A65" s="495" t="s">
        <v>330</v>
      </c>
      <c r="B65" s="525"/>
      <c r="C65" s="525"/>
      <c r="D65" s="525"/>
      <c r="E65" s="525"/>
      <c r="F65" s="525"/>
      <c r="G65" s="496"/>
      <c r="H65" s="307"/>
      <c r="I65" s="117"/>
      <c r="J65" s="117"/>
    </row>
    <row r="66" spans="1:10" ht="19.5" customHeight="1">
      <c r="A66" s="495" t="s">
        <v>326</v>
      </c>
      <c r="B66" s="496"/>
      <c r="C66" s="495" t="s">
        <v>331</v>
      </c>
      <c r="D66" s="496"/>
      <c r="E66" s="526" t="s">
        <v>327</v>
      </c>
      <c r="F66" s="526"/>
      <c r="G66" s="290" t="s">
        <v>325</v>
      </c>
      <c r="H66" s="307"/>
      <c r="I66" s="117"/>
      <c r="J66" s="117"/>
    </row>
    <row r="67" spans="1:10" ht="23.25" customHeight="1">
      <c r="A67" s="527">
        <f>G17</f>
        <v>3085.9993498181816</v>
      </c>
      <c r="B67" s="496"/>
      <c r="C67" s="527">
        <f>G24+G36+G49-G43-G44+G71</f>
        <v>2169.9788261718545</v>
      </c>
      <c r="D67" s="496"/>
      <c r="E67" s="524">
        <f>G60</f>
        <v>222.26</v>
      </c>
      <c r="F67" s="524"/>
      <c r="G67" s="287">
        <f>A67+C67+E67</f>
        <v>5478.2381759900363</v>
      </c>
      <c r="H67" s="307"/>
      <c r="I67" s="117"/>
      <c r="J67" s="117"/>
    </row>
    <row r="68" spans="1:10" ht="14.65" customHeight="1">
      <c r="A68" s="486" t="s">
        <v>175</v>
      </c>
      <c r="B68" s="487"/>
      <c r="C68" s="487"/>
      <c r="D68" s="487"/>
      <c r="E68" s="487"/>
      <c r="F68" s="487"/>
      <c r="G68" s="488"/>
      <c r="H68" s="294"/>
    </row>
    <row r="69" spans="1:10" ht="14.65" customHeight="1">
      <c r="A69" s="476" t="s">
        <v>176</v>
      </c>
      <c r="B69" s="477"/>
      <c r="C69" s="477"/>
      <c r="D69" s="477"/>
      <c r="E69" s="477"/>
      <c r="F69" s="478"/>
      <c r="G69" s="299" t="s">
        <v>123</v>
      </c>
      <c r="H69" s="295"/>
    </row>
    <row r="70" spans="1:10" ht="14.65" customHeight="1">
      <c r="A70" s="500" t="s">
        <v>280</v>
      </c>
      <c r="B70" s="500"/>
      <c r="C70" s="500"/>
      <c r="D70" s="500"/>
      <c r="E70" s="500"/>
      <c r="F70" s="500"/>
      <c r="G70" s="205" t="s">
        <v>9</v>
      </c>
      <c r="H70" s="121"/>
      <c r="I70" s="121"/>
      <c r="J70" s="121"/>
    </row>
    <row r="71" spans="1:10" ht="15" customHeight="1">
      <c r="A71" s="49" t="s">
        <v>5</v>
      </c>
      <c r="B71" s="489" t="s">
        <v>177</v>
      </c>
      <c r="C71" s="490"/>
      <c r="D71" s="490"/>
      <c r="E71" s="491"/>
      <c r="F71" s="284">
        <v>9.0749999999999997E-2</v>
      </c>
      <c r="G71" s="310">
        <f>ROUND(A67*$F$71+((A67*F71)*F36),2)</f>
        <v>383.11</v>
      </c>
      <c r="H71" s="308"/>
      <c r="I71" s="125"/>
      <c r="J71" s="125"/>
    </row>
    <row r="72" spans="1:10" ht="14.65" customHeight="1">
      <c r="A72" s="49" t="s">
        <v>7</v>
      </c>
      <c r="B72" s="357" t="s">
        <v>178</v>
      </c>
      <c r="C72" s="357"/>
      <c r="D72" s="357"/>
      <c r="E72" s="357"/>
      <c r="F72" s="52">
        <f>Licitante!G59</f>
        <v>2.7378507871321013E-3</v>
      </c>
      <c r="G72" s="310">
        <f>ROUND(G67*F72,2)</f>
        <v>15</v>
      </c>
      <c r="H72" s="308"/>
      <c r="I72" s="125"/>
      <c r="J72" s="125"/>
    </row>
    <row r="73" spans="1:10" ht="14.65" customHeight="1">
      <c r="A73" s="49" t="s">
        <v>10</v>
      </c>
      <c r="B73" s="358" t="s">
        <v>179</v>
      </c>
      <c r="C73" s="447"/>
      <c r="D73" s="447"/>
      <c r="E73" s="448"/>
      <c r="F73" s="52">
        <f>Licitante!G60</f>
        <v>2.0533880903490757E-4</v>
      </c>
      <c r="G73" s="310">
        <f>ROUND(F73*G67,2)</f>
        <v>1.1200000000000001</v>
      </c>
      <c r="H73" s="308"/>
      <c r="I73" s="125"/>
      <c r="J73" s="125"/>
    </row>
    <row r="74" spans="1:10" ht="14.65" customHeight="1">
      <c r="A74" s="49" t="s">
        <v>12</v>
      </c>
      <c r="B74" s="358" t="s">
        <v>212</v>
      </c>
      <c r="C74" s="447"/>
      <c r="D74" s="447"/>
      <c r="E74" s="448"/>
      <c r="F74" s="52">
        <f>Licitante!G61</f>
        <v>3.2032854209445585E-4</v>
      </c>
      <c r="G74" s="310">
        <f>ROUND($F$74*G67,2)</f>
        <v>1.75</v>
      </c>
      <c r="H74" s="308"/>
      <c r="I74" s="125"/>
      <c r="J74" s="125"/>
    </row>
    <row r="75" spans="1:10" ht="14.65" customHeight="1">
      <c r="A75" s="49" t="s">
        <v>55</v>
      </c>
      <c r="B75" s="358" t="s">
        <v>181</v>
      </c>
      <c r="C75" s="447"/>
      <c r="D75" s="447"/>
      <c r="E75" s="448"/>
      <c r="F75" s="52">
        <f>Licitante!G62</f>
        <v>6.570841889117043E-3</v>
      </c>
      <c r="G75" s="310">
        <f>ROUND((((A67*0.121+F36*(A67*0.121)))*F75)+(((G36-(A67*(F36-F35))+G49-G43-G44+G60))*F75),2)</f>
        <v>8.42</v>
      </c>
      <c r="H75" s="308"/>
      <c r="I75" s="125"/>
      <c r="J75" s="125"/>
    </row>
    <row r="76" spans="1:10" ht="14.65" customHeight="1">
      <c r="A76" s="49" t="s">
        <v>57</v>
      </c>
      <c r="B76" s="358" t="s">
        <v>182</v>
      </c>
      <c r="C76" s="447"/>
      <c r="D76" s="447"/>
      <c r="E76" s="448"/>
      <c r="F76" s="52">
        <f>Licitante!G63</f>
        <v>8.2135523613963042E-3</v>
      </c>
      <c r="G76" s="310">
        <f>ROUND($F$76*(G67-A67*(F36-F35)),2)</f>
        <v>37.700000000000003</v>
      </c>
      <c r="H76" s="308"/>
      <c r="I76" s="125"/>
      <c r="J76" s="125"/>
    </row>
    <row r="77" spans="1:10" ht="14.65" customHeight="1">
      <c r="A77" s="49" t="s">
        <v>145</v>
      </c>
      <c r="B77" s="357" t="str">
        <f>Licitante!B64</f>
        <v>Outros (especificar)</v>
      </c>
      <c r="C77" s="357"/>
      <c r="D77" s="357"/>
      <c r="E77" s="357"/>
      <c r="F77" s="52">
        <f>Licitante!G64</f>
        <v>0</v>
      </c>
      <c r="G77" s="310">
        <f>ROUND($F$77*(G$17+$G$24+$G$36+G$49-G$43-G$44+G$91+G$60),2)</f>
        <v>0</v>
      </c>
      <c r="H77" s="308"/>
      <c r="I77" s="125"/>
      <c r="J77" s="125"/>
    </row>
    <row r="78" spans="1:10" ht="14.65" customHeight="1">
      <c r="A78" s="107"/>
      <c r="B78" s="588" t="s">
        <v>133</v>
      </c>
      <c r="C78" s="589"/>
      <c r="D78" s="589"/>
      <c r="E78" s="589"/>
      <c r="F78" s="590"/>
      <c r="G78" s="311">
        <f>ROUND(SUM(G71:G77),2)</f>
        <v>447.1</v>
      </c>
      <c r="H78" s="309"/>
      <c r="I78" s="125"/>
      <c r="J78" s="125"/>
    </row>
    <row r="79" spans="1:10" ht="14.65" customHeight="1">
      <c r="A79" s="511"/>
      <c r="B79" s="511"/>
      <c r="C79" s="511"/>
      <c r="D79" s="511"/>
      <c r="E79" s="511"/>
      <c r="F79" s="511"/>
      <c r="G79" s="129"/>
      <c r="H79" s="129"/>
      <c r="I79" s="129"/>
      <c r="J79" s="129"/>
    </row>
    <row r="80" spans="1:10" ht="14.65" customHeight="1">
      <c r="A80" s="536" t="s">
        <v>213</v>
      </c>
      <c r="B80" s="536"/>
      <c r="C80" s="536"/>
      <c r="D80" s="536"/>
      <c r="E80" s="536"/>
      <c r="F80" s="536"/>
      <c r="G80" s="536"/>
      <c r="H80" s="129"/>
      <c r="I80" s="129"/>
      <c r="J80" s="129"/>
    </row>
    <row r="81" spans="1:10" ht="14.65" customHeight="1">
      <c r="A81" s="100" t="s">
        <v>5</v>
      </c>
      <c r="B81" s="263" t="s">
        <v>214</v>
      </c>
      <c r="C81" s="264"/>
      <c r="D81" s="264"/>
      <c r="E81" s="264"/>
      <c r="F81" s="265"/>
      <c r="G81" s="156">
        <f>'Cálculos Noturnos'!C33</f>
        <v>298.75</v>
      </c>
      <c r="H81" s="129"/>
      <c r="I81" s="129"/>
      <c r="J81" s="129"/>
    </row>
    <row r="82" spans="1:10" ht="14.65" customHeight="1">
      <c r="A82" s="92"/>
      <c r="B82" s="537" t="s">
        <v>133</v>
      </c>
      <c r="C82" s="537"/>
      <c r="D82" s="537"/>
      <c r="E82" s="537"/>
      <c r="F82" s="537"/>
      <c r="G82" s="157">
        <f>G81</f>
        <v>298.75</v>
      </c>
      <c r="H82" s="129"/>
      <c r="I82" s="129"/>
      <c r="J82" s="129"/>
    </row>
    <row r="83" spans="1:10" ht="14.65" customHeight="1">
      <c r="A83" s="511"/>
      <c r="B83" s="511"/>
      <c r="C83" s="511"/>
      <c r="D83" s="511"/>
      <c r="E83" s="511"/>
      <c r="F83" s="511"/>
      <c r="G83" s="511"/>
      <c r="H83" s="511"/>
      <c r="I83" s="129"/>
      <c r="J83" s="129"/>
    </row>
    <row r="84" spans="1:10" ht="14.65" customHeight="1">
      <c r="A84" s="338"/>
      <c r="B84" s="338"/>
      <c r="C84" s="338"/>
      <c r="D84" s="338"/>
      <c r="E84" s="338"/>
      <c r="F84" s="338"/>
      <c r="G84" s="338"/>
    </row>
    <row r="85" spans="1:10" ht="14.65" customHeight="1">
      <c r="A85" s="349" t="s">
        <v>184</v>
      </c>
      <c r="B85" s="349"/>
      <c r="C85" s="349"/>
      <c r="D85" s="349"/>
      <c r="E85" s="349"/>
      <c r="F85" s="349"/>
      <c r="G85" s="349"/>
      <c r="H85" s="349"/>
      <c r="I85" s="117"/>
      <c r="J85" s="117"/>
    </row>
    <row r="86" spans="1:10" ht="14.65" customHeight="1">
      <c r="A86" s="203"/>
      <c r="B86" s="471" t="s">
        <v>185</v>
      </c>
      <c r="C86" s="471"/>
      <c r="D86" s="471"/>
      <c r="E86" s="471"/>
      <c r="F86" s="471"/>
      <c r="G86" s="204" t="s">
        <v>123</v>
      </c>
      <c r="H86" s="204" t="s">
        <v>123</v>
      </c>
      <c r="I86" s="117"/>
      <c r="J86" s="117"/>
    </row>
    <row r="87" spans="1:10" ht="14.65" customHeight="1">
      <c r="A87" s="500" t="s">
        <v>280</v>
      </c>
      <c r="B87" s="500"/>
      <c r="C87" s="500"/>
      <c r="D87" s="500"/>
      <c r="E87" s="500"/>
      <c r="F87" s="500"/>
      <c r="G87" s="205" t="s">
        <v>9</v>
      </c>
      <c r="H87" s="206" t="s">
        <v>238</v>
      </c>
      <c r="I87" s="132"/>
      <c r="J87" s="132"/>
    </row>
    <row r="88" spans="1:10" ht="14.65" customHeight="1">
      <c r="A88" s="207" t="s">
        <v>5</v>
      </c>
      <c r="B88" s="353" t="s">
        <v>186</v>
      </c>
      <c r="C88" s="353"/>
      <c r="D88" s="353"/>
      <c r="E88" s="353"/>
      <c r="F88" s="353"/>
      <c r="G88" s="216">
        <f>Licitante!$H$78</f>
        <v>104.10683333333333</v>
      </c>
      <c r="H88" s="216">
        <f>Licitante!H78</f>
        <v>104.10683333333333</v>
      </c>
      <c r="I88" s="69"/>
      <c r="J88" s="69"/>
    </row>
    <row r="89" spans="1:10" ht="14.65" customHeight="1">
      <c r="A89" s="207" t="s">
        <v>7</v>
      </c>
      <c r="B89" s="353" t="s">
        <v>187</v>
      </c>
      <c r="C89" s="353"/>
      <c r="D89" s="353"/>
      <c r="E89" s="353"/>
      <c r="F89" s="353"/>
      <c r="G89" s="216">
        <f>Licitante!F92</f>
        <v>3.0584583333333333</v>
      </c>
      <c r="H89" s="216">
        <f>Licitante!F115</f>
        <v>61.249166666666667</v>
      </c>
      <c r="I89" s="69"/>
      <c r="J89" s="69"/>
    </row>
    <row r="90" spans="1:10" ht="14.65" customHeight="1">
      <c r="A90" s="207" t="s">
        <v>10</v>
      </c>
      <c r="B90" s="579" t="str">
        <f>Licitante!A77</f>
        <v>Outros (especificar)</v>
      </c>
      <c r="C90" s="579"/>
      <c r="D90" s="579"/>
      <c r="E90" s="579"/>
      <c r="F90" s="579"/>
      <c r="G90" s="248">
        <f>Licitante!H77</f>
        <v>0</v>
      </c>
      <c r="H90" s="248">
        <f>Licitante!I77</f>
        <v>0</v>
      </c>
      <c r="I90" s="123"/>
      <c r="J90" s="123"/>
    </row>
    <row r="91" spans="1:10" ht="14.65" customHeight="1">
      <c r="A91" s="207"/>
      <c r="B91" s="471" t="s">
        <v>188</v>
      </c>
      <c r="C91" s="471"/>
      <c r="D91" s="471"/>
      <c r="E91" s="471"/>
      <c r="F91" s="471"/>
      <c r="G91" s="240">
        <f>G88+G89+G90</f>
        <v>107.16529166666666</v>
      </c>
      <c r="H91" s="240">
        <f>H88+H89+H90</f>
        <v>165.35599999999999</v>
      </c>
      <c r="I91" s="69"/>
      <c r="J91" s="69"/>
    </row>
    <row r="92" spans="1:10" ht="14.65" customHeight="1">
      <c r="A92" s="20" t="s">
        <v>189</v>
      </c>
      <c r="B92" s="503" t="s">
        <v>190</v>
      </c>
      <c r="C92" s="503"/>
      <c r="D92" s="503"/>
      <c r="E92" s="503"/>
      <c r="F92" s="503"/>
      <c r="G92" s="503"/>
    </row>
    <row r="93" spans="1:10" ht="14.65" customHeight="1">
      <c r="A93" s="338"/>
      <c r="B93" s="338"/>
      <c r="C93" s="338"/>
      <c r="D93" s="338"/>
      <c r="E93" s="338"/>
      <c r="F93" s="338"/>
      <c r="G93" s="338"/>
    </row>
    <row r="94" spans="1:10">
      <c r="A94" s="349" t="s">
        <v>191</v>
      </c>
      <c r="B94" s="349"/>
      <c r="C94" s="349"/>
      <c r="D94" s="349"/>
      <c r="E94" s="349"/>
      <c r="F94" s="349"/>
      <c r="G94" s="349"/>
      <c r="H94" s="349"/>
      <c r="I94" s="117"/>
      <c r="J94" s="117"/>
    </row>
    <row r="95" spans="1:10">
      <c r="A95" s="500" t="s">
        <v>280</v>
      </c>
      <c r="B95" s="500"/>
      <c r="C95" s="500"/>
      <c r="D95" s="500"/>
      <c r="E95" s="500"/>
      <c r="F95" s="500"/>
      <c r="G95" s="205" t="s">
        <v>9</v>
      </c>
      <c r="H95" s="206" t="s">
        <v>238</v>
      </c>
      <c r="I95" s="117"/>
      <c r="J95" s="117"/>
    </row>
    <row r="96" spans="1:10" ht="14.65" customHeight="1">
      <c r="A96" s="249" t="s">
        <v>5</v>
      </c>
      <c r="B96" s="517" t="s">
        <v>121</v>
      </c>
      <c r="C96" s="517"/>
      <c r="D96" s="517"/>
      <c r="E96" s="517"/>
      <c r="F96" s="517"/>
      <c r="G96" s="219">
        <f>G17</f>
        <v>3085.9993498181816</v>
      </c>
      <c r="H96" s="219">
        <f>G17</f>
        <v>3085.9993498181816</v>
      </c>
      <c r="I96" s="118"/>
      <c r="J96" s="118"/>
    </row>
    <row r="97" spans="1:10" ht="14.65" customHeight="1">
      <c r="A97" s="249" t="s">
        <v>7</v>
      </c>
      <c r="B97" s="517" t="s">
        <v>128</v>
      </c>
      <c r="C97" s="517"/>
      <c r="D97" s="517"/>
      <c r="E97" s="517"/>
      <c r="F97" s="517"/>
      <c r="G97" s="219">
        <f>$G$24+$G$36+G49</f>
        <v>2244.3052261718544</v>
      </c>
      <c r="H97" s="219">
        <f>$G$24+$G$36+H49</f>
        <v>2219.9552261718545</v>
      </c>
      <c r="I97" s="118"/>
      <c r="J97" s="118"/>
    </row>
    <row r="98" spans="1:10">
      <c r="A98" s="249" t="s">
        <v>10</v>
      </c>
      <c r="B98" s="517" t="s">
        <v>164</v>
      </c>
      <c r="C98" s="517"/>
      <c r="D98" s="517"/>
      <c r="E98" s="517"/>
      <c r="F98" s="517"/>
      <c r="G98" s="219">
        <f>G60</f>
        <v>222.26</v>
      </c>
      <c r="H98" s="219">
        <f>G60</f>
        <v>222.26</v>
      </c>
      <c r="I98" s="118"/>
      <c r="J98" s="118"/>
    </row>
    <row r="99" spans="1:10" ht="14.65" customHeight="1">
      <c r="A99" s="249" t="s">
        <v>12</v>
      </c>
      <c r="B99" s="517" t="s">
        <v>174</v>
      </c>
      <c r="C99" s="517"/>
      <c r="D99" s="517"/>
      <c r="E99" s="517"/>
      <c r="F99" s="517"/>
      <c r="G99" s="219">
        <f>G78+G82</f>
        <v>745.85</v>
      </c>
      <c r="H99" s="219">
        <f>G78+G82</f>
        <v>745.85</v>
      </c>
      <c r="I99" s="118"/>
      <c r="J99" s="118"/>
    </row>
    <row r="100" spans="1:10" ht="14.65" customHeight="1">
      <c r="A100" s="249" t="s">
        <v>55</v>
      </c>
      <c r="B100" s="517" t="s">
        <v>184</v>
      </c>
      <c r="C100" s="517"/>
      <c r="D100" s="517"/>
      <c r="E100" s="517"/>
      <c r="F100" s="517"/>
      <c r="G100" s="219">
        <f>G91</f>
        <v>107.16529166666666</v>
      </c>
      <c r="H100" s="219">
        <f>H91</f>
        <v>165.35599999999999</v>
      </c>
      <c r="I100" s="118"/>
      <c r="J100" s="118"/>
    </row>
    <row r="101" spans="1:10">
      <c r="A101" s="471" t="s">
        <v>133</v>
      </c>
      <c r="B101" s="471"/>
      <c r="C101" s="471"/>
      <c r="D101" s="471"/>
      <c r="E101" s="471"/>
      <c r="F101" s="471"/>
      <c r="G101" s="245">
        <f>SUM(G96:G100)</f>
        <v>6405.5798676567028</v>
      </c>
      <c r="H101" s="245">
        <f>SUM(H96:H100)</f>
        <v>6439.420575990036</v>
      </c>
      <c r="I101" s="119"/>
      <c r="J101" s="119"/>
    </row>
    <row r="102" spans="1:10">
      <c r="A102" s="1"/>
      <c r="B102" s="1"/>
      <c r="C102" s="1"/>
      <c r="D102" s="1"/>
      <c r="E102" s="1"/>
      <c r="F102" s="1"/>
      <c r="G102" s="1"/>
    </row>
    <row r="103" spans="1:10">
      <c r="A103" s="483" t="s">
        <v>192</v>
      </c>
      <c r="B103" s="484"/>
      <c r="C103" s="484"/>
      <c r="D103" s="484"/>
      <c r="E103" s="484"/>
      <c r="F103" s="484"/>
      <c r="G103" s="484"/>
      <c r="H103" s="485"/>
      <c r="I103" s="117"/>
      <c r="J103" s="117"/>
    </row>
    <row r="104" spans="1:10">
      <c r="A104" s="500" t="s">
        <v>280</v>
      </c>
      <c r="B104" s="500"/>
      <c r="C104" s="500"/>
      <c r="D104" s="500"/>
      <c r="E104" s="500"/>
      <c r="F104" s="500"/>
      <c r="G104" s="212" t="s">
        <v>9</v>
      </c>
      <c r="H104" s="206" t="s">
        <v>238</v>
      </c>
      <c r="I104" s="117"/>
      <c r="J104" s="117"/>
    </row>
    <row r="105" spans="1:10">
      <c r="A105" s="203"/>
      <c r="B105" s="471" t="s">
        <v>193</v>
      </c>
      <c r="C105" s="471"/>
      <c r="D105" s="471"/>
      <c r="E105" s="471"/>
      <c r="F105" s="203" t="s">
        <v>194</v>
      </c>
      <c r="G105" s="203" t="s">
        <v>123</v>
      </c>
      <c r="H105" s="250" t="s">
        <v>123</v>
      </c>
      <c r="I105" s="117"/>
      <c r="J105" s="117"/>
    </row>
    <row r="106" spans="1:10">
      <c r="A106" s="207" t="s">
        <v>5</v>
      </c>
      <c r="B106" s="353" t="s">
        <v>195</v>
      </c>
      <c r="C106" s="353"/>
      <c r="D106" s="353"/>
      <c r="E106" s="353"/>
      <c r="F106" s="251">
        <f>Licitante!D119</f>
        <v>0.06</v>
      </c>
      <c r="G106" s="208">
        <f>ROUND(G101*$F$106,2)</f>
        <v>384.33</v>
      </c>
      <c r="H106" s="208">
        <f>ROUND(H101*$F$106,2)</f>
        <v>386.37</v>
      </c>
      <c r="I106" s="125"/>
      <c r="J106" s="125"/>
    </row>
    <row r="107" spans="1:10">
      <c r="A107" s="207" t="s">
        <v>7</v>
      </c>
      <c r="B107" s="353" t="s">
        <v>90</v>
      </c>
      <c r="C107" s="353"/>
      <c r="D107" s="353"/>
      <c r="E107" s="353"/>
      <c r="F107" s="251">
        <f>Licitante!D120</f>
        <v>6.7900000000000002E-2</v>
      </c>
      <c r="G107" s="208">
        <f>ROUND((G101+G106)*$F$107,2)</f>
        <v>461.03</v>
      </c>
      <c r="H107" s="208">
        <f>ROUND((H101+H106)*$F$107,2)</f>
        <v>463.47</v>
      </c>
      <c r="I107" s="125"/>
      <c r="J107" s="125"/>
    </row>
    <row r="108" spans="1:10">
      <c r="A108" s="577" t="s">
        <v>10</v>
      </c>
      <c r="B108" s="353" t="s">
        <v>99</v>
      </c>
      <c r="C108" s="353"/>
      <c r="D108" s="353"/>
      <c r="E108" s="353"/>
      <c r="F108" s="578">
        <f>SUM(E109:E111)</f>
        <v>8.6499999999999994E-2</v>
      </c>
      <c r="G108" s="515">
        <f>((G101+G106+G107)/(1-$F$108))*$F$108</f>
        <v>686.59693328112178</v>
      </c>
      <c r="H108" s="515">
        <f>((H101+H106+H107)/(1-$F$108))*$F$108</f>
        <v>690.22554988849276</v>
      </c>
      <c r="I108" s="125"/>
      <c r="J108" s="125"/>
    </row>
    <row r="109" spans="1:10">
      <c r="A109" s="577"/>
      <c r="B109" s="353" t="s">
        <v>196</v>
      </c>
      <c r="C109" s="353"/>
      <c r="D109" s="252" t="s">
        <v>197</v>
      </c>
      <c r="E109" s="253">
        <f>Licitante!D123</f>
        <v>6.4999999999999997E-3</v>
      </c>
      <c r="F109" s="578"/>
      <c r="G109" s="515"/>
      <c r="H109" s="515"/>
      <c r="I109" s="125"/>
      <c r="J109" s="125"/>
    </row>
    <row r="110" spans="1:10">
      <c r="A110" s="577"/>
      <c r="B110" s="353"/>
      <c r="C110" s="353"/>
      <c r="D110" s="252" t="s">
        <v>198</v>
      </c>
      <c r="E110" s="253">
        <f>Licitante!D124</f>
        <v>0.03</v>
      </c>
      <c r="F110" s="578"/>
      <c r="G110" s="515"/>
      <c r="H110" s="515"/>
      <c r="I110" s="125"/>
      <c r="J110" s="125"/>
    </row>
    <row r="111" spans="1:10" ht="15.75" customHeight="1">
      <c r="A111" s="577"/>
      <c r="B111" s="353" t="s">
        <v>199</v>
      </c>
      <c r="C111" s="353"/>
      <c r="D111" s="252" t="s">
        <v>200</v>
      </c>
      <c r="E111" s="253">
        <f>Licitante!D125</f>
        <v>0.05</v>
      </c>
      <c r="F111" s="578"/>
      <c r="G111" s="515"/>
      <c r="H111" s="515"/>
      <c r="I111" s="125"/>
      <c r="J111" s="125"/>
    </row>
    <row r="112" spans="1:10">
      <c r="A112" s="207"/>
      <c r="B112" s="471" t="s">
        <v>133</v>
      </c>
      <c r="C112" s="471"/>
      <c r="D112" s="471"/>
      <c r="E112" s="471"/>
      <c r="F112" s="471"/>
      <c r="G112" s="213">
        <f>ROUND(G106+G107+G108,2)</f>
        <v>1531.96</v>
      </c>
      <c r="H112" s="213">
        <f>ROUND(H106+H107+H108,2)</f>
        <v>1540.07</v>
      </c>
      <c r="I112" s="129"/>
      <c r="J112" s="129"/>
    </row>
    <row r="113" spans="1:10">
      <c r="A113" s="338"/>
      <c r="B113" s="338"/>
      <c r="C113" s="338"/>
      <c r="D113" s="338"/>
      <c r="E113" s="338"/>
      <c r="F113" s="338"/>
      <c r="G113" s="338"/>
    </row>
    <row r="114" spans="1:10" ht="12.95" customHeight="1">
      <c r="A114" s="349" t="s">
        <v>201</v>
      </c>
      <c r="B114" s="349"/>
      <c r="C114" s="349"/>
      <c r="D114" s="349"/>
      <c r="E114" s="349"/>
      <c r="F114" s="349"/>
      <c r="G114" s="349"/>
      <c r="H114" s="349"/>
      <c r="I114" s="117"/>
      <c r="J114" s="117"/>
    </row>
    <row r="115" spans="1:10" ht="12.95" customHeight="1">
      <c r="A115" s="471" t="s">
        <v>202</v>
      </c>
      <c r="B115" s="471"/>
      <c r="C115" s="471"/>
      <c r="D115" s="471"/>
      <c r="E115" s="471"/>
      <c r="F115" s="471"/>
      <c r="G115" s="204" t="s">
        <v>203</v>
      </c>
      <c r="H115" s="204" t="s">
        <v>203</v>
      </c>
      <c r="I115" s="117"/>
      <c r="J115" s="117"/>
    </row>
    <row r="116" spans="1:10">
      <c r="A116" s="500" t="s">
        <v>280</v>
      </c>
      <c r="B116" s="500"/>
      <c r="C116" s="500"/>
      <c r="D116" s="500"/>
      <c r="E116" s="500"/>
      <c r="F116" s="500"/>
      <c r="G116" s="205" t="s">
        <v>9</v>
      </c>
      <c r="H116" s="206" t="s">
        <v>238</v>
      </c>
      <c r="I116" s="121"/>
      <c r="J116" s="121"/>
    </row>
    <row r="117" spans="1:10">
      <c r="A117" s="207" t="s">
        <v>5</v>
      </c>
      <c r="B117" s="517" t="s">
        <v>121</v>
      </c>
      <c r="C117" s="517"/>
      <c r="D117" s="517"/>
      <c r="E117" s="517"/>
      <c r="F117" s="517"/>
      <c r="G117" s="216">
        <f t="shared" ref="G117:H121" si="1">G96</f>
        <v>3085.9993498181816</v>
      </c>
      <c r="H117" s="216">
        <f t="shared" si="1"/>
        <v>3085.9993498181816</v>
      </c>
      <c r="I117" s="138"/>
      <c r="J117" s="138"/>
    </row>
    <row r="118" spans="1:10">
      <c r="A118" s="207" t="s">
        <v>7</v>
      </c>
      <c r="B118" s="517" t="s">
        <v>128</v>
      </c>
      <c r="C118" s="517"/>
      <c r="D118" s="517"/>
      <c r="E118" s="517"/>
      <c r="F118" s="517"/>
      <c r="G118" s="216">
        <f t="shared" si="1"/>
        <v>2244.3052261718544</v>
      </c>
      <c r="H118" s="216">
        <f t="shared" si="1"/>
        <v>2219.9552261718545</v>
      </c>
      <c r="I118" s="138"/>
      <c r="J118" s="138"/>
    </row>
    <row r="119" spans="1:10">
      <c r="A119" s="207" t="s">
        <v>10</v>
      </c>
      <c r="B119" s="517" t="s">
        <v>164</v>
      </c>
      <c r="C119" s="517"/>
      <c r="D119" s="517"/>
      <c r="E119" s="517"/>
      <c r="F119" s="517"/>
      <c r="G119" s="216">
        <f t="shared" si="1"/>
        <v>222.26</v>
      </c>
      <c r="H119" s="216">
        <f t="shared" si="1"/>
        <v>222.26</v>
      </c>
      <c r="I119" s="138"/>
      <c r="J119" s="138"/>
    </row>
    <row r="120" spans="1:10">
      <c r="A120" s="207" t="s">
        <v>12</v>
      </c>
      <c r="B120" s="517" t="s">
        <v>174</v>
      </c>
      <c r="C120" s="517"/>
      <c r="D120" s="517"/>
      <c r="E120" s="517"/>
      <c r="F120" s="517"/>
      <c r="G120" s="216">
        <f t="shared" si="1"/>
        <v>745.85</v>
      </c>
      <c r="H120" s="216">
        <f t="shared" si="1"/>
        <v>745.85</v>
      </c>
      <c r="I120" s="138"/>
      <c r="J120" s="138"/>
    </row>
    <row r="121" spans="1:10">
      <c r="A121" s="207" t="s">
        <v>55</v>
      </c>
      <c r="B121" s="517" t="s">
        <v>184</v>
      </c>
      <c r="C121" s="517"/>
      <c r="D121" s="517"/>
      <c r="E121" s="517"/>
      <c r="F121" s="517"/>
      <c r="G121" s="216">
        <f t="shared" si="1"/>
        <v>107.16529166666666</v>
      </c>
      <c r="H121" s="216">
        <f t="shared" si="1"/>
        <v>165.35599999999999</v>
      </c>
      <c r="I121" s="138"/>
      <c r="J121" s="138"/>
    </row>
    <row r="122" spans="1:10">
      <c r="A122" s="207" t="s">
        <v>57</v>
      </c>
      <c r="B122" s="517" t="s">
        <v>216</v>
      </c>
      <c r="C122" s="517"/>
      <c r="D122" s="517"/>
      <c r="E122" s="517"/>
      <c r="F122" s="517"/>
      <c r="G122" s="216">
        <f>G112</f>
        <v>1531.96</v>
      </c>
      <c r="H122" s="216">
        <f>H112</f>
        <v>1540.07</v>
      </c>
      <c r="I122" s="138"/>
      <c r="J122" s="138"/>
    </row>
    <row r="123" spans="1:10">
      <c r="A123" s="207"/>
      <c r="B123" s="471" t="s">
        <v>205</v>
      </c>
      <c r="C123" s="471"/>
      <c r="D123" s="471"/>
      <c r="E123" s="471"/>
      <c r="F123" s="471"/>
      <c r="G123" s="240">
        <f>SUM(G117:G122)</f>
        <v>7937.5398676567029</v>
      </c>
      <c r="H123" s="240">
        <f>SUM(H117:H122)</f>
        <v>7979.4905759900357</v>
      </c>
      <c r="I123" s="140"/>
      <c r="J123" s="140"/>
    </row>
    <row r="124" spans="1:10">
      <c r="G124" s="244"/>
      <c r="H124" s="145"/>
      <c r="I124" s="145"/>
      <c r="J124" s="145"/>
    </row>
  </sheetData>
  <sheetProtection selectLockedCells="1" selectUnlockedCells="1"/>
  <mergeCells count="134">
    <mergeCell ref="A1:G1"/>
    <mergeCell ref="A2:G2"/>
    <mergeCell ref="A4:G4"/>
    <mergeCell ref="B5:E5"/>
    <mergeCell ref="F5:G5"/>
    <mergeCell ref="B6:E6"/>
    <mergeCell ref="F6:G6"/>
    <mergeCell ref="A3:G3"/>
    <mergeCell ref="B13:E13"/>
    <mergeCell ref="B8:E8"/>
    <mergeCell ref="F8:G8"/>
    <mergeCell ref="A9:G9"/>
    <mergeCell ref="A10:G10"/>
    <mergeCell ref="B11:F11"/>
    <mergeCell ref="B12:D12"/>
    <mergeCell ref="F7:G7"/>
    <mergeCell ref="B7:E7"/>
    <mergeCell ref="B21:F21"/>
    <mergeCell ref="B22:E22"/>
    <mergeCell ref="B23:E23"/>
    <mergeCell ref="B24:E24"/>
    <mergeCell ref="A26:G26"/>
    <mergeCell ref="B27:E27"/>
    <mergeCell ref="B17:F17"/>
    <mergeCell ref="A18:G18"/>
    <mergeCell ref="A19:G19"/>
    <mergeCell ref="A20:G20"/>
    <mergeCell ref="A55:A57"/>
    <mergeCell ref="B60:F60"/>
    <mergeCell ref="B35:E35"/>
    <mergeCell ref="B36:E36"/>
    <mergeCell ref="B37:G37"/>
    <mergeCell ref="B43:F43"/>
    <mergeCell ref="B28:E28"/>
    <mergeCell ref="B29:E29"/>
    <mergeCell ref="B30:E30"/>
    <mergeCell ref="B31:E31"/>
    <mergeCell ref="B32:E32"/>
    <mergeCell ref="B33:E33"/>
    <mergeCell ref="B52:D52"/>
    <mergeCell ref="F52:F53"/>
    <mergeCell ref="G52:G53"/>
    <mergeCell ref="B44:F44"/>
    <mergeCell ref="B45:F45"/>
    <mergeCell ref="B46:F46"/>
    <mergeCell ref="B47:F47"/>
    <mergeCell ref="B48:F48"/>
    <mergeCell ref="B49:F49"/>
    <mergeCell ref="A51:G51"/>
    <mergeCell ref="B53:C53"/>
    <mergeCell ref="A95:F95"/>
    <mergeCell ref="A94:H94"/>
    <mergeCell ref="H108:H111"/>
    <mergeCell ref="A103:H103"/>
    <mergeCell ref="A104:F104"/>
    <mergeCell ref="B73:E73"/>
    <mergeCell ref="B74:E74"/>
    <mergeCell ref="B75:E75"/>
    <mergeCell ref="B76:E76"/>
    <mergeCell ref="B77:E77"/>
    <mergeCell ref="B78:F78"/>
    <mergeCell ref="A79:F79"/>
    <mergeCell ref="A84:G84"/>
    <mergeCell ref="B86:F86"/>
    <mergeCell ref="A87:F87"/>
    <mergeCell ref="A85:H85"/>
    <mergeCell ref="B120:F120"/>
    <mergeCell ref="B121:F121"/>
    <mergeCell ref="B122:F122"/>
    <mergeCell ref="B123:F123"/>
    <mergeCell ref="A113:G113"/>
    <mergeCell ref="A116:F116"/>
    <mergeCell ref="B117:F117"/>
    <mergeCell ref="B118:F118"/>
    <mergeCell ref="B119:F119"/>
    <mergeCell ref="A114:H114"/>
    <mergeCell ref="A115:F115"/>
    <mergeCell ref="B14:F14"/>
    <mergeCell ref="B15:F15"/>
    <mergeCell ref="B16:F16"/>
    <mergeCell ref="A25:G25"/>
    <mergeCell ref="A83:H83"/>
    <mergeCell ref="B41:F41"/>
    <mergeCell ref="A42:F42"/>
    <mergeCell ref="A40:H40"/>
    <mergeCell ref="A69:F69"/>
    <mergeCell ref="A70:F70"/>
    <mergeCell ref="A80:G80"/>
    <mergeCell ref="B82:F82"/>
    <mergeCell ref="B54:E54"/>
    <mergeCell ref="B55:E55"/>
    <mergeCell ref="F55:F57"/>
    <mergeCell ref="G55:G57"/>
    <mergeCell ref="B56:C56"/>
    <mergeCell ref="B72:E72"/>
    <mergeCell ref="B59:E59"/>
    <mergeCell ref="B58:E58"/>
    <mergeCell ref="A61:G61"/>
    <mergeCell ref="A62:H62"/>
    <mergeCell ref="B50:G50"/>
    <mergeCell ref="A52:A53"/>
    <mergeCell ref="A63:G63"/>
    <mergeCell ref="B109:C110"/>
    <mergeCell ref="B112:F112"/>
    <mergeCell ref="A101:F101"/>
    <mergeCell ref="B105:E105"/>
    <mergeCell ref="B106:E106"/>
    <mergeCell ref="B107:E107"/>
    <mergeCell ref="A108:A111"/>
    <mergeCell ref="B108:E108"/>
    <mergeCell ref="F108:F111"/>
    <mergeCell ref="B96:F96"/>
    <mergeCell ref="B97:F97"/>
    <mergeCell ref="B98:F98"/>
    <mergeCell ref="B99:F99"/>
    <mergeCell ref="B100:F100"/>
    <mergeCell ref="B88:F88"/>
    <mergeCell ref="B89:F89"/>
    <mergeCell ref="B90:F90"/>
    <mergeCell ref="B91:F91"/>
    <mergeCell ref="B92:G92"/>
    <mergeCell ref="B71:E71"/>
    <mergeCell ref="A93:G93"/>
    <mergeCell ref="G108:G111"/>
    <mergeCell ref="B111:C111"/>
    <mergeCell ref="A68:G68"/>
    <mergeCell ref="A64:G64"/>
    <mergeCell ref="A65:G65"/>
    <mergeCell ref="A66:B66"/>
    <mergeCell ref="C66:D66"/>
    <mergeCell ref="E66:F66"/>
    <mergeCell ref="A67:B67"/>
    <mergeCell ref="C67:D67"/>
    <mergeCell ref="E67:F67"/>
  </mergeCells>
  <printOptions horizontalCentered="1"/>
  <pageMargins left="0.59027777777777779" right="0.59027777777777779" top="0.39305555555555555" bottom="0.39305555555555555" header="0.19652777777777777" footer="0.19652777777777777"/>
  <pageSetup paperSize="9" scale="65" firstPageNumber="0" orientation="portrait" horizontalDpi="300" verticalDpi="300" r:id="rId1"/>
  <headerFooter alignWithMargins="0">
    <oddHeader>&amp;L&amp;F&amp;R&amp;A</oddHeader>
    <oddFooter>&amp;C&amp;P de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E12C7-8749-45DA-84A9-3BAB98143977}">
  <dimension ref="A1:C33"/>
  <sheetViews>
    <sheetView topLeftCell="A4" workbookViewId="0">
      <selection activeCell="C22" sqref="C22"/>
    </sheetView>
  </sheetViews>
  <sheetFormatPr defaultColWidth="11.42578125" defaultRowHeight="12.75"/>
  <cols>
    <col min="1" max="1" width="40.28515625" customWidth="1"/>
    <col min="2" max="2" width="37.42578125" customWidth="1"/>
    <col min="3" max="3" width="43.7109375" customWidth="1"/>
    <col min="257" max="257" width="40.28515625" customWidth="1"/>
    <col min="258" max="258" width="37.42578125" customWidth="1"/>
    <col min="259" max="259" width="43.7109375" customWidth="1"/>
    <col min="513" max="513" width="40.28515625" customWidth="1"/>
    <col min="514" max="514" width="37.42578125" customWidth="1"/>
    <col min="515" max="515" width="43.7109375" customWidth="1"/>
    <col min="769" max="769" width="40.28515625" customWidth="1"/>
    <col min="770" max="770" width="37.42578125" customWidth="1"/>
    <col min="771" max="771" width="43.7109375" customWidth="1"/>
    <col min="1025" max="1025" width="40.28515625" customWidth="1"/>
    <col min="1026" max="1026" width="37.42578125" customWidth="1"/>
    <col min="1027" max="1027" width="43.7109375" customWidth="1"/>
    <col min="1281" max="1281" width="40.28515625" customWidth="1"/>
    <col min="1282" max="1282" width="37.42578125" customWidth="1"/>
    <col min="1283" max="1283" width="43.7109375" customWidth="1"/>
    <col min="1537" max="1537" width="40.28515625" customWidth="1"/>
    <col min="1538" max="1538" width="37.42578125" customWidth="1"/>
    <col min="1539" max="1539" width="43.7109375" customWidth="1"/>
    <col min="1793" max="1793" width="40.28515625" customWidth="1"/>
    <col min="1794" max="1794" width="37.42578125" customWidth="1"/>
    <col min="1795" max="1795" width="43.7109375" customWidth="1"/>
    <col min="2049" max="2049" width="40.28515625" customWidth="1"/>
    <col min="2050" max="2050" width="37.42578125" customWidth="1"/>
    <col min="2051" max="2051" width="43.7109375" customWidth="1"/>
    <col min="2305" max="2305" width="40.28515625" customWidth="1"/>
    <col min="2306" max="2306" width="37.42578125" customWidth="1"/>
    <col min="2307" max="2307" width="43.7109375" customWidth="1"/>
    <col min="2561" max="2561" width="40.28515625" customWidth="1"/>
    <col min="2562" max="2562" width="37.42578125" customWidth="1"/>
    <col min="2563" max="2563" width="43.7109375" customWidth="1"/>
    <col min="2817" max="2817" width="40.28515625" customWidth="1"/>
    <col min="2818" max="2818" width="37.42578125" customWidth="1"/>
    <col min="2819" max="2819" width="43.7109375" customWidth="1"/>
    <col min="3073" max="3073" width="40.28515625" customWidth="1"/>
    <col min="3074" max="3074" width="37.42578125" customWidth="1"/>
    <col min="3075" max="3075" width="43.7109375" customWidth="1"/>
    <col min="3329" max="3329" width="40.28515625" customWidth="1"/>
    <col min="3330" max="3330" width="37.42578125" customWidth="1"/>
    <col min="3331" max="3331" width="43.7109375" customWidth="1"/>
    <col min="3585" max="3585" width="40.28515625" customWidth="1"/>
    <col min="3586" max="3586" width="37.42578125" customWidth="1"/>
    <col min="3587" max="3587" width="43.7109375" customWidth="1"/>
    <col min="3841" max="3841" width="40.28515625" customWidth="1"/>
    <col min="3842" max="3842" width="37.42578125" customWidth="1"/>
    <col min="3843" max="3843" width="43.7109375" customWidth="1"/>
    <col min="4097" max="4097" width="40.28515625" customWidth="1"/>
    <col min="4098" max="4098" width="37.42578125" customWidth="1"/>
    <col min="4099" max="4099" width="43.7109375" customWidth="1"/>
    <col min="4353" max="4353" width="40.28515625" customWidth="1"/>
    <col min="4354" max="4354" width="37.42578125" customWidth="1"/>
    <col min="4355" max="4355" width="43.7109375" customWidth="1"/>
    <col min="4609" max="4609" width="40.28515625" customWidth="1"/>
    <col min="4610" max="4610" width="37.42578125" customWidth="1"/>
    <col min="4611" max="4611" width="43.7109375" customWidth="1"/>
    <col min="4865" max="4865" width="40.28515625" customWidth="1"/>
    <col min="4866" max="4866" width="37.42578125" customWidth="1"/>
    <col min="4867" max="4867" width="43.7109375" customWidth="1"/>
    <col min="5121" max="5121" width="40.28515625" customWidth="1"/>
    <col min="5122" max="5122" width="37.42578125" customWidth="1"/>
    <col min="5123" max="5123" width="43.7109375" customWidth="1"/>
    <col min="5377" max="5377" width="40.28515625" customWidth="1"/>
    <col min="5378" max="5378" width="37.42578125" customWidth="1"/>
    <col min="5379" max="5379" width="43.7109375" customWidth="1"/>
    <col min="5633" max="5633" width="40.28515625" customWidth="1"/>
    <col min="5634" max="5634" width="37.42578125" customWidth="1"/>
    <col min="5635" max="5635" width="43.7109375" customWidth="1"/>
    <col min="5889" max="5889" width="40.28515625" customWidth="1"/>
    <col min="5890" max="5890" width="37.42578125" customWidth="1"/>
    <col min="5891" max="5891" width="43.7109375" customWidth="1"/>
    <col min="6145" max="6145" width="40.28515625" customWidth="1"/>
    <col min="6146" max="6146" width="37.42578125" customWidth="1"/>
    <col min="6147" max="6147" width="43.7109375" customWidth="1"/>
    <col min="6401" max="6401" width="40.28515625" customWidth="1"/>
    <col min="6402" max="6402" width="37.42578125" customWidth="1"/>
    <col min="6403" max="6403" width="43.7109375" customWidth="1"/>
    <col min="6657" max="6657" width="40.28515625" customWidth="1"/>
    <col min="6658" max="6658" width="37.42578125" customWidth="1"/>
    <col min="6659" max="6659" width="43.7109375" customWidth="1"/>
    <col min="6913" max="6913" width="40.28515625" customWidth="1"/>
    <col min="6914" max="6914" width="37.42578125" customWidth="1"/>
    <col min="6915" max="6915" width="43.7109375" customWidth="1"/>
    <col min="7169" max="7169" width="40.28515625" customWidth="1"/>
    <col min="7170" max="7170" width="37.42578125" customWidth="1"/>
    <col min="7171" max="7171" width="43.7109375" customWidth="1"/>
    <col min="7425" max="7425" width="40.28515625" customWidth="1"/>
    <col min="7426" max="7426" width="37.42578125" customWidth="1"/>
    <col min="7427" max="7427" width="43.7109375" customWidth="1"/>
    <col min="7681" max="7681" width="40.28515625" customWidth="1"/>
    <col min="7682" max="7682" width="37.42578125" customWidth="1"/>
    <col min="7683" max="7683" width="43.7109375" customWidth="1"/>
    <col min="7937" max="7937" width="40.28515625" customWidth="1"/>
    <col min="7938" max="7938" width="37.42578125" customWidth="1"/>
    <col min="7939" max="7939" width="43.7109375" customWidth="1"/>
    <col min="8193" max="8193" width="40.28515625" customWidth="1"/>
    <col min="8194" max="8194" width="37.42578125" customWidth="1"/>
    <col min="8195" max="8195" width="43.7109375" customWidth="1"/>
    <col min="8449" max="8449" width="40.28515625" customWidth="1"/>
    <col min="8450" max="8450" width="37.42578125" customWidth="1"/>
    <col min="8451" max="8451" width="43.7109375" customWidth="1"/>
    <col min="8705" max="8705" width="40.28515625" customWidth="1"/>
    <col min="8706" max="8706" width="37.42578125" customWidth="1"/>
    <col min="8707" max="8707" width="43.7109375" customWidth="1"/>
    <col min="8961" max="8961" width="40.28515625" customWidth="1"/>
    <col min="8962" max="8962" width="37.42578125" customWidth="1"/>
    <col min="8963" max="8963" width="43.7109375" customWidth="1"/>
    <col min="9217" max="9217" width="40.28515625" customWidth="1"/>
    <col min="9218" max="9218" width="37.42578125" customWidth="1"/>
    <col min="9219" max="9219" width="43.7109375" customWidth="1"/>
    <col min="9473" max="9473" width="40.28515625" customWidth="1"/>
    <col min="9474" max="9474" width="37.42578125" customWidth="1"/>
    <col min="9475" max="9475" width="43.7109375" customWidth="1"/>
    <col min="9729" max="9729" width="40.28515625" customWidth="1"/>
    <col min="9730" max="9730" width="37.42578125" customWidth="1"/>
    <col min="9731" max="9731" width="43.7109375" customWidth="1"/>
    <col min="9985" max="9985" width="40.28515625" customWidth="1"/>
    <col min="9986" max="9986" width="37.42578125" customWidth="1"/>
    <col min="9987" max="9987" width="43.7109375" customWidth="1"/>
    <col min="10241" max="10241" width="40.28515625" customWidth="1"/>
    <col min="10242" max="10242" width="37.42578125" customWidth="1"/>
    <col min="10243" max="10243" width="43.7109375" customWidth="1"/>
    <col min="10497" max="10497" width="40.28515625" customWidth="1"/>
    <col min="10498" max="10498" width="37.42578125" customWidth="1"/>
    <col min="10499" max="10499" width="43.7109375" customWidth="1"/>
    <col min="10753" max="10753" width="40.28515625" customWidth="1"/>
    <col min="10754" max="10754" width="37.42578125" customWidth="1"/>
    <col min="10755" max="10755" width="43.7109375" customWidth="1"/>
    <col min="11009" max="11009" width="40.28515625" customWidth="1"/>
    <col min="11010" max="11010" width="37.42578125" customWidth="1"/>
    <col min="11011" max="11011" width="43.7109375" customWidth="1"/>
    <col min="11265" max="11265" width="40.28515625" customWidth="1"/>
    <col min="11266" max="11266" width="37.42578125" customWidth="1"/>
    <col min="11267" max="11267" width="43.7109375" customWidth="1"/>
    <col min="11521" max="11521" width="40.28515625" customWidth="1"/>
    <col min="11522" max="11522" width="37.42578125" customWidth="1"/>
    <col min="11523" max="11523" width="43.7109375" customWidth="1"/>
    <col min="11777" max="11777" width="40.28515625" customWidth="1"/>
    <col min="11778" max="11778" width="37.42578125" customWidth="1"/>
    <col min="11779" max="11779" width="43.7109375" customWidth="1"/>
    <col min="12033" max="12033" width="40.28515625" customWidth="1"/>
    <col min="12034" max="12034" width="37.42578125" customWidth="1"/>
    <col min="12035" max="12035" width="43.7109375" customWidth="1"/>
    <col min="12289" max="12289" width="40.28515625" customWidth="1"/>
    <col min="12290" max="12290" width="37.42578125" customWidth="1"/>
    <col min="12291" max="12291" width="43.7109375" customWidth="1"/>
    <col min="12545" max="12545" width="40.28515625" customWidth="1"/>
    <col min="12546" max="12546" width="37.42578125" customWidth="1"/>
    <col min="12547" max="12547" width="43.7109375" customWidth="1"/>
    <col min="12801" max="12801" width="40.28515625" customWidth="1"/>
    <col min="12802" max="12802" width="37.42578125" customWidth="1"/>
    <col min="12803" max="12803" width="43.7109375" customWidth="1"/>
    <col min="13057" max="13057" width="40.28515625" customWidth="1"/>
    <col min="13058" max="13058" width="37.42578125" customWidth="1"/>
    <col min="13059" max="13059" width="43.7109375" customWidth="1"/>
    <col min="13313" max="13313" width="40.28515625" customWidth="1"/>
    <col min="13314" max="13314" width="37.42578125" customWidth="1"/>
    <col min="13315" max="13315" width="43.7109375" customWidth="1"/>
    <col min="13569" max="13569" width="40.28515625" customWidth="1"/>
    <col min="13570" max="13570" width="37.42578125" customWidth="1"/>
    <col min="13571" max="13571" width="43.7109375" customWidth="1"/>
    <col min="13825" max="13825" width="40.28515625" customWidth="1"/>
    <col min="13826" max="13826" width="37.42578125" customWidth="1"/>
    <col min="13827" max="13827" width="43.7109375" customWidth="1"/>
    <col min="14081" max="14081" width="40.28515625" customWidth="1"/>
    <col min="14082" max="14082" width="37.42578125" customWidth="1"/>
    <col min="14083" max="14083" width="43.7109375" customWidth="1"/>
    <col min="14337" max="14337" width="40.28515625" customWidth="1"/>
    <col min="14338" max="14338" width="37.42578125" customWidth="1"/>
    <col min="14339" max="14339" width="43.7109375" customWidth="1"/>
    <col min="14593" max="14593" width="40.28515625" customWidth="1"/>
    <col min="14594" max="14594" width="37.42578125" customWidth="1"/>
    <col min="14595" max="14595" width="43.7109375" customWidth="1"/>
    <col min="14849" max="14849" width="40.28515625" customWidth="1"/>
    <col min="14850" max="14850" width="37.42578125" customWidth="1"/>
    <col min="14851" max="14851" width="43.7109375" customWidth="1"/>
    <col min="15105" max="15105" width="40.28515625" customWidth="1"/>
    <col min="15106" max="15106" width="37.42578125" customWidth="1"/>
    <col min="15107" max="15107" width="43.7109375" customWidth="1"/>
    <col min="15361" max="15361" width="40.28515625" customWidth="1"/>
    <col min="15362" max="15362" width="37.42578125" customWidth="1"/>
    <col min="15363" max="15363" width="43.7109375" customWidth="1"/>
    <col min="15617" max="15617" width="40.28515625" customWidth="1"/>
    <col min="15618" max="15618" width="37.42578125" customWidth="1"/>
    <col min="15619" max="15619" width="43.7109375" customWidth="1"/>
    <col min="15873" max="15873" width="40.28515625" customWidth="1"/>
    <col min="15874" max="15874" width="37.42578125" customWidth="1"/>
    <col min="15875" max="15875" width="43.7109375" customWidth="1"/>
    <col min="16129" max="16129" width="40.28515625" customWidth="1"/>
    <col min="16130" max="16130" width="37.42578125" customWidth="1"/>
    <col min="16131" max="16131" width="43.7109375" customWidth="1"/>
  </cols>
  <sheetData>
    <row r="1" spans="1:3" ht="47.25" customHeight="1">
      <c r="A1" s="601" t="s">
        <v>239</v>
      </c>
      <c r="B1" s="601"/>
      <c r="C1" s="601"/>
    </row>
    <row r="2" spans="1:3" ht="14.85" customHeight="1">
      <c r="A2" s="556" t="s">
        <v>240</v>
      </c>
      <c r="B2" s="556"/>
      <c r="C2" s="181">
        <v>13</v>
      </c>
    </row>
    <row r="3" spans="1:3" ht="13.5">
      <c r="A3" s="556" t="s">
        <v>241</v>
      </c>
      <c r="B3" s="556"/>
      <c r="C3" s="182">
        <f>C2/12</f>
        <v>1.0833333333333333</v>
      </c>
    </row>
    <row r="4" spans="1:3">
      <c r="A4" s="556" t="s">
        <v>242</v>
      </c>
      <c r="B4" s="556"/>
      <c r="C4" s="183">
        <f>ROUND(365.25/12,2)</f>
        <v>30.44</v>
      </c>
    </row>
    <row r="5" spans="1:3">
      <c r="A5" s="556" t="s">
        <v>243</v>
      </c>
      <c r="B5" s="556"/>
      <c r="C5" s="183">
        <f>ROUND(C4/7,2)</f>
        <v>4.3499999999999996</v>
      </c>
    </row>
    <row r="6" spans="1:3">
      <c r="A6" s="556" t="s">
        <v>244</v>
      </c>
      <c r="B6" s="556"/>
      <c r="C6" s="183">
        <f>C5+C3</f>
        <v>5.4333333333333327</v>
      </c>
    </row>
    <row r="7" spans="1:3">
      <c r="A7" s="556" t="s">
        <v>245</v>
      </c>
      <c r="B7" s="556"/>
      <c r="C7" s="183">
        <f>C4-C6</f>
        <v>25.006666666666668</v>
      </c>
    </row>
    <row r="8" spans="1:3" ht="23.1" customHeight="1">
      <c r="A8" s="602" t="s">
        <v>217</v>
      </c>
      <c r="B8" s="602"/>
      <c r="C8" s="602"/>
    </row>
    <row r="9" spans="1:3">
      <c r="A9" s="599" t="s">
        <v>246</v>
      </c>
      <c r="B9" s="599"/>
      <c r="C9" s="599"/>
    </row>
    <row r="10" spans="1:3">
      <c r="A10" s="184" t="s">
        <v>247</v>
      </c>
      <c r="B10" s="185"/>
      <c r="C10" s="181" t="s">
        <v>248</v>
      </c>
    </row>
    <row r="11" spans="1:3">
      <c r="A11" s="184" t="s">
        <v>249</v>
      </c>
      <c r="B11" s="185"/>
      <c r="C11" s="181">
        <v>7</v>
      </c>
    </row>
    <row r="12" spans="1:3" ht="13.5">
      <c r="A12" s="186" t="s">
        <v>250</v>
      </c>
      <c r="B12" s="181" t="s">
        <v>251</v>
      </c>
      <c r="C12" s="187">
        <f>60/52.5</f>
        <v>1.1428571428571428</v>
      </c>
    </row>
    <row r="13" spans="1:3" ht="26.85" customHeight="1">
      <c r="A13" s="600" t="s">
        <v>296</v>
      </c>
      <c r="B13" s="600"/>
      <c r="C13" s="188">
        <f>ROUND(C11*C12,2)</f>
        <v>8</v>
      </c>
    </row>
    <row r="14" spans="1:3" s="247" customFormat="1" ht="18.75" customHeight="1">
      <c r="A14" s="603" t="s">
        <v>252</v>
      </c>
      <c r="B14" s="603"/>
      <c r="C14" s="246">
        <f>ROUND(C13-C11,2)</f>
        <v>1</v>
      </c>
    </row>
    <row r="15" spans="1:3" ht="26.65" customHeight="1">
      <c r="A15" s="598" t="s">
        <v>246</v>
      </c>
      <c r="B15" s="598"/>
      <c r="C15" s="276" t="s">
        <v>253</v>
      </c>
    </row>
    <row r="16" spans="1:3" ht="25.5">
      <c r="A16" s="189" t="s">
        <v>254</v>
      </c>
      <c r="B16" s="175" t="s">
        <v>255</v>
      </c>
      <c r="C16" s="190">
        <f>'12x36_noturno'!G12+'12x36_noturno'!G13</f>
        <v>2399.23</v>
      </c>
    </row>
    <row r="17" spans="1:3" ht="25.5">
      <c r="A17" s="176" t="s">
        <v>256</v>
      </c>
      <c r="B17" s="175" t="s">
        <v>257</v>
      </c>
      <c r="C17" s="190">
        <f>C16/220</f>
        <v>10.905590909090909</v>
      </c>
    </row>
    <row r="18" spans="1:3" ht="25.5">
      <c r="A18" s="191" t="s">
        <v>258</v>
      </c>
      <c r="B18" s="192">
        <v>0.2</v>
      </c>
      <c r="C18" s="190">
        <f>ROUND(C17*B18,2)</f>
        <v>2.1800000000000002</v>
      </c>
    </row>
    <row r="19" spans="1:3" ht="23.1" customHeight="1">
      <c r="A19" s="189" t="s">
        <v>259</v>
      </c>
      <c r="B19" s="39" t="s">
        <v>298</v>
      </c>
      <c r="C19" s="188">
        <f>15.22*8</f>
        <v>121.76</v>
      </c>
    </row>
    <row r="20" spans="1:3" ht="33" customHeight="1">
      <c r="A20" s="189" t="s">
        <v>260</v>
      </c>
      <c r="B20" s="39" t="s">
        <v>261</v>
      </c>
      <c r="C20" s="193">
        <f>C19*C18</f>
        <v>265.43680000000001</v>
      </c>
    </row>
    <row r="21" spans="1:3" ht="26.1" customHeight="1">
      <c r="A21" s="598" t="s">
        <v>297</v>
      </c>
      <c r="B21" s="598"/>
      <c r="C21" s="276" t="s">
        <v>253</v>
      </c>
    </row>
    <row r="22" spans="1:3" ht="23.65" customHeight="1">
      <c r="A22" s="597" t="s">
        <v>299</v>
      </c>
      <c r="B22" s="597"/>
      <c r="C22" s="194">
        <f>((C17*1.6)+2.18)*15.22</f>
        <v>298.75254981818182</v>
      </c>
    </row>
    <row r="23" spans="1:3" ht="22.35" customHeight="1">
      <c r="A23" s="598" t="s">
        <v>262</v>
      </c>
      <c r="B23" s="598"/>
      <c r="C23" s="276" t="s">
        <v>253</v>
      </c>
    </row>
    <row r="24" spans="1:3">
      <c r="A24" s="186" t="s">
        <v>254</v>
      </c>
      <c r="B24" s="186" t="s">
        <v>263</v>
      </c>
      <c r="C24" s="190">
        <f>C20+C22</f>
        <v>564.18934981818188</v>
      </c>
    </row>
    <row r="25" spans="1:3" ht="14.65" customHeight="1">
      <c r="A25" s="599" t="s">
        <v>264</v>
      </c>
      <c r="B25" s="599"/>
      <c r="C25" s="183">
        <f>C7</f>
        <v>25.006666666666668</v>
      </c>
    </row>
    <row r="26" spans="1:3" ht="14.65" customHeight="1">
      <c r="A26" s="599" t="s">
        <v>265</v>
      </c>
      <c r="B26" s="599"/>
      <c r="C26" s="183">
        <f>C6</f>
        <v>5.4333333333333327</v>
      </c>
    </row>
    <row r="27" spans="1:3" ht="23.65" customHeight="1">
      <c r="A27" s="599" t="s">
        <v>266</v>
      </c>
      <c r="B27" s="599"/>
      <c r="C27" s="194">
        <f>ROUND(C24/C25*C26,2)</f>
        <v>122.58</v>
      </c>
    </row>
    <row r="29" spans="1:3" ht="24" customHeight="1">
      <c r="A29" s="598" t="s">
        <v>305</v>
      </c>
      <c r="B29" s="598"/>
      <c r="C29" s="276" t="s">
        <v>253</v>
      </c>
    </row>
    <row r="30" spans="1:3" ht="25.5">
      <c r="A30" s="176" t="s">
        <v>256</v>
      </c>
      <c r="B30" s="175" t="s">
        <v>257</v>
      </c>
      <c r="C30" s="190">
        <f>C17</f>
        <v>10.905590909090909</v>
      </c>
    </row>
    <row r="31" spans="1:3" ht="23.25" customHeight="1">
      <c r="A31" s="176" t="s">
        <v>301</v>
      </c>
      <c r="B31" s="175" t="s">
        <v>302</v>
      </c>
      <c r="C31" s="190">
        <f>C30*1.6</f>
        <v>17.448945454545456</v>
      </c>
    </row>
    <row r="32" spans="1:3" ht="24" customHeight="1">
      <c r="A32" s="176" t="s">
        <v>303</v>
      </c>
      <c r="B32" s="175" t="s">
        <v>304</v>
      </c>
      <c r="C32" s="190">
        <f>C31+C18</f>
        <v>19.628945454545455</v>
      </c>
    </row>
    <row r="33" spans="1:3" ht="24" customHeight="1">
      <c r="A33" s="176" t="s">
        <v>306</v>
      </c>
      <c r="B33" s="175" t="s">
        <v>307</v>
      </c>
      <c r="C33" s="190">
        <f>ROUND(C32*15.22,2)</f>
        <v>298.75</v>
      </c>
    </row>
  </sheetData>
  <mergeCells count="19">
    <mergeCell ref="A6:B6"/>
    <mergeCell ref="A7:B7"/>
    <mergeCell ref="A8:C8"/>
    <mergeCell ref="A9:C9"/>
    <mergeCell ref="A26:B26"/>
    <mergeCell ref="A14:B14"/>
    <mergeCell ref="A15:B15"/>
    <mergeCell ref="A21:B21"/>
    <mergeCell ref="A1:C1"/>
    <mergeCell ref="A2:B2"/>
    <mergeCell ref="A3:B3"/>
    <mergeCell ref="A4:B4"/>
    <mergeCell ref="A5:B5"/>
    <mergeCell ref="A22:B22"/>
    <mergeCell ref="A23:B23"/>
    <mergeCell ref="A25:B25"/>
    <mergeCell ref="A29:B29"/>
    <mergeCell ref="A13:B13"/>
    <mergeCell ref="A27:B27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3"/>
    <pageSetUpPr fitToPage="1"/>
  </sheetPr>
  <dimension ref="A1:K17"/>
  <sheetViews>
    <sheetView topLeftCell="C3" workbookViewId="0">
      <selection activeCell="K16" sqref="K16"/>
    </sheetView>
  </sheetViews>
  <sheetFormatPr defaultColWidth="12.140625" defaultRowHeight="12.75" customHeight="1"/>
  <cols>
    <col min="2" max="2" width="10.5703125" customWidth="1"/>
    <col min="3" max="3" width="22.42578125" customWidth="1"/>
    <col min="4" max="5" width="15" customWidth="1"/>
    <col min="6" max="6" width="15.140625" customWidth="1"/>
    <col min="7" max="7" width="12.85546875" customWidth="1"/>
    <col min="8" max="8" width="18" customWidth="1"/>
    <col min="9" max="9" width="19.28515625" customWidth="1"/>
  </cols>
  <sheetData>
    <row r="1" spans="1:11" ht="30" customHeight="1">
      <c r="B1" s="612" t="s">
        <v>222</v>
      </c>
      <c r="C1" s="612"/>
      <c r="D1" s="612"/>
      <c r="E1" s="612"/>
      <c r="F1" s="612"/>
      <c r="G1" s="612"/>
      <c r="H1" s="612"/>
      <c r="I1" s="612"/>
    </row>
    <row r="2" spans="1:11" ht="30" customHeight="1">
      <c r="B2" s="613" t="s">
        <v>0</v>
      </c>
      <c r="C2" s="613"/>
      <c r="D2" s="613"/>
      <c r="E2" s="613"/>
      <c r="F2" s="613"/>
      <c r="G2" s="613"/>
      <c r="H2" s="613"/>
      <c r="I2" s="613"/>
    </row>
    <row r="3" spans="1:11" ht="30" customHeight="1">
      <c r="B3" s="614" t="s">
        <v>223</v>
      </c>
      <c r="C3" s="614"/>
      <c r="D3" s="604"/>
      <c r="E3" s="604"/>
      <c r="F3" s="604"/>
      <c r="G3" s="615" t="s">
        <v>283</v>
      </c>
      <c r="H3" s="616"/>
      <c r="I3" s="227"/>
    </row>
    <row r="4" spans="1:11" ht="30" customHeight="1">
      <c r="A4" s="606" t="s">
        <v>284</v>
      </c>
      <c r="B4" s="606"/>
      <c r="C4" s="606"/>
      <c r="D4" s="617"/>
      <c r="E4" s="618"/>
      <c r="F4" s="618"/>
      <c r="G4" s="618"/>
      <c r="H4" s="618"/>
      <c r="I4" s="619"/>
    </row>
    <row r="5" spans="1:11" ht="30" customHeight="1">
      <c r="A5" s="606" t="s">
        <v>224</v>
      </c>
      <c r="B5" s="606"/>
      <c r="C5" s="606"/>
      <c r="D5" s="608"/>
      <c r="E5" s="608"/>
      <c r="F5" s="608"/>
      <c r="G5" s="608"/>
      <c r="H5" s="608"/>
      <c r="I5" s="609"/>
    </row>
    <row r="6" spans="1:11" ht="40.35" customHeight="1">
      <c r="A6" s="605" t="s">
        <v>225</v>
      </c>
      <c r="B6" s="605"/>
      <c r="C6" s="605"/>
      <c r="D6" s="605"/>
      <c r="E6" s="605"/>
      <c r="F6" s="605"/>
      <c r="G6" s="605"/>
      <c r="H6" s="605"/>
      <c r="I6" s="605"/>
    </row>
    <row r="7" spans="1:11" ht="54.4" customHeight="1">
      <c r="A7" s="271" t="s">
        <v>313</v>
      </c>
      <c r="B7" s="272" t="s">
        <v>60</v>
      </c>
      <c r="C7" s="610" t="s">
        <v>285</v>
      </c>
      <c r="D7" s="611"/>
      <c r="E7" s="273" t="s">
        <v>226</v>
      </c>
      <c r="F7" s="273" t="s">
        <v>227</v>
      </c>
      <c r="G7" s="273" t="s">
        <v>228</v>
      </c>
      <c r="H7" s="273" t="s">
        <v>229</v>
      </c>
      <c r="I7" s="274" t="s">
        <v>230</v>
      </c>
    </row>
    <row r="8" spans="1:11" ht="30" customHeight="1">
      <c r="A8" s="604">
        <v>1</v>
      </c>
      <c r="B8" s="271">
        <v>1</v>
      </c>
      <c r="C8" s="229" t="s">
        <v>290</v>
      </c>
      <c r="D8" s="270" t="s">
        <v>289</v>
      </c>
      <c r="E8" s="230">
        <f>'44h Líder'!G115</f>
        <v>6873.9027500000002</v>
      </c>
      <c r="F8" s="231">
        <v>1</v>
      </c>
      <c r="G8" s="230">
        <f t="shared" ref="G8" si="0">E8*F8</f>
        <v>6873.9027500000002</v>
      </c>
      <c r="H8" s="231">
        <v>1</v>
      </c>
      <c r="I8" s="232">
        <f t="shared" ref="I8" si="1">G8*H8</f>
        <v>6873.9027500000002</v>
      </c>
    </row>
    <row r="9" spans="1:11" ht="30" customHeight="1">
      <c r="A9" s="604"/>
      <c r="B9" s="271">
        <v>2</v>
      </c>
      <c r="C9" s="229" t="s">
        <v>286</v>
      </c>
      <c r="D9" s="270" t="s">
        <v>288</v>
      </c>
      <c r="E9" s="230">
        <f>'44h'!G113</f>
        <v>6486.5810833333335</v>
      </c>
      <c r="F9" s="231">
        <v>1</v>
      </c>
      <c r="G9" s="230">
        <f>E9*F9</f>
        <v>6486.5810833333335</v>
      </c>
      <c r="H9" s="231">
        <v>1</v>
      </c>
      <c r="I9" s="232">
        <f>G9*H9</f>
        <v>6486.5810833333335</v>
      </c>
    </row>
    <row r="10" spans="1:11" ht="30" customHeight="1">
      <c r="A10" s="604"/>
      <c r="B10" s="271">
        <v>3</v>
      </c>
      <c r="C10" s="234" t="s">
        <v>287</v>
      </c>
      <c r="D10" s="270" t="s">
        <v>295</v>
      </c>
      <c r="E10" s="230">
        <f>'44h'!H113</f>
        <v>6425.6938333333328</v>
      </c>
      <c r="F10" s="231">
        <v>1</v>
      </c>
      <c r="G10" s="230">
        <f>E10*F10</f>
        <v>6425.6938333333328</v>
      </c>
      <c r="H10" s="231">
        <v>2</v>
      </c>
      <c r="I10" s="232">
        <f t="shared" ref="I10:I14" si="2">G10*H10</f>
        <v>12851.387666666666</v>
      </c>
    </row>
    <row r="11" spans="1:11" ht="30" customHeight="1">
      <c r="A11" s="604"/>
      <c r="B11" s="271">
        <v>4</v>
      </c>
      <c r="C11" s="235" t="s">
        <v>291</v>
      </c>
      <c r="D11" s="270" t="s">
        <v>289</v>
      </c>
      <c r="E11" s="230">
        <f>'12x36_diurno'!G121</f>
        <v>6416.5150428753868</v>
      </c>
      <c r="F11" s="231">
        <v>2</v>
      </c>
      <c r="G11" s="230">
        <f t="shared" ref="G11:G14" si="3">E11*F11</f>
        <v>12833.030085750774</v>
      </c>
      <c r="H11" s="231">
        <v>1</v>
      </c>
      <c r="I11" s="232">
        <f t="shared" si="2"/>
        <v>12833.030085750774</v>
      </c>
    </row>
    <row r="12" spans="1:11" ht="30" customHeight="1">
      <c r="A12" s="604"/>
      <c r="B12" s="271">
        <v>5</v>
      </c>
      <c r="C12" s="229" t="s">
        <v>292</v>
      </c>
      <c r="D12" s="270" t="s">
        <v>295</v>
      </c>
      <c r="E12" s="230">
        <f>'12x36_diurno'!H121</f>
        <v>6458.4424740010954</v>
      </c>
      <c r="F12" s="231">
        <v>2</v>
      </c>
      <c r="G12" s="230">
        <f t="shared" si="3"/>
        <v>12916.884948002191</v>
      </c>
      <c r="H12" s="231">
        <v>2</v>
      </c>
      <c r="I12" s="232">
        <f t="shared" si="2"/>
        <v>25833.769896004382</v>
      </c>
    </row>
    <row r="13" spans="1:11" ht="30" customHeight="1">
      <c r="A13" s="604"/>
      <c r="B13" s="271">
        <v>6</v>
      </c>
      <c r="C13" s="236" t="s">
        <v>294</v>
      </c>
      <c r="D13" s="270" t="s">
        <v>289</v>
      </c>
      <c r="E13" s="230">
        <f>'12x36_noturno'!G123</f>
        <v>7937.5398676567029</v>
      </c>
      <c r="F13" s="231">
        <v>2</v>
      </c>
      <c r="G13" s="230">
        <f t="shared" si="3"/>
        <v>15875.079735313406</v>
      </c>
      <c r="H13" s="231">
        <v>1</v>
      </c>
      <c r="I13" s="232">
        <f t="shared" si="2"/>
        <v>15875.079735313406</v>
      </c>
    </row>
    <row r="14" spans="1:11" ht="30" customHeight="1">
      <c r="A14" s="604"/>
      <c r="B14" s="271">
        <v>7</v>
      </c>
      <c r="C14" s="237" t="s">
        <v>293</v>
      </c>
      <c r="D14" s="270" t="s">
        <v>295</v>
      </c>
      <c r="E14" s="230">
        <f>'12x36_noturno'!H123</f>
        <v>7979.4905759900357</v>
      </c>
      <c r="F14" s="231">
        <v>2</v>
      </c>
      <c r="G14" s="230">
        <f t="shared" si="3"/>
        <v>15958.981151980071</v>
      </c>
      <c r="H14" s="231">
        <v>3</v>
      </c>
      <c r="I14" s="232">
        <f t="shared" si="2"/>
        <v>47876.943455940214</v>
      </c>
    </row>
    <row r="15" spans="1:11" ht="30" customHeight="1">
      <c r="A15" s="228"/>
      <c r="B15" s="228"/>
      <c r="C15" s="607" t="s">
        <v>231</v>
      </c>
      <c r="D15" s="607"/>
      <c r="E15" s="607"/>
      <c r="F15" s="607"/>
      <c r="G15" s="607"/>
      <c r="H15" s="607"/>
      <c r="I15" s="232">
        <f>SUM(I8:I14)</f>
        <v>128630.69467300878</v>
      </c>
      <c r="K15" s="64"/>
    </row>
    <row r="16" spans="1:11" ht="30" customHeight="1">
      <c r="A16" s="228"/>
      <c r="B16" s="228"/>
      <c r="C16" s="607" t="s">
        <v>232</v>
      </c>
      <c r="D16" s="607"/>
      <c r="E16" s="607"/>
      <c r="F16" s="607"/>
      <c r="G16" s="607"/>
      <c r="H16" s="607"/>
      <c r="I16" s="233">
        <v>12</v>
      </c>
    </row>
    <row r="17" spans="1:11" ht="30" customHeight="1">
      <c r="A17" s="228"/>
      <c r="B17" s="228"/>
      <c r="C17" s="607" t="s">
        <v>233</v>
      </c>
      <c r="D17" s="607"/>
      <c r="E17" s="607"/>
      <c r="F17" s="607"/>
      <c r="G17" s="607"/>
      <c r="H17" s="607"/>
      <c r="I17" s="232">
        <f>I15*I16</f>
        <v>1543568.3360761055</v>
      </c>
      <c r="K17" s="64"/>
    </row>
  </sheetData>
  <sheetProtection selectLockedCells="1" selectUnlockedCells="1"/>
  <mergeCells count="15">
    <mergeCell ref="B1:I1"/>
    <mergeCell ref="B2:I2"/>
    <mergeCell ref="B3:C3"/>
    <mergeCell ref="G3:H3"/>
    <mergeCell ref="D4:I4"/>
    <mergeCell ref="D3:F3"/>
    <mergeCell ref="A4:C4"/>
    <mergeCell ref="A8:A14"/>
    <mergeCell ref="A6:I6"/>
    <mergeCell ref="A5:C5"/>
    <mergeCell ref="C17:H17"/>
    <mergeCell ref="C15:H15"/>
    <mergeCell ref="C16:H16"/>
    <mergeCell ref="D5:I5"/>
    <mergeCell ref="C7:D7"/>
  </mergeCells>
  <printOptions horizontalCentered="1"/>
  <pageMargins left="0.59027777777777779" right="0.59027777777777779" top="0.39305555555555555" bottom="0.39305555555555555" header="0.19652777777777777" footer="0.19652777777777777"/>
  <pageSetup paperSize="9" firstPageNumber="0" orientation="portrait" horizontalDpi="300" verticalDpi="300" r:id="rId1"/>
  <headerFooter alignWithMargins="0">
    <oddHeader>&amp;L&amp;8&amp;F&amp;R&amp;8&amp;A</oddHeader>
    <oddFooter>&amp;C&amp;8&amp;P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Licitante</vt:lpstr>
      <vt:lpstr>44h</vt:lpstr>
      <vt:lpstr>44h Líder</vt:lpstr>
      <vt:lpstr>12x36_diurno</vt:lpstr>
      <vt:lpstr>12x36_noturno</vt:lpstr>
      <vt:lpstr>Cálculos Noturnos</vt:lpstr>
      <vt:lpstr>Planilha Resumo dos itens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Marilda Cortez Cesar Caselato</cp:lastModifiedBy>
  <cp:revision/>
  <dcterms:created xsi:type="dcterms:W3CDTF">2022-05-17T12:47:43Z</dcterms:created>
  <dcterms:modified xsi:type="dcterms:W3CDTF">2022-09-02T18:05:19Z</dcterms:modified>
  <cp:category/>
  <cp:contentStatus/>
</cp:coreProperties>
</file>