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e-Processo\impressao\00_TRABALHO\2021\Pregão\Cão de Faro\Documentos Após Parecer da PGFN\"/>
    </mc:Choice>
  </mc:AlternateContent>
  <xr:revisionPtr revIDLastSave="0" documentId="13_ncr:1_{33622AF5-F4A1-4347-962D-390C42B575E3}" xr6:coauthVersionLast="47" xr6:coauthVersionMax="47" xr10:uidLastSave="{00000000-0000-0000-0000-000000000000}"/>
  <bookViews>
    <workbookView xWindow="28680" yWindow="-120" windowWidth="29040" windowHeight="15840" tabRatio="812" activeTab="5" xr2:uid="{00000000-000D-0000-FFFF-FFFF00000000}"/>
  </bookViews>
  <sheets>
    <sheet name="Mão de Obra Tratador" sheetId="3" r:id="rId1"/>
    <sheet name="Benefícios da Mão de Obra" sheetId="6" r:id="rId2"/>
    <sheet name="Procedimentos e Ração" sheetId="1" r:id="rId3"/>
    <sheet name="Hospedagem e Transporte" sheetId="2" r:id="rId4"/>
    <sheet name="Materiais" sheetId="8" r:id="rId5"/>
    <sheet name="#VALOR DA PROPOSTA#" sheetId="5" r:id="rId6"/>
  </sheets>
  <definedNames>
    <definedName name="_xlnm.Print_Area" localSheetId="1">'Benefícios da Mão de Obra'!$A$1:$H$39</definedName>
    <definedName name="_xlnm.Print_Area" localSheetId="4">Materiais!$A$1:$X$24</definedName>
    <definedName name="Excel_BuiltIn_Print_Area" localSheetId="1">'Benefícios da Mão de Obra'!$A$9:$G$41</definedName>
    <definedName name="Excel_BuiltIn_Print_Area_3_1">"$#REF!.$A$1:$E$34"</definedName>
    <definedName name="Excel_BuiltIn_Print_Area_34">NA()</definedName>
    <definedName name="SHARED_FORMULA_7_31_7_31_1">"NA()"</definedName>
    <definedName name="_xlnm.Print_Titles" localSheetId="2">'Procedimentos e Ração'!$24:$25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6" l="1"/>
  <c r="F24" i="6" l="1"/>
  <c r="C24" i="2"/>
  <c r="C20" i="2"/>
  <c r="C25" i="2"/>
  <c r="C226" i="1" l="1"/>
  <c r="C225" i="1"/>
  <c r="C224" i="1"/>
  <c r="C235" i="1"/>
  <c r="E103" i="3" l="1"/>
  <c r="E102" i="3"/>
  <c r="G102" i="3" s="1"/>
  <c r="G87" i="3"/>
  <c r="E101" i="3"/>
  <c r="G100" i="3" s="1"/>
  <c r="H100" i="3" s="1"/>
  <c r="H21" i="8"/>
  <c r="I21" i="8" s="1"/>
  <c r="J20" i="8"/>
  <c r="G20" i="8"/>
  <c r="I20" i="8" s="1"/>
  <c r="G90" i="3"/>
  <c r="E98" i="3"/>
  <c r="G98" i="3" s="1"/>
  <c r="C15" i="6"/>
  <c r="G96" i="3"/>
  <c r="G17" i="8"/>
  <c r="I17" i="8" s="1"/>
  <c r="G18" i="8"/>
  <c r="H18" i="8" s="1"/>
  <c r="G22" i="8"/>
  <c r="I22" i="8" s="1"/>
  <c r="G23" i="8"/>
  <c r="I23" i="8" s="1"/>
  <c r="G16" i="8"/>
  <c r="I16" i="8" s="1"/>
  <c r="J21" i="8" l="1"/>
  <c r="K21" i="8" s="1"/>
  <c r="H20" i="8"/>
  <c r="J18" i="8"/>
  <c r="L18" i="8" s="1"/>
  <c r="K20" i="8"/>
  <c r="I18" i="8"/>
  <c r="J17" i="8"/>
  <c r="L17" i="8" s="1"/>
  <c r="J16" i="8"/>
  <c r="L16" i="8" s="1"/>
  <c r="J23" i="8"/>
  <c r="K23" i="8" s="1"/>
  <c r="J22" i="8"/>
  <c r="L22" i="8" s="1"/>
  <c r="H17" i="8"/>
  <c r="H16" i="8"/>
  <c r="H23" i="8"/>
  <c r="H22" i="8"/>
  <c r="L21" i="8" l="1"/>
  <c r="K18" i="8"/>
  <c r="K17" i="8"/>
  <c r="L20" i="8"/>
  <c r="K22" i="8"/>
  <c r="L23" i="8"/>
  <c r="K16" i="8"/>
  <c r="G19" i="8"/>
  <c r="J19" i="8" s="1"/>
  <c r="F25" i="2"/>
  <c r="E36" i="1"/>
  <c r="F24" i="2"/>
  <c r="F20" i="2"/>
  <c r="E235" i="1"/>
  <c r="F235" i="1" s="1"/>
  <c r="F236" i="1" s="1"/>
  <c r="E20" i="1" s="1"/>
  <c r="L19" i="8" l="1"/>
  <c r="L24" i="8" s="1"/>
  <c r="L10" i="8" s="1"/>
  <c r="L11" i="8" s="1"/>
  <c r="K19" i="8"/>
  <c r="K24" i="8" s="1"/>
  <c r="K10" i="8" s="1"/>
  <c r="K11" i="8" s="1"/>
  <c r="I19" i="8"/>
  <c r="I24" i="8" s="1"/>
  <c r="I10" i="8" s="1"/>
  <c r="I11" i="8" s="1"/>
  <c r="H19" i="8"/>
  <c r="H24" i="8" s="1"/>
  <c r="H10" i="8" s="1"/>
  <c r="H11" i="8" s="1"/>
  <c r="J24" i="8"/>
  <c r="J10" i="8" s="1"/>
  <c r="J11" i="8" s="1"/>
  <c r="G20" i="2"/>
  <c r="I20" i="2"/>
  <c r="H20" i="2"/>
  <c r="I235" i="1"/>
  <c r="I236" i="1" s="1"/>
  <c r="H20" i="1" s="1"/>
  <c r="E236" i="1"/>
  <c r="D20" i="1" s="1"/>
  <c r="G235" i="1"/>
  <c r="G236" i="1" s="1"/>
  <c r="F20" i="1" s="1"/>
  <c r="H235" i="1"/>
  <c r="H236" i="1" s="1"/>
  <c r="G20" i="1" s="1"/>
  <c r="J235" i="1"/>
  <c r="H24" i="2"/>
  <c r="G24" i="2"/>
  <c r="H28" i="3"/>
  <c r="H45" i="3"/>
  <c r="J25" i="2"/>
  <c r="I24" i="2"/>
  <c r="F9" i="2"/>
  <c r="F10" i="2" s="1"/>
  <c r="E183" i="1"/>
  <c r="H183" i="1" s="1"/>
  <c r="I183" i="1" s="1"/>
  <c r="J183" i="1" s="1"/>
  <c r="E181" i="1"/>
  <c r="H181" i="1" s="1"/>
  <c r="I181" i="1" s="1"/>
  <c r="J181" i="1" s="1"/>
  <c r="E128" i="1"/>
  <c r="E195" i="1"/>
  <c r="H195" i="1" s="1"/>
  <c r="I195" i="1" s="1"/>
  <c r="J195" i="1" s="1"/>
  <c r="E192" i="1"/>
  <c r="H192" i="1" s="1"/>
  <c r="I192" i="1" s="1"/>
  <c r="J192" i="1" s="1"/>
  <c r="E191" i="1"/>
  <c r="H191" i="1" s="1"/>
  <c r="I191" i="1" s="1"/>
  <c r="J191" i="1" s="1"/>
  <c r="E220" i="1"/>
  <c r="F220" i="1" s="1"/>
  <c r="G220" i="1" s="1"/>
  <c r="H220" i="1" s="1"/>
  <c r="I220" i="1" s="1"/>
  <c r="J220" i="1" s="1"/>
  <c r="E219" i="1"/>
  <c r="F219" i="1" s="1"/>
  <c r="G219" i="1" s="1"/>
  <c r="H219" i="1" s="1"/>
  <c r="I219" i="1" s="1"/>
  <c r="J219" i="1" s="1"/>
  <c r="E218" i="1"/>
  <c r="F218" i="1" s="1"/>
  <c r="G218" i="1" s="1"/>
  <c r="H218" i="1" s="1"/>
  <c r="I218" i="1" s="1"/>
  <c r="J218" i="1" s="1"/>
  <c r="E217" i="1"/>
  <c r="F217" i="1" s="1"/>
  <c r="G217" i="1" s="1"/>
  <c r="H217" i="1" s="1"/>
  <c r="I217" i="1" s="1"/>
  <c r="J217" i="1" s="1"/>
  <c r="E216" i="1"/>
  <c r="F216" i="1" s="1"/>
  <c r="G216" i="1" s="1"/>
  <c r="H216" i="1" s="1"/>
  <c r="I216" i="1" s="1"/>
  <c r="J216" i="1" s="1"/>
  <c r="E215" i="1"/>
  <c r="F215" i="1" s="1"/>
  <c r="G215" i="1" s="1"/>
  <c r="H215" i="1" s="1"/>
  <c r="I215" i="1" s="1"/>
  <c r="J215" i="1" s="1"/>
  <c r="E214" i="1"/>
  <c r="F214" i="1" s="1"/>
  <c r="G214" i="1" s="1"/>
  <c r="H214" i="1" s="1"/>
  <c r="I214" i="1" s="1"/>
  <c r="J214" i="1" s="1"/>
  <c r="E213" i="1"/>
  <c r="F213" i="1" s="1"/>
  <c r="G213" i="1" s="1"/>
  <c r="H213" i="1" s="1"/>
  <c r="I213" i="1" s="1"/>
  <c r="J213" i="1" s="1"/>
  <c r="E212" i="1"/>
  <c r="F212" i="1" s="1"/>
  <c r="G212" i="1" s="1"/>
  <c r="H212" i="1" s="1"/>
  <c r="I212" i="1" s="1"/>
  <c r="J212" i="1" s="1"/>
  <c r="E211" i="1"/>
  <c r="F211" i="1" s="1"/>
  <c r="G211" i="1" s="1"/>
  <c r="H211" i="1" s="1"/>
  <c r="I211" i="1" s="1"/>
  <c r="J211" i="1" s="1"/>
  <c r="E210" i="1"/>
  <c r="F210" i="1" s="1"/>
  <c r="G210" i="1" s="1"/>
  <c r="H210" i="1" s="1"/>
  <c r="I210" i="1" s="1"/>
  <c r="J210" i="1" s="1"/>
  <c r="E209" i="1"/>
  <c r="F209" i="1" s="1"/>
  <c r="G209" i="1" s="1"/>
  <c r="H209" i="1" s="1"/>
  <c r="I209" i="1" s="1"/>
  <c r="J209" i="1" s="1"/>
  <c r="E208" i="1"/>
  <c r="F208" i="1" s="1"/>
  <c r="G208" i="1" s="1"/>
  <c r="H208" i="1" s="1"/>
  <c r="I208" i="1" s="1"/>
  <c r="J208" i="1" s="1"/>
  <c r="E207" i="1"/>
  <c r="F207" i="1" s="1"/>
  <c r="G207" i="1" s="1"/>
  <c r="H207" i="1" s="1"/>
  <c r="I207" i="1" s="1"/>
  <c r="J207" i="1" s="1"/>
  <c r="E206" i="1"/>
  <c r="F206" i="1" s="1"/>
  <c r="G206" i="1" s="1"/>
  <c r="H206" i="1" s="1"/>
  <c r="I206" i="1" s="1"/>
  <c r="J206" i="1" s="1"/>
  <c r="E205" i="1"/>
  <c r="F205" i="1" s="1"/>
  <c r="G205" i="1" s="1"/>
  <c r="H205" i="1" s="1"/>
  <c r="I205" i="1" s="1"/>
  <c r="J205" i="1" s="1"/>
  <c r="E204" i="1"/>
  <c r="F204" i="1" s="1"/>
  <c r="G204" i="1" s="1"/>
  <c r="H204" i="1" s="1"/>
  <c r="I204" i="1" s="1"/>
  <c r="J204" i="1" s="1"/>
  <c r="E203" i="1"/>
  <c r="F203" i="1" s="1"/>
  <c r="G203" i="1" s="1"/>
  <c r="H203" i="1" s="1"/>
  <c r="I203" i="1" s="1"/>
  <c r="J203" i="1" s="1"/>
  <c r="E202" i="1"/>
  <c r="F202" i="1" s="1"/>
  <c r="G202" i="1" s="1"/>
  <c r="H202" i="1" s="1"/>
  <c r="I202" i="1" s="1"/>
  <c r="J202" i="1" s="1"/>
  <c r="E201" i="1"/>
  <c r="F201" i="1" s="1"/>
  <c r="G201" i="1" s="1"/>
  <c r="H201" i="1" s="1"/>
  <c r="I201" i="1" s="1"/>
  <c r="J201" i="1" s="1"/>
  <c r="E200" i="1"/>
  <c r="F200" i="1" s="1"/>
  <c r="G200" i="1" s="1"/>
  <c r="H200" i="1" s="1"/>
  <c r="I200" i="1" s="1"/>
  <c r="J200" i="1" s="1"/>
  <c r="E199" i="1"/>
  <c r="F199" i="1" s="1"/>
  <c r="G199" i="1" s="1"/>
  <c r="H199" i="1" s="1"/>
  <c r="I199" i="1" s="1"/>
  <c r="J199" i="1" s="1"/>
  <c r="E198" i="1"/>
  <c r="F198" i="1" s="1"/>
  <c r="G198" i="1" s="1"/>
  <c r="H198" i="1" s="1"/>
  <c r="I198" i="1" s="1"/>
  <c r="J198" i="1" s="1"/>
  <c r="E197" i="1"/>
  <c r="F197" i="1" s="1"/>
  <c r="G197" i="1" s="1"/>
  <c r="H197" i="1" s="1"/>
  <c r="I197" i="1" s="1"/>
  <c r="J197" i="1" s="1"/>
  <c r="E196" i="1"/>
  <c r="F196" i="1" s="1"/>
  <c r="G196" i="1" s="1"/>
  <c r="H196" i="1" s="1"/>
  <c r="I196" i="1" s="1"/>
  <c r="J196" i="1" s="1"/>
  <c r="E194" i="1"/>
  <c r="E193" i="1"/>
  <c r="F193" i="1" s="1"/>
  <c r="G193" i="1" s="1"/>
  <c r="H193" i="1" s="1"/>
  <c r="I193" i="1" s="1"/>
  <c r="J193" i="1" s="1"/>
  <c r="E190" i="1"/>
  <c r="F190" i="1" s="1"/>
  <c r="G190" i="1" s="1"/>
  <c r="H190" i="1" s="1"/>
  <c r="I190" i="1" s="1"/>
  <c r="J190" i="1" s="1"/>
  <c r="E189" i="1"/>
  <c r="F189" i="1" s="1"/>
  <c r="G189" i="1" s="1"/>
  <c r="H189" i="1" s="1"/>
  <c r="I189" i="1" s="1"/>
  <c r="J189" i="1" s="1"/>
  <c r="E188" i="1"/>
  <c r="F188" i="1" s="1"/>
  <c r="G188" i="1" s="1"/>
  <c r="H188" i="1" s="1"/>
  <c r="I188" i="1" s="1"/>
  <c r="J188" i="1" s="1"/>
  <c r="E187" i="1"/>
  <c r="F187" i="1" s="1"/>
  <c r="G187" i="1" s="1"/>
  <c r="H187" i="1" s="1"/>
  <c r="I187" i="1" s="1"/>
  <c r="J187" i="1" s="1"/>
  <c r="E186" i="1"/>
  <c r="F186" i="1" s="1"/>
  <c r="G186" i="1" s="1"/>
  <c r="H186" i="1" s="1"/>
  <c r="I186" i="1" s="1"/>
  <c r="J186" i="1" s="1"/>
  <c r="E185" i="1"/>
  <c r="G185" i="1" s="1"/>
  <c r="E184" i="1"/>
  <c r="G184" i="1" s="1"/>
  <c r="H184" i="1" s="1"/>
  <c r="I184" i="1" s="1"/>
  <c r="J184" i="1" s="1"/>
  <c r="E182" i="1"/>
  <c r="F182" i="1" s="1"/>
  <c r="G182" i="1" s="1"/>
  <c r="H182" i="1" s="1"/>
  <c r="I182" i="1" s="1"/>
  <c r="J182" i="1" s="1"/>
  <c r="E180" i="1"/>
  <c r="G180" i="1" s="1"/>
  <c r="E179" i="1"/>
  <c r="E178" i="1"/>
  <c r="F178" i="1" s="1"/>
  <c r="E177" i="1"/>
  <c r="G177" i="1" s="1"/>
  <c r="E175" i="1"/>
  <c r="F175" i="1" s="1"/>
  <c r="G175" i="1" s="1"/>
  <c r="H175" i="1" s="1"/>
  <c r="I175" i="1" s="1"/>
  <c r="J175" i="1" s="1"/>
  <c r="E174" i="1"/>
  <c r="F174" i="1" s="1"/>
  <c r="G174" i="1" s="1"/>
  <c r="H174" i="1" s="1"/>
  <c r="I174" i="1" s="1"/>
  <c r="J174" i="1" s="1"/>
  <c r="E173" i="1"/>
  <c r="F173" i="1" s="1"/>
  <c r="G173" i="1" s="1"/>
  <c r="H173" i="1" s="1"/>
  <c r="I173" i="1" s="1"/>
  <c r="J173" i="1" s="1"/>
  <c r="E172" i="1"/>
  <c r="F172" i="1" s="1"/>
  <c r="G172" i="1" s="1"/>
  <c r="H172" i="1" s="1"/>
  <c r="I172" i="1" s="1"/>
  <c r="J172" i="1" s="1"/>
  <c r="E171" i="1"/>
  <c r="F171" i="1" s="1"/>
  <c r="G171" i="1" s="1"/>
  <c r="H171" i="1" s="1"/>
  <c r="I171" i="1" s="1"/>
  <c r="J171" i="1" s="1"/>
  <c r="E170" i="1"/>
  <c r="F170" i="1" s="1"/>
  <c r="G170" i="1" s="1"/>
  <c r="H170" i="1" s="1"/>
  <c r="I170" i="1" s="1"/>
  <c r="J170" i="1" s="1"/>
  <c r="E169" i="1"/>
  <c r="F169" i="1" s="1"/>
  <c r="G169" i="1" s="1"/>
  <c r="H169" i="1" s="1"/>
  <c r="I169" i="1" s="1"/>
  <c r="J169" i="1" s="1"/>
  <c r="E168" i="1"/>
  <c r="F168" i="1" s="1"/>
  <c r="G168" i="1" s="1"/>
  <c r="H168" i="1" s="1"/>
  <c r="I168" i="1" s="1"/>
  <c r="J168" i="1" s="1"/>
  <c r="E167" i="1"/>
  <c r="F167" i="1" s="1"/>
  <c r="G167" i="1" s="1"/>
  <c r="H167" i="1" s="1"/>
  <c r="I167" i="1" s="1"/>
  <c r="J167" i="1" s="1"/>
  <c r="E166" i="1"/>
  <c r="F166" i="1" s="1"/>
  <c r="G166" i="1" s="1"/>
  <c r="H166" i="1" s="1"/>
  <c r="I166" i="1" s="1"/>
  <c r="J166" i="1" s="1"/>
  <c r="E164" i="1"/>
  <c r="F164" i="1" s="1"/>
  <c r="G164" i="1" s="1"/>
  <c r="H164" i="1" s="1"/>
  <c r="I164" i="1" s="1"/>
  <c r="J164" i="1" s="1"/>
  <c r="E163" i="1"/>
  <c r="F163" i="1" s="1"/>
  <c r="G163" i="1" s="1"/>
  <c r="H163" i="1" s="1"/>
  <c r="I163" i="1" s="1"/>
  <c r="J163" i="1" s="1"/>
  <c r="E162" i="1"/>
  <c r="F162" i="1" s="1"/>
  <c r="G162" i="1" s="1"/>
  <c r="H162" i="1" s="1"/>
  <c r="I162" i="1" s="1"/>
  <c r="J162" i="1" s="1"/>
  <c r="E161" i="1"/>
  <c r="F161" i="1" s="1"/>
  <c r="G161" i="1" s="1"/>
  <c r="H161" i="1" s="1"/>
  <c r="I161" i="1" s="1"/>
  <c r="J161" i="1" s="1"/>
  <c r="E159" i="1"/>
  <c r="F159" i="1" s="1"/>
  <c r="G159" i="1" s="1"/>
  <c r="H159" i="1" s="1"/>
  <c r="I159" i="1" s="1"/>
  <c r="J159" i="1" s="1"/>
  <c r="E158" i="1"/>
  <c r="F158" i="1" s="1"/>
  <c r="G158" i="1" s="1"/>
  <c r="H158" i="1" s="1"/>
  <c r="I158" i="1" s="1"/>
  <c r="J158" i="1" s="1"/>
  <c r="E157" i="1"/>
  <c r="F157" i="1" s="1"/>
  <c r="G157" i="1" s="1"/>
  <c r="H157" i="1" s="1"/>
  <c r="I157" i="1" s="1"/>
  <c r="J157" i="1" s="1"/>
  <c r="E156" i="1"/>
  <c r="F156" i="1" s="1"/>
  <c r="G156" i="1" s="1"/>
  <c r="H156" i="1" s="1"/>
  <c r="I156" i="1" s="1"/>
  <c r="J156" i="1" s="1"/>
  <c r="E154" i="1"/>
  <c r="F154" i="1" s="1"/>
  <c r="G154" i="1" s="1"/>
  <c r="H154" i="1" s="1"/>
  <c r="I154" i="1" s="1"/>
  <c r="J154" i="1" s="1"/>
  <c r="E153" i="1"/>
  <c r="F153" i="1" s="1"/>
  <c r="G153" i="1" s="1"/>
  <c r="H153" i="1" s="1"/>
  <c r="I153" i="1" s="1"/>
  <c r="J153" i="1" s="1"/>
  <c r="E152" i="1"/>
  <c r="F152" i="1" s="1"/>
  <c r="G152" i="1" s="1"/>
  <c r="H152" i="1" s="1"/>
  <c r="I152" i="1" s="1"/>
  <c r="J152" i="1" s="1"/>
  <c r="E150" i="1"/>
  <c r="F150" i="1" s="1"/>
  <c r="G150" i="1" s="1"/>
  <c r="H150" i="1" s="1"/>
  <c r="I150" i="1" s="1"/>
  <c r="J150" i="1" s="1"/>
  <c r="E149" i="1"/>
  <c r="F149" i="1" s="1"/>
  <c r="G149" i="1" s="1"/>
  <c r="H149" i="1" s="1"/>
  <c r="I149" i="1" s="1"/>
  <c r="J149" i="1" s="1"/>
  <c r="E148" i="1"/>
  <c r="F148" i="1" s="1"/>
  <c r="G148" i="1" s="1"/>
  <c r="H148" i="1" s="1"/>
  <c r="I148" i="1" s="1"/>
  <c r="J148" i="1" s="1"/>
  <c r="E146" i="1"/>
  <c r="F146" i="1" s="1"/>
  <c r="G146" i="1" s="1"/>
  <c r="H146" i="1" s="1"/>
  <c r="I146" i="1" s="1"/>
  <c r="J146" i="1" s="1"/>
  <c r="E145" i="1"/>
  <c r="F145" i="1" s="1"/>
  <c r="G145" i="1" s="1"/>
  <c r="H145" i="1" s="1"/>
  <c r="I145" i="1" s="1"/>
  <c r="J145" i="1" s="1"/>
  <c r="E144" i="1"/>
  <c r="F144" i="1" s="1"/>
  <c r="G144" i="1" s="1"/>
  <c r="H144" i="1" s="1"/>
  <c r="I144" i="1" s="1"/>
  <c r="J144" i="1" s="1"/>
  <c r="E143" i="1"/>
  <c r="E141" i="1"/>
  <c r="F141" i="1" s="1"/>
  <c r="G141" i="1" s="1"/>
  <c r="E140" i="1"/>
  <c r="F140" i="1" s="1"/>
  <c r="G140" i="1" s="1"/>
  <c r="H140" i="1" s="1"/>
  <c r="I140" i="1" s="1"/>
  <c r="J140" i="1" s="1"/>
  <c r="E139" i="1"/>
  <c r="E138" i="1"/>
  <c r="H138" i="1" s="1"/>
  <c r="E137" i="1"/>
  <c r="E135" i="1"/>
  <c r="F135" i="1" s="1"/>
  <c r="G135" i="1" s="1"/>
  <c r="H135" i="1" s="1"/>
  <c r="I135" i="1" s="1"/>
  <c r="J135" i="1" s="1"/>
  <c r="E134" i="1"/>
  <c r="F134" i="1" s="1"/>
  <c r="G134" i="1" s="1"/>
  <c r="H134" i="1" s="1"/>
  <c r="I134" i="1" s="1"/>
  <c r="J134" i="1" s="1"/>
  <c r="E133" i="1"/>
  <c r="F133" i="1" s="1"/>
  <c r="G133" i="1" s="1"/>
  <c r="H133" i="1" s="1"/>
  <c r="I133" i="1" s="1"/>
  <c r="J133" i="1" s="1"/>
  <c r="E132" i="1"/>
  <c r="F132" i="1" s="1"/>
  <c r="G132" i="1" s="1"/>
  <c r="H132" i="1" s="1"/>
  <c r="I132" i="1" s="1"/>
  <c r="J132" i="1" s="1"/>
  <c r="E131" i="1"/>
  <c r="F131" i="1" s="1"/>
  <c r="G131" i="1" s="1"/>
  <c r="H131" i="1" s="1"/>
  <c r="I131" i="1" s="1"/>
  <c r="J131" i="1" s="1"/>
  <c r="E130" i="1"/>
  <c r="E126" i="1"/>
  <c r="F126" i="1" s="1"/>
  <c r="G126" i="1" s="1"/>
  <c r="H126" i="1" s="1"/>
  <c r="I126" i="1" s="1"/>
  <c r="J126" i="1" s="1"/>
  <c r="E125" i="1"/>
  <c r="F125" i="1" s="1"/>
  <c r="G125" i="1" s="1"/>
  <c r="H125" i="1" s="1"/>
  <c r="I125" i="1" s="1"/>
  <c r="J125" i="1" s="1"/>
  <c r="E124" i="1"/>
  <c r="F124" i="1" s="1"/>
  <c r="G124" i="1" s="1"/>
  <c r="H124" i="1" s="1"/>
  <c r="I124" i="1" s="1"/>
  <c r="J124" i="1" s="1"/>
  <c r="E123" i="1"/>
  <c r="F123" i="1" s="1"/>
  <c r="E122" i="1"/>
  <c r="F122" i="1" s="1"/>
  <c r="G122" i="1" s="1"/>
  <c r="H122" i="1" s="1"/>
  <c r="I122" i="1" s="1"/>
  <c r="J122" i="1" s="1"/>
  <c r="E121" i="1"/>
  <c r="F121" i="1" s="1"/>
  <c r="E120" i="1"/>
  <c r="F120" i="1" s="1"/>
  <c r="G120" i="1" s="1"/>
  <c r="H120" i="1" s="1"/>
  <c r="I120" i="1" s="1"/>
  <c r="J120" i="1" s="1"/>
  <c r="E119" i="1"/>
  <c r="F119" i="1" s="1"/>
  <c r="E118" i="1"/>
  <c r="F118" i="1" s="1"/>
  <c r="E117" i="1"/>
  <c r="F117" i="1" s="1"/>
  <c r="G117" i="1" s="1"/>
  <c r="H117" i="1" s="1"/>
  <c r="I117" i="1" s="1"/>
  <c r="J117" i="1" s="1"/>
  <c r="E116" i="1"/>
  <c r="F116" i="1" s="1"/>
  <c r="G116" i="1" s="1"/>
  <c r="H116" i="1" s="1"/>
  <c r="I116" i="1" s="1"/>
  <c r="J116" i="1" s="1"/>
  <c r="E115" i="1"/>
  <c r="F115" i="1" s="1"/>
  <c r="G115" i="1" s="1"/>
  <c r="H115" i="1" s="1"/>
  <c r="I115" i="1" s="1"/>
  <c r="J115" i="1" s="1"/>
  <c r="E114" i="1"/>
  <c r="F114" i="1" s="1"/>
  <c r="G114" i="1" s="1"/>
  <c r="H114" i="1" s="1"/>
  <c r="I114" i="1" s="1"/>
  <c r="J114" i="1" s="1"/>
  <c r="E113" i="1"/>
  <c r="F113" i="1" s="1"/>
  <c r="G113" i="1" s="1"/>
  <c r="H113" i="1" s="1"/>
  <c r="I113" i="1" s="1"/>
  <c r="J113" i="1" s="1"/>
  <c r="E112" i="1"/>
  <c r="F112" i="1" s="1"/>
  <c r="G112" i="1" s="1"/>
  <c r="H112" i="1" s="1"/>
  <c r="I112" i="1" s="1"/>
  <c r="J112" i="1" s="1"/>
  <c r="E111" i="1"/>
  <c r="F111" i="1" s="1"/>
  <c r="G111" i="1" s="1"/>
  <c r="H111" i="1" s="1"/>
  <c r="I111" i="1" s="1"/>
  <c r="J111" i="1" s="1"/>
  <c r="E110" i="1"/>
  <c r="F110" i="1" s="1"/>
  <c r="G110" i="1" s="1"/>
  <c r="H110" i="1" s="1"/>
  <c r="I110" i="1" s="1"/>
  <c r="J110" i="1" s="1"/>
  <c r="E109" i="1"/>
  <c r="F109" i="1" s="1"/>
  <c r="G109" i="1" s="1"/>
  <c r="H109" i="1" s="1"/>
  <c r="I109" i="1" s="1"/>
  <c r="J109" i="1" s="1"/>
  <c r="E108" i="1"/>
  <c r="F108" i="1" s="1"/>
  <c r="G108" i="1" s="1"/>
  <c r="H108" i="1" s="1"/>
  <c r="I108" i="1" s="1"/>
  <c r="J108" i="1" s="1"/>
  <c r="E107" i="1"/>
  <c r="E106" i="1"/>
  <c r="F106" i="1" s="1"/>
  <c r="G106" i="1" s="1"/>
  <c r="H106" i="1" s="1"/>
  <c r="I106" i="1" s="1"/>
  <c r="J106" i="1" s="1"/>
  <c r="E105" i="1"/>
  <c r="F105" i="1" s="1"/>
  <c r="G105" i="1" s="1"/>
  <c r="H105" i="1" s="1"/>
  <c r="I105" i="1" s="1"/>
  <c r="J105" i="1" s="1"/>
  <c r="E104" i="1"/>
  <c r="F104" i="1" s="1"/>
  <c r="G104" i="1" s="1"/>
  <c r="H104" i="1" s="1"/>
  <c r="I104" i="1" s="1"/>
  <c r="J104" i="1" s="1"/>
  <c r="E103" i="1"/>
  <c r="F103" i="1" s="1"/>
  <c r="G103" i="1" s="1"/>
  <c r="H103" i="1" s="1"/>
  <c r="I103" i="1" s="1"/>
  <c r="J103" i="1" s="1"/>
  <c r="E102" i="1"/>
  <c r="F102" i="1" s="1"/>
  <c r="E101" i="1"/>
  <c r="F101" i="1" s="1"/>
  <c r="G101" i="1" s="1"/>
  <c r="H101" i="1" s="1"/>
  <c r="I101" i="1" s="1"/>
  <c r="J101" i="1" s="1"/>
  <c r="E100" i="1"/>
  <c r="F100" i="1" s="1"/>
  <c r="G100" i="1" s="1"/>
  <c r="H100" i="1" s="1"/>
  <c r="I100" i="1" s="1"/>
  <c r="J100" i="1" s="1"/>
  <c r="E99" i="1"/>
  <c r="F99" i="1" s="1"/>
  <c r="G99" i="1" s="1"/>
  <c r="H99" i="1" s="1"/>
  <c r="I99" i="1" s="1"/>
  <c r="J99" i="1" s="1"/>
  <c r="E98" i="1"/>
  <c r="F98" i="1" s="1"/>
  <c r="G98" i="1" s="1"/>
  <c r="H98" i="1" s="1"/>
  <c r="I98" i="1" s="1"/>
  <c r="J98" i="1" s="1"/>
  <c r="E97" i="1"/>
  <c r="F97" i="1" s="1"/>
  <c r="G97" i="1" s="1"/>
  <c r="H97" i="1" s="1"/>
  <c r="I97" i="1" s="1"/>
  <c r="J97" i="1" s="1"/>
  <c r="E96" i="1"/>
  <c r="F96" i="1" s="1"/>
  <c r="G96" i="1" s="1"/>
  <c r="H96" i="1" s="1"/>
  <c r="I96" i="1" s="1"/>
  <c r="J96" i="1" s="1"/>
  <c r="E95" i="1"/>
  <c r="F95" i="1" s="1"/>
  <c r="G95" i="1" s="1"/>
  <c r="H95" i="1" s="1"/>
  <c r="I95" i="1" s="1"/>
  <c r="J95" i="1" s="1"/>
  <c r="E94" i="1"/>
  <c r="F94" i="1" s="1"/>
  <c r="G94" i="1" s="1"/>
  <c r="H94" i="1" s="1"/>
  <c r="I94" i="1" s="1"/>
  <c r="J94" i="1" s="1"/>
  <c r="E93" i="1"/>
  <c r="F93" i="1" s="1"/>
  <c r="G93" i="1" s="1"/>
  <c r="H93" i="1" s="1"/>
  <c r="I93" i="1" s="1"/>
  <c r="J93" i="1" s="1"/>
  <c r="E92" i="1"/>
  <c r="F92" i="1" s="1"/>
  <c r="G92" i="1" s="1"/>
  <c r="H92" i="1" s="1"/>
  <c r="I92" i="1" s="1"/>
  <c r="J92" i="1" s="1"/>
  <c r="E90" i="1"/>
  <c r="F90" i="1" s="1"/>
  <c r="G90" i="1" s="1"/>
  <c r="H90" i="1" s="1"/>
  <c r="I90" i="1" s="1"/>
  <c r="J90" i="1" s="1"/>
  <c r="E89" i="1"/>
  <c r="F89" i="1" s="1"/>
  <c r="G89" i="1" s="1"/>
  <c r="H89" i="1" s="1"/>
  <c r="I89" i="1" s="1"/>
  <c r="J89" i="1" s="1"/>
  <c r="E88" i="1"/>
  <c r="F88" i="1" s="1"/>
  <c r="G88" i="1" s="1"/>
  <c r="H88" i="1" s="1"/>
  <c r="I88" i="1" s="1"/>
  <c r="J88" i="1" s="1"/>
  <c r="E87" i="1"/>
  <c r="F87" i="1" s="1"/>
  <c r="G87" i="1" s="1"/>
  <c r="H87" i="1" s="1"/>
  <c r="I87" i="1" s="1"/>
  <c r="J87" i="1" s="1"/>
  <c r="E86" i="1"/>
  <c r="F86" i="1" s="1"/>
  <c r="G86" i="1" s="1"/>
  <c r="H86" i="1" s="1"/>
  <c r="I86" i="1" s="1"/>
  <c r="J86" i="1" s="1"/>
  <c r="E84" i="1"/>
  <c r="F84" i="1" s="1"/>
  <c r="G84" i="1" s="1"/>
  <c r="H84" i="1" s="1"/>
  <c r="I84" i="1" s="1"/>
  <c r="J84" i="1" s="1"/>
  <c r="E83" i="1"/>
  <c r="F83" i="1" s="1"/>
  <c r="G83" i="1" s="1"/>
  <c r="H83" i="1" s="1"/>
  <c r="I83" i="1" s="1"/>
  <c r="J83" i="1" s="1"/>
  <c r="E81" i="1"/>
  <c r="F81" i="1" s="1"/>
  <c r="E79" i="1"/>
  <c r="F79" i="1" s="1"/>
  <c r="G79" i="1" s="1"/>
  <c r="H79" i="1" s="1"/>
  <c r="I79" i="1" s="1"/>
  <c r="J79" i="1" s="1"/>
  <c r="E78" i="1"/>
  <c r="F78" i="1" s="1"/>
  <c r="G78" i="1" s="1"/>
  <c r="H78" i="1" s="1"/>
  <c r="I78" i="1" s="1"/>
  <c r="J78" i="1" s="1"/>
  <c r="E77" i="1"/>
  <c r="F77" i="1" s="1"/>
  <c r="G77" i="1" s="1"/>
  <c r="H77" i="1" s="1"/>
  <c r="I77" i="1" s="1"/>
  <c r="J77" i="1" s="1"/>
  <c r="E76" i="1"/>
  <c r="F76" i="1" s="1"/>
  <c r="G76" i="1" s="1"/>
  <c r="H76" i="1" s="1"/>
  <c r="I76" i="1" s="1"/>
  <c r="J76" i="1" s="1"/>
  <c r="E74" i="1"/>
  <c r="F74" i="1" s="1"/>
  <c r="G74" i="1" s="1"/>
  <c r="H74" i="1" s="1"/>
  <c r="I74" i="1" s="1"/>
  <c r="J74" i="1" s="1"/>
  <c r="E73" i="1"/>
  <c r="F73" i="1" s="1"/>
  <c r="G73" i="1" s="1"/>
  <c r="E72" i="1"/>
  <c r="F72" i="1" s="1"/>
  <c r="G72" i="1" s="1"/>
  <c r="E71" i="1"/>
  <c r="F71" i="1" s="1"/>
  <c r="G71" i="1" s="1"/>
  <c r="H71" i="1" s="1"/>
  <c r="I71" i="1" s="1"/>
  <c r="J71" i="1" s="1"/>
  <c r="E70" i="1"/>
  <c r="F70" i="1" s="1"/>
  <c r="G70" i="1" s="1"/>
  <c r="H70" i="1" s="1"/>
  <c r="I70" i="1" s="1"/>
  <c r="J70" i="1" s="1"/>
  <c r="E68" i="1"/>
  <c r="F68" i="1" s="1"/>
  <c r="G68" i="1" s="1"/>
  <c r="H68" i="1" s="1"/>
  <c r="I68" i="1" s="1"/>
  <c r="J68" i="1" s="1"/>
  <c r="E67" i="1"/>
  <c r="G67" i="1" s="1"/>
  <c r="E65" i="1"/>
  <c r="F65" i="1" s="1"/>
  <c r="G65" i="1" s="1"/>
  <c r="H65" i="1" s="1"/>
  <c r="I65" i="1" s="1"/>
  <c r="J65" i="1" s="1"/>
  <c r="E64" i="1"/>
  <c r="F64" i="1" s="1"/>
  <c r="G64" i="1" s="1"/>
  <c r="H64" i="1" s="1"/>
  <c r="I64" i="1" s="1"/>
  <c r="J64" i="1" s="1"/>
  <c r="E63" i="1"/>
  <c r="F63" i="1" s="1"/>
  <c r="G63" i="1" s="1"/>
  <c r="H63" i="1" s="1"/>
  <c r="I63" i="1" s="1"/>
  <c r="J63" i="1" s="1"/>
  <c r="E62" i="1"/>
  <c r="F62" i="1" s="1"/>
  <c r="G62" i="1" s="1"/>
  <c r="H62" i="1" s="1"/>
  <c r="I62" i="1" s="1"/>
  <c r="J62" i="1" s="1"/>
  <c r="E61" i="1"/>
  <c r="F61" i="1" s="1"/>
  <c r="G61" i="1" s="1"/>
  <c r="H61" i="1" s="1"/>
  <c r="I61" i="1" s="1"/>
  <c r="J61" i="1" s="1"/>
  <c r="E59" i="1"/>
  <c r="F59" i="1" s="1"/>
  <c r="G59" i="1" s="1"/>
  <c r="H59" i="1" s="1"/>
  <c r="I59" i="1" s="1"/>
  <c r="J59" i="1" s="1"/>
  <c r="E58" i="1"/>
  <c r="F58" i="1" s="1"/>
  <c r="G58" i="1" s="1"/>
  <c r="H58" i="1" s="1"/>
  <c r="I58" i="1" s="1"/>
  <c r="J58" i="1" s="1"/>
  <c r="E57" i="1"/>
  <c r="F57" i="1" s="1"/>
  <c r="G57" i="1" s="1"/>
  <c r="H57" i="1" s="1"/>
  <c r="I57" i="1" s="1"/>
  <c r="J57" i="1" s="1"/>
  <c r="E56" i="1"/>
  <c r="F56" i="1" s="1"/>
  <c r="G56" i="1" s="1"/>
  <c r="H56" i="1" s="1"/>
  <c r="I56" i="1" s="1"/>
  <c r="J56" i="1" s="1"/>
  <c r="E55" i="1"/>
  <c r="F55" i="1" s="1"/>
  <c r="G55" i="1" s="1"/>
  <c r="H55" i="1" s="1"/>
  <c r="I55" i="1" s="1"/>
  <c r="J55" i="1" s="1"/>
  <c r="E53" i="1"/>
  <c r="F53" i="1" s="1"/>
  <c r="G53" i="1" s="1"/>
  <c r="H53" i="1" s="1"/>
  <c r="I53" i="1" s="1"/>
  <c r="J53" i="1" s="1"/>
  <c r="E52" i="1"/>
  <c r="F52" i="1" s="1"/>
  <c r="G52" i="1" s="1"/>
  <c r="H52" i="1" s="1"/>
  <c r="I52" i="1" s="1"/>
  <c r="J52" i="1" s="1"/>
  <c r="E51" i="1"/>
  <c r="F51" i="1" s="1"/>
  <c r="G51" i="1" s="1"/>
  <c r="H51" i="1" s="1"/>
  <c r="I51" i="1" s="1"/>
  <c r="J51" i="1" s="1"/>
  <c r="E50" i="1"/>
  <c r="F50" i="1" s="1"/>
  <c r="G50" i="1" s="1"/>
  <c r="H50" i="1" s="1"/>
  <c r="I50" i="1" s="1"/>
  <c r="J50" i="1" s="1"/>
  <c r="E49" i="1"/>
  <c r="F49" i="1" s="1"/>
  <c r="G49" i="1" s="1"/>
  <c r="H49" i="1" s="1"/>
  <c r="I49" i="1" s="1"/>
  <c r="J49" i="1" s="1"/>
  <c r="E48" i="1"/>
  <c r="F48" i="1" s="1"/>
  <c r="G48" i="1" s="1"/>
  <c r="H48" i="1" s="1"/>
  <c r="I48" i="1" s="1"/>
  <c r="J48" i="1" s="1"/>
  <c r="E47" i="1"/>
  <c r="F47" i="1" s="1"/>
  <c r="G47" i="1" s="1"/>
  <c r="H47" i="1" s="1"/>
  <c r="I47" i="1" s="1"/>
  <c r="J47" i="1" s="1"/>
  <c r="E46" i="1"/>
  <c r="F46" i="1" s="1"/>
  <c r="G46" i="1" s="1"/>
  <c r="H46" i="1" s="1"/>
  <c r="I46" i="1" s="1"/>
  <c r="J46" i="1" s="1"/>
  <c r="E44" i="1"/>
  <c r="F44" i="1" s="1"/>
  <c r="G44" i="1" s="1"/>
  <c r="H44" i="1" s="1"/>
  <c r="I44" i="1" s="1"/>
  <c r="J44" i="1" s="1"/>
  <c r="E43" i="1"/>
  <c r="F43" i="1" s="1"/>
  <c r="G43" i="1" s="1"/>
  <c r="H43" i="1" s="1"/>
  <c r="I43" i="1" s="1"/>
  <c r="J43" i="1" s="1"/>
  <c r="E42" i="1"/>
  <c r="F42" i="1" s="1"/>
  <c r="G42" i="1" s="1"/>
  <c r="H42" i="1" s="1"/>
  <c r="I42" i="1" s="1"/>
  <c r="J42" i="1" s="1"/>
  <c r="E41" i="1"/>
  <c r="F41" i="1" s="1"/>
  <c r="G41" i="1" s="1"/>
  <c r="H41" i="1" s="1"/>
  <c r="I41" i="1" s="1"/>
  <c r="J41" i="1" s="1"/>
  <c r="E40" i="1"/>
  <c r="F40" i="1" s="1"/>
  <c r="G40" i="1" s="1"/>
  <c r="H40" i="1" s="1"/>
  <c r="I40" i="1" s="1"/>
  <c r="J40" i="1" s="1"/>
  <c r="E39" i="1"/>
  <c r="F39" i="1" s="1"/>
  <c r="G39" i="1" s="1"/>
  <c r="H39" i="1" s="1"/>
  <c r="I39" i="1" s="1"/>
  <c r="J39" i="1" s="1"/>
  <c r="C46" i="3"/>
  <c r="C45" i="3"/>
  <c r="E224" i="1"/>
  <c r="E27" i="1"/>
  <c r="H27" i="1"/>
  <c r="I27" i="1" s="1"/>
  <c r="J27" i="1" s="1"/>
  <c r="G27" i="1"/>
  <c r="F27" i="1"/>
  <c r="C230" i="1"/>
  <c r="J236" i="1" l="1"/>
  <c r="I20" i="1" s="1"/>
  <c r="I21" i="1" s="1"/>
  <c r="K24" i="2"/>
  <c r="J24" i="2"/>
  <c r="J14" i="2" s="1"/>
  <c r="J15" i="2" s="1"/>
  <c r="D21" i="1"/>
  <c r="G178" i="1"/>
  <c r="H178" i="1" s="1"/>
  <c r="I178" i="1" s="1"/>
  <c r="J178" i="1" s="1"/>
  <c r="F177" i="1"/>
  <c r="H180" i="1"/>
  <c r="I180" i="1" s="1"/>
  <c r="J180" i="1" s="1"/>
  <c r="H141" i="1"/>
  <c r="I141" i="1" s="1"/>
  <c r="J141" i="1" s="1"/>
  <c r="F180" i="1"/>
  <c r="F138" i="1"/>
  <c r="G138" i="1"/>
  <c r="G25" i="2"/>
  <c r="H25" i="2"/>
  <c r="K25" i="2"/>
  <c r="I25" i="2"/>
  <c r="I14" i="2" s="1"/>
  <c r="I15" i="2" s="1"/>
  <c r="H177" i="1"/>
  <c r="I177" i="1" s="1"/>
  <c r="J177" i="1" s="1"/>
  <c r="F184" i="1"/>
  <c r="F139" i="1"/>
  <c r="G139" i="1" s="1"/>
  <c r="H139" i="1" s="1"/>
  <c r="I139" i="1" s="1"/>
  <c r="J139" i="1" s="1"/>
  <c r="F179" i="1"/>
  <c r="G179" i="1" s="1"/>
  <c r="H179" i="1" s="1"/>
  <c r="I179" i="1" s="1"/>
  <c r="J179" i="1" s="1"/>
  <c r="F185" i="1"/>
  <c r="G118" i="1"/>
  <c r="H118" i="1" s="1"/>
  <c r="I118" i="1" s="1"/>
  <c r="J118" i="1" s="1"/>
  <c r="F130" i="1"/>
  <c r="G130" i="1" s="1"/>
  <c r="H130" i="1" s="1"/>
  <c r="I130" i="1" s="1"/>
  <c r="J130" i="1" s="1"/>
  <c r="G119" i="1"/>
  <c r="H119" i="1" s="1"/>
  <c r="I119" i="1" s="1"/>
  <c r="J119" i="1" s="1"/>
  <c r="H185" i="1"/>
  <c r="I185" i="1" s="1"/>
  <c r="J185" i="1" s="1"/>
  <c r="F137" i="1"/>
  <c r="G137" i="1" s="1"/>
  <c r="H137" i="1" s="1"/>
  <c r="I137" i="1" s="1"/>
  <c r="J137" i="1" s="1"/>
  <c r="F143" i="1"/>
  <c r="G143" i="1" s="1"/>
  <c r="H143" i="1" s="1"/>
  <c r="I143" i="1" s="1"/>
  <c r="J143" i="1" s="1"/>
  <c r="F194" i="1"/>
  <c r="G194" i="1"/>
  <c r="H194" i="1" s="1"/>
  <c r="I194" i="1" s="1"/>
  <c r="J194" i="1" s="1"/>
  <c r="H72" i="1"/>
  <c r="I72" i="1" s="1"/>
  <c r="J72" i="1" s="1"/>
  <c r="F67" i="1"/>
  <c r="F107" i="1"/>
  <c r="G107" i="1" s="1"/>
  <c r="H107" i="1" s="1"/>
  <c r="I107" i="1" s="1"/>
  <c r="J107" i="1" s="1"/>
  <c r="H67" i="1"/>
  <c r="I67" i="1" s="1"/>
  <c r="J67" i="1" s="1"/>
  <c r="F183" i="1"/>
  <c r="G183" i="1"/>
  <c r="F181" i="1"/>
  <c r="G181" i="1"/>
  <c r="I138" i="1"/>
  <c r="J138" i="1" s="1"/>
  <c r="G123" i="1"/>
  <c r="H123" i="1" s="1"/>
  <c r="I123" i="1" s="1"/>
  <c r="J123" i="1" s="1"/>
  <c r="G121" i="1"/>
  <c r="H121" i="1" s="1"/>
  <c r="I121" i="1" s="1"/>
  <c r="J121" i="1" s="1"/>
  <c r="G102" i="1"/>
  <c r="H102" i="1" s="1"/>
  <c r="I102" i="1" s="1"/>
  <c r="J102" i="1" s="1"/>
  <c r="G81" i="1"/>
  <c r="H81" i="1" s="1"/>
  <c r="I81" i="1" s="1"/>
  <c r="J81" i="1" s="1"/>
  <c r="H73" i="1"/>
  <c r="I73" i="1" s="1"/>
  <c r="J73" i="1" s="1"/>
  <c r="F195" i="1"/>
  <c r="G195" i="1"/>
  <c r="F192" i="1"/>
  <c r="G192" i="1"/>
  <c r="F191" i="1"/>
  <c r="G191" i="1"/>
  <c r="G24" i="8" l="1"/>
  <c r="G10" i="8" s="1"/>
  <c r="G11" i="8" s="1"/>
  <c r="K14" i="2"/>
  <c r="K15" i="2" s="1"/>
  <c r="G21" i="1"/>
  <c r="H21" i="1"/>
  <c r="F21" i="1"/>
  <c r="E21" i="1"/>
  <c r="I9" i="2"/>
  <c r="I10" i="2" s="1"/>
  <c r="J20" i="2"/>
  <c r="F78" i="3"/>
  <c r="F81" i="3"/>
  <c r="F80" i="3"/>
  <c r="G71" i="3"/>
  <c r="G65" i="3"/>
  <c r="G120" i="3"/>
  <c r="J16" i="2" s="1"/>
  <c r="F22" i="1" l="1"/>
  <c r="H22" i="1"/>
  <c r="G22" i="1"/>
  <c r="G12" i="8"/>
  <c r="H28" i="5" s="1"/>
  <c r="L12" i="8"/>
  <c r="M28" i="5" s="1"/>
  <c r="K12" i="8"/>
  <c r="L28" i="5" s="1"/>
  <c r="I12" i="8"/>
  <c r="J28" i="5" s="1"/>
  <c r="H12" i="8"/>
  <c r="I28" i="5" s="1"/>
  <c r="J12" i="8"/>
  <c r="K28" i="5" s="1"/>
  <c r="F11" i="2"/>
  <c r="I16" i="2"/>
  <c r="I11" i="2"/>
  <c r="I22" i="1"/>
  <c r="M25" i="5" s="1"/>
  <c r="D22" i="1"/>
  <c r="H25" i="5" s="1"/>
  <c r="K16" i="2"/>
  <c r="E22" i="1"/>
  <c r="J9" i="2"/>
  <c r="J10" i="2" s="1"/>
  <c r="J11" i="2" s="1"/>
  <c r="K20" i="2"/>
  <c r="K9" i="2" s="1"/>
  <c r="K10" i="2" s="1"/>
  <c r="K11" i="2" s="1"/>
  <c r="E104" i="3"/>
  <c r="G104" i="3" s="1"/>
  <c r="E226" i="1"/>
  <c r="F226" i="1" s="1"/>
  <c r="G226" i="1" s="1"/>
  <c r="H226" i="1" s="1"/>
  <c r="I226" i="1" s="1"/>
  <c r="J226" i="1" s="1"/>
  <c r="E225" i="1"/>
  <c r="F225" i="1" s="1"/>
  <c r="G225" i="1" s="1"/>
  <c r="H225" i="1" s="1"/>
  <c r="I225" i="1" s="1"/>
  <c r="J225" i="1" s="1"/>
  <c r="E33" i="1"/>
  <c r="B46" i="3"/>
  <c r="B45" i="3"/>
  <c r="H46" i="3"/>
  <c r="G30" i="6"/>
  <c r="H43" i="3" s="1"/>
  <c r="G27" i="6"/>
  <c r="H42" i="3" s="1"/>
  <c r="G24" i="6"/>
  <c r="H41" i="3" s="1"/>
  <c r="H9" i="6"/>
  <c r="D18" i="6" s="1"/>
  <c r="G18" i="6" s="1"/>
  <c r="H39" i="3" s="1"/>
  <c r="G12" i="6"/>
  <c r="H37" i="3" s="1"/>
  <c r="G94" i="3"/>
  <c r="G92" i="3"/>
  <c r="G88" i="3"/>
  <c r="G70" i="3"/>
  <c r="G67" i="3"/>
  <c r="H55" i="3"/>
  <c r="H134" i="3" s="1"/>
  <c r="H26" i="3"/>
  <c r="H32" i="3" s="1"/>
  <c r="G9" i="2"/>
  <c r="G10" i="2" s="1"/>
  <c r="G11" i="2" s="1"/>
  <c r="E30" i="1"/>
  <c r="E32" i="1"/>
  <c r="A33" i="1"/>
  <c r="A34" i="1" s="1"/>
  <c r="A35" i="1" s="1"/>
  <c r="A36" i="1" s="1"/>
  <c r="A37" i="1" s="1"/>
  <c r="E34" i="1"/>
  <c r="E35" i="1"/>
  <c r="E37" i="1"/>
  <c r="A207" i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L25" i="5" l="1"/>
  <c r="I25" i="5"/>
  <c r="K25" i="5"/>
  <c r="J25" i="5"/>
  <c r="I26" i="5"/>
  <c r="G30" i="1"/>
  <c r="H30" i="1" s="1"/>
  <c r="I30" i="1" s="1"/>
  <c r="J30" i="1" s="1"/>
  <c r="F30" i="1"/>
  <c r="H14" i="2"/>
  <c r="H15" i="2" s="1"/>
  <c r="H16" i="2" s="1"/>
  <c r="H128" i="1"/>
  <c r="I128" i="1" s="1"/>
  <c r="J128" i="1" s="1"/>
  <c r="G128" i="1"/>
  <c r="F128" i="1"/>
  <c r="H35" i="1"/>
  <c r="I35" i="1" s="1"/>
  <c r="J35" i="1" s="1"/>
  <c r="G35" i="1"/>
  <c r="F35" i="1"/>
  <c r="I224" i="1"/>
  <c r="E227" i="1"/>
  <c r="D15" i="1" s="1"/>
  <c r="D16" i="1" s="1"/>
  <c r="D17" i="1" s="1"/>
  <c r="H34" i="1"/>
  <c r="I34" i="1" s="1"/>
  <c r="J34" i="1" s="1"/>
  <c r="G34" i="1"/>
  <c r="F34" i="1"/>
  <c r="H33" i="1"/>
  <c r="I33" i="1" s="1"/>
  <c r="G33" i="1"/>
  <c r="F33" i="1"/>
  <c r="G32" i="1"/>
  <c r="F32" i="1"/>
  <c r="H32" i="1"/>
  <c r="I32" i="1" s="1"/>
  <c r="J32" i="1" s="1"/>
  <c r="F37" i="1"/>
  <c r="H37" i="1"/>
  <c r="I37" i="1" s="1"/>
  <c r="J37" i="1" s="1"/>
  <c r="G37" i="1"/>
  <c r="J224" i="1"/>
  <c r="G103" i="3"/>
  <c r="H224" i="1"/>
  <c r="G224" i="1"/>
  <c r="F224" i="1"/>
  <c r="E29" i="1"/>
  <c r="F29" i="1" s="1"/>
  <c r="G29" i="1" s="1"/>
  <c r="H29" i="1" s="1"/>
  <c r="I29" i="1" s="1"/>
  <c r="J29" i="1" s="1"/>
  <c r="F36" i="1"/>
  <c r="G36" i="1" s="1"/>
  <c r="H36" i="1" s="1"/>
  <c r="I36" i="1" s="1"/>
  <c r="J36" i="1" s="1"/>
  <c r="B33" i="6"/>
  <c r="D33" i="6" s="1"/>
  <c r="G33" i="6" s="1"/>
  <c r="H44" i="3" s="1"/>
  <c r="B21" i="6"/>
  <c r="D21" i="6" s="1"/>
  <c r="G21" i="6" s="1"/>
  <c r="H40" i="3" s="1"/>
  <c r="F15" i="6"/>
  <c r="G15" i="6" s="1"/>
  <c r="H34" i="3"/>
  <c r="H88" i="3" s="1"/>
  <c r="G14" i="2"/>
  <c r="G15" i="2" s="1"/>
  <c r="G16" i="2" s="1"/>
  <c r="H9" i="2"/>
  <c r="H10" i="2" s="1"/>
  <c r="H11" i="2" s="1"/>
  <c r="F14" i="2"/>
  <c r="F15" i="2" s="1"/>
  <c r="F16" i="2" s="1"/>
  <c r="H98" i="3" l="1"/>
  <c r="K27" i="5"/>
  <c r="M27" i="5"/>
  <c r="H26" i="5"/>
  <c r="K26" i="5"/>
  <c r="L26" i="5"/>
  <c r="M26" i="5"/>
  <c r="L27" i="5"/>
  <c r="J33" i="1"/>
  <c r="I10" i="1" s="1"/>
  <c r="I11" i="1" s="1"/>
  <c r="I12" i="1" s="1"/>
  <c r="H10" i="1"/>
  <c r="H11" i="1" s="1"/>
  <c r="H12" i="1" s="1"/>
  <c r="H227" i="1"/>
  <c r="G15" i="1" s="1"/>
  <c r="G16" i="1" s="1"/>
  <c r="G17" i="1" s="1"/>
  <c r="G227" i="1"/>
  <c r="F15" i="1" s="1"/>
  <c r="F16" i="1" s="1"/>
  <c r="F17" i="1" s="1"/>
  <c r="J227" i="1"/>
  <c r="I15" i="1" s="1"/>
  <c r="I16" i="1" s="1"/>
  <c r="I17" i="1" s="1"/>
  <c r="D10" i="1"/>
  <c r="D11" i="1" s="1"/>
  <c r="D12" i="1" s="1"/>
  <c r="F227" i="1"/>
  <c r="E15" i="1" s="1"/>
  <c r="E16" i="1" s="1"/>
  <c r="E17" i="1" s="1"/>
  <c r="I227" i="1"/>
  <c r="H15" i="1" s="1"/>
  <c r="H16" i="1" s="1"/>
  <c r="H17" i="1" s="1"/>
  <c r="H132" i="3"/>
  <c r="H83" i="3"/>
  <c r="H96" i="3"/>
  <c r="H81" i="3"/>
  <c r="H80" i="3"/>
  <c r="H78" i="3"/>
  <c r="H77" i="3"/>
  <c r="H71" i="3"/>
  <c r="H66" i="3"/>
  <c r="H59" i="3"/>
  <c r="H38" i="3"/>
  <c r="H47" i="3" s="1"/>
  <c r="H133" i="3" s="1"/>
  <c r="H70" i="3"/>
  <c r="H104" i="3" s="1"/>
  <c r="H92" i="3"/>
  <c r="H63" i="3"/>
  <c r="H64" i="3"/>
  <c r="H87" i="3"/>
  <c r="H102" i="3" s="1"/>
  <c r="H62" i="3"/>
  <c r="H65" i="3"/>
  <c r="H60" i="3"/>
  <c r="H61" i="3"/>
  <c r="H94" i="3"/>
  <c r="H90" i="3"/>
  <c r="E10" i="1" l="1"/>
  <c r="E11" i="1" s="1"/>
  <c r="E12" i="1" s="1"/>
  <c r="F10" i="1"/>
  <c r="F11" i="1" s="1"/>
  <c r="F12" i="1" s="1"/>
  <c r="G10" i="1"/>
  <c r="G11" i="1" s="1"/>
  <c r="G12" i="1" s="1"/>
  <c r="H82" i="3"/>
  <c r="H79" i="3"/>
  <c r="H72" i="3"/>
  <c r="H73" i="3" s="1"/>
  <c r="H67" i="3"/>
  <c r="H111" i="3" s="1"/>
  <c r="H27" i="5" l="1"/>
  <c r="I27" i="5"/>
  <c r="J26" i="5"/>
  <c r="J27" i="5"/>
  <c r="H84" i="3"/>
  <c r="H113" i="3" s="1"/>
  <c r="M23" i="5"/>
  <c r="H74" i="3"/>
  <c r="H112" i="3" s="1"/>
  <c r="H103" i="3" l="1"/>
  <c r="H106" i="3" s="1"/>
  <c r="H107" i="3" s="1"/>
  <c r="H108" i="3" s="1"/>
  <c r="H114" i="3" s="1"/>
  <c r="H116" i="3" s="1"/>
  <c r="H23" i="5"/>
  <c r="L23" i="5"/>
  <c r="J23" i="5"/>
  <c r="I23" i="5" l="1"/>
  <c r="K23" i="5"/>
  <c r="H135" i="3"/>
  <c r="H136" i="3" s="1"/>
  <c r="H119" i="3"/>
  <c r="H129" i="3"/>
  <c r="H138" i="3" l="1"/>
  <c r="H139" i="3" l="1"/>
  <c r="M22" i="5" s="1"/>
  <c r="I138" i="3"/>
  <c r="H120" i="3"/>
  <c r="H130" i="3" s="1"/>
  <c r="H137" i="3" s="1"/>
  <c r="I137" i="3" s="1"/>
  <c r="K22" i="5" l="1"/>
  <c r="H22" i="5"/>
  <c r="I22" i="5"/>
  <c r="L22" i="5"/>
  <c r="J22" i="5"/>
  <c r="J24" i="5"/>
  <c r="K24" i="5"/>
  <c r="L24" i="5"/>
  <c r="H24" i="5"/>
  <c r="M24" i="5"/>
  <c r="M29" i="5" s="1"/>
  <c r="M30" i="5" s="1"/>
  <c r="A18" i="5" s="1"/>
  <c r="I24" i="5"/>
  <c r="J29" i="5" l="1"/>
  <c r="J30" i="5" s="1"/>
  <c r="H29" i="5"/>
  <c r="H30" i="5" s="1"/>
  <c r="I29" i="5"/>
  <c r="I30" i="5" s="1"/>
  <c r="L29" i="5"/>
  <c r="L30" i="5" s="1"/>
  <c r="K29" i="5"/>
  <c r="K30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tc={56CC6179-A57F-45A8-A804-4A2C67F37518}</author>
    <author>tc={C4C8FFE1-5EFA-4FD4-BDEE-9A44C467ECDD}</author>
  </authors>
  <commentList>
    <comment ref="G90" authorId="0" shapeId="0" xr:uid="{56CC6179-A57F-45A8-A804-4A2C67F3751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Percentual do afastamento paternidade = 5 dias de licença / 365 dias x % de ocorrência anual</t>
      </text>
    </comment>
    <comment ref="E99" authorId="1" shapeId="0" xr:uid="{C4C8FFE1-5EFA-4FD4-BDEE-9A44C467ECDD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Cláusula 29 - Abono correspondente a 1 dia da respectiva remuneração mensal se o empregado autorizar o desconto das contribuições assistenciais laborais.</t>
      </text>
    </comment>
  </commentList>
</comments>
</file>

<file path=xl/sharedStrings.xml><?xml version="1.0" encoding="utf-8"?>
<sst xmlns="http://schemas.openxmlformats.org/spreadsheetml/2006/main" count="729" uniqueCount="530">
  <si>
    <t>Item</t>
  </si>
  <si>
    <t>Descrição</t>
  </si>
  <si>
    <t>Consultas</t>
  </si>
  <si>
    <t>Consulta Especialistas</t>
  </si>
  <si>
    <t>Vacinas</t>
  </si>
  <si>
    <t>V10 ou V8 canina - adulto anual</t>
  </si>
  <si>
    <t>Anti-rábica</t>
  </si>
  <si>
    <t>Gripe canina</t>
  </si>
  <si>
    <t>Leishmaniose - adulto anual</t>
  </si>
  <si>
    <t>Vacina-traqueobronquite - dose</t>
  </si>
  <si>
    <t>Giárdia - adulto anual</t>
  </si>
  <si>
    <t>Cirurgias otológicas / tegumentar</t>
  </si>
  <si>
    <t>Otohematoma</t>
  </si>
  <si>
    <t>Ressecção do canal auditivo</t>
  </si>
  <si>
    <t>Conchectomia patológica</t>
  </si>
  <si>
    <t>Remoção de tumores otológicos</t>
  </si>
  <si>
    <t>Lavagem otológica</t>
  </si>
  <si>
    <t>Remoção de tumor de pele</t>
  </si>
  <si>
    <t>Cirurgias oftálmicas</t>
  </si>
  <si>
    <t>Teste de Schirmer / Teste de Fluoresceina</t>
  </si>
  <si>
    <t>Cateterismo das vias lacrimais</t>
  </si>
  <si>
    <t>Reposição do globo ocular</t>
  </si>
  <si>
    <t>Enucleação do globo ocular</t>
  </si>
  <si>
    <t>Blefarorrafia (sutura da pálpebra)</t>
  </si>
  <si>
    <t>Entropio ou ectropio</t>
  </si>
  <si>
    <t>Punção da câmara anterior</t>
  </si>
  <si>
    <t>Remoção de tumores palpebrais / corneanos / conjuntiva</t>
  </si>
  <si>
    <t>Cirurgias traumatológicas e ortopédicas</t>
  </si>
  <si>
    <t>Imobilização simples / c/ tala/ gessada/ de alumínio</t>
  </si>
  <si>
    <t>Muleta de Thomas</t>
  </si>
  <si>
    <t>Amputação do ergot</t>
  </si>
  <si>
    <t>Amputação de dedo</t>
  </si>
  <si>
    <t>Amputação de membros</t>
  </si>
  <si>
    <t>Cirurgia do aparelho uro-genital / reprodutor</t>
  </si>
  <si>
    <t>Orquiectomia (castração de macho)</t>
  </si>
  <si>
    <t>Ovariosalpingohisterectomia (castração fêmea)</t>
  </si>
  <si>
    <t>Piometra</t>
  </si>
  <si>
    <t>Remoção de tumores</t>
  </si>
  <si>
    <t>Cesária</t>
  </si>
  <si>
    <t>Anestesias</t>
  </si>
  <si>
    <t>Anestesia geral. Injetável ou inalatória</t>
  </si>
  <si>
    <t>Anestesia local injetável</t>
  </si>
  <si>
    <t>Internação</t>
  </si>
  <si>
    <t>Fluidoterapia endovenosa</t>
  </si>
  <si>
    <t>Fluidoterapia subcutânea</t>
  </si>
  <si>
    <t>Diária Hospitalar</t>
  </si>
  <si>
    <t>Transfusão</t>
  </si>
  <si>
    <t>Radiologia</t>
  </si>
  <si>
    <t>Raios – X (1 projeção)</t>
  </si>
  <si>
    <t>Raios – X (2 projeções)</t>
  </si>
  <si>
    <t>Raios – X (3 projeções)</t>
  </si>
  <si>
    <t>Raios – X (4 projeções)</t>
  </si>
  <si>
    <t>Ultrassonografia</t>
  </si>
  <si>
    <t>Exames cardiológicos</t>
  </si>
  <si>
    <t>Ecocardiograma</t>
  </si>
  <si>
    <t>Eletrocardiograma</t>
  </si>
  <si>
    <t>Análise citológica</t>
  </si>
  <si>
    <t>CAAF (Citologia Aspirativa por Agulha Fina)</t>
  </si>
  <si>
    <t>Citologia de Líquidos (pleural, peritoneal, sinovial, urina)</t>
  </si>
  <si>
    <t>Citologia da Pele</t>
  </si>
  <si>
    <t>CAAF guiada por Ultra-monografia</t>
  </si>
  <si>
    <t>Citologia Vaginal</t>
  </si>
  <si>
    <t>Bioquímico</t>
  </si>
  <si>
    <t>Ácido úrico</t>
  </si>
  <si>
    <t>Amilase</t>
  </si>
  <si>
    <t>Amônia</t>
  </si>
  <si>
    <t>Bilirrubina (total, direta e indireta)</t>
  </si>
  <si>
    <t>Cálcio</t>
  </si>
  <si>
    <t>Cálcio ionizável</t>
  </si>
  <si>
    <t>Cloretos</t>
  </si>
  <si>
    <t>CK Total</t>
  </si>
  <si>
    <t>Colesterol</t>
  </si>
  <si>
    <t>Colesterol e frações</t>
  </si>
  <si>
    <t>Creatinina</t>
  </si>
  <si>
    <t>CPK (creatina fosfoquinase)</t>
  </si>
  <si>
    <t>Glicemia</t>
  </si>
  <si>
    <t>Curva Glicêmica (6 determinações)</t>
  </si>
  <si>
    <t>Ferro</t>
  </si>
  <si>
    <t>Fosfata se Alcalina</t>
  </si>
  <si>
    <t>Fósforo</t>
  </si>
  <si>
    <t>Frutosamina</t>
  </si>
  <si>
    <t>Gama Glutamil Transferase</t>
  </si>
  <si>
    <t>Glicose</t>
  </si>
  <si>
    <t>Hemoglobina glicosada</t>
  </si>
  <si>
    <t>Lipase</t>
  </si>
  <si>
    <t>Magnésio</t>
  </si>
  <si>
    <t>Potássio</t>
  </si>
  <si>
    <t>Proteína Sérica Total</t>
  </si>
  <si>
    <t>Sódio</t>
  </si>
  <si>
    <t>TGP (ALT)</t>
  </si>
  <si>
    <t>TGO (AST)</t>
  </si>
  <si>
    <t>Triglicérides</t>
  </si>
  <si>
    <t>Uréia</t>
  </si>
  <si>
    <t>Contagem de reticulócitos – coleta no laboratório</t>
  </si>
  <si>
    <t>Pesquisa de hematozoários – coleta no laboratório</t>
  </si>
  <si>
    <t>Albumina – coleta no laboratório</t>
  </si>
  <si>
    <t>Colesterol LDL – coleta no laboratório</t>
  </si>
  <si>
    <t>Fibrinogênio – coleta no laboratório</t>
  </si>
  <si>
    <t>Hemograma</t>
  </si>
  <si>
    <t>Microbiologia</t>
  </si>
  <si>
    <t>Cultura + Antibiograma</t>
  </si>
  <si>
    <t>Cultura para Mycobacterium sp</t>
  </si>
  <si>
    <t>Cultura para fungos</t>
  </si>
  <si>
    <t>Hemocultura</t>
  </si>
  <si>
    <t>Micológico</t>
  </si>
  <si>
    <t>Pesquisa de Malassezia pachydermatis</t>
  </si>
  <si>
    <t>Parasitologia</t>
  </si>
  <si>
    <t>Coproparasitológico (parasitológico de fezes}</t>
  </si>
  <si>
    <t>Pesquisa de ectoparasitas da pele</t>
  </si>
  <si>
    <t>Pesquisa de ectoparasitas e micológicos da pele</t>
  </si>
  <si>
    <t>Pesquisa de microfilárias no sangue</t>
  </si>
  <si>
    <t>Pesquisa de hematozoários (sangue)</t>
  </si>
  <si>
    <t>Urinálise</t>
  </si>
  <si>
    <t>Urina (exames físico, químico e sedimentoscopia)</t>
  </si>
  <si>
    <t>Exame químico da urina</t>
  </si>
  <si>
    <t>Pesquisa de Mioglobina na urina</t>
  </si>
  <si>
    <t>Urina guiada (exames físico, químico e sedimentoscopia)</t>
  </si>
  <si>
    <t>Exames constratados</t>
  </si>
  <si>
    <t>Radiografia contrastada do trânsito gastrointestinal</t>
  </si>
  <si>
    <t>Uretrocistografia</t>
  </si>
  <si>
    <t>Urografia excretora</t>
  </si>
  <si>
    <t>Tomografia</t>
  </si>
  <si>
    <t>Ressonância magnética</t>
  </si>
  <si>
    <t>Cirurgias do aparelho digestivo</t>
  </si>
  <si>
    <t>Correção da fístula anal</t>
  </si>
  <si>
    <t>Enterostomia e enterectomia (intestinos)</t>
  </si>
  <si>
    <t>Esplenectomia (retirada do baço)</t>
  </si>
  <si>
    <t>Gastrostomia e gastropexia</t>
  </si>
  <si>
    <t>Herniorrafias / evisceração</t>
  </si>
  <si>
    <t>Hérnia umbilical</t>
  </si>
  <si>
    <t>Hérnia escrutai unilateral</t>
  </si>
  <si>
    <t>Hérnia inguinal</t>
  </si>
  <si>
    <t>Hérnia perineal</t>
  </si>
  <si>
    <t>Cirurgias buco-maxilo-faciais</t>
  </si>
  <si>
    <t>Extração de dentes decíduos</t>
  </si>
  <si>
    <t>Extração de dentes permanentes</t>
  </si>
  <si>
    <t>Tartarectomia</t>
  </si>
  <si>
    <t xml:space="preserve">Remoção Tumores orais / palato mole e duro  </t>
  </si>
  <si>
    <t>Sialoadenectomia</t>
  </si>
  <si>
    <t>Amputação parcial da língua</t>
  </si>
  <si>
    <t>Extração de canino definitivo</t>
  </si>
  <si>
    <t>Extração de incisivo</t>
  </si>
  <si>
    <t>Extração de molar</t>
  </si>
  <si>
    <t>Raspagem de  cálculos dentários (profilaxia geral)</t>
  </si>
  <si>
    <t>Acupuntura</t>
  </si>
  <si>
    <t>Aplicação e injeção intramuscular</t>
  </si>
  <si>
    <t>Aplicação e injeção intravenosa</t>
  </si>
  <si>
    <t>Aplicação e injeção subcutânea</t>
  </si>
  <si>
    <t>Curativo simples</t>
  </si>
  <si>
    <t>Bandagem simples</t>
  </si>
  <si>
    <t>Coleta de material (sangue) Laboratório</t>
  </si>
  <si>
    <t>Coleta de material (urina) Laboratório</t>
  </si>
  <si>
    <t>Coleta de material (soro) Laboratório</t>
  </si>
  <si>
    <t>Oxigênio terapia</t>
  </si>
  <si>
    <t>Sutura</t>
  </si>
  <si>
    <t>Retirada de dermatobiose / miíases</t>
  </si>
  <si>
    <t>Drenagem de abcessos</t>
  </si>
  <si>
    <t>Redução Fechada de Luxação</t>
  </si>
  <si>
    <t>Vermifugações com 02(duas) doses com intervalo de 15 dias para cão adulto (20 a 50 kg)</t>
  </si>
  <si>
    <t>Controle de infestações de parasitas externos para cão adulto entre 20 a 50 Kg</t>
  </si>
  <si>
    <t>Sorologias de Leishmaniose</t>
  </si>
  <si>
    <t>Hemogramas completos com pesquisa de hematozoários</t>
  </si>
  <si>
    <t>Tratamento periodontal (tartarectomia) incluindo profilaxia – com uso de anestesia inalatória e administração de antibióticoado pós-tratamento periodontal (tartarectomia)</t>
  </si>
  <si>
    <t>Cistotomia (bexiga e cálculos)</t>
  </si>
  <si>
    <t>Cateterismo vesical</t>
  </si>
  <si>
    <t>Extração de unhas</t>
  </si>
  <si>
    <t>Fraturas e imobilizações ortopédicas (bandagem)</t>
  </si>
  <si>
    <t>Emissão De Guia De Transporte Animal (GTA)</t>
  </si>
  <si>
    <t>Cultura de secreções em geral (aeróbias) + antibiograma (ATB)</t>
  </si>
  <si>
    <t>Ecodopplercardiograma</t>
  </si>
  <si>
    <t>Excisão de tumores internos ou externos</t>
  </si>
  <si>
    <t>Retopexia</t>
  </si>
  <si>
    <t>Ovarisalpingohisterectomia</t>
  </si>
  <si>
    <t>Claudectomia</t>
  </si>
  <si>
    <t>Cirurgia de patela (luxação)</t>
  </si>
  <si>
    <t>Displasia coxo-femural</t>
  </si>
  <si>
    <t>Pino intramedular</t>
  </si>
  <si>
    <t>Ruptura de ligamento cruzado</t>
  </si>
  <si>
    <t>Suturas externas com comprometimento muscular</t>
  </si>
  <si>
    <t>Suturas externas sem comprometimento muscular</t>
  </si>
  <si>
    <t>Óbito – coleta e destinação do corpo do animal</t>
  </si>
  <si>
    <t>Óbito – fornecimento de certidão</t>
  </si>
  <si>
    <t>Atendimento de urgência 24 horas para estabilização do cão (para casos não previstos nesta relação)</t>
  </si>
  <si>
    <t>Ração categoria “Super Premium” para cães de 20 a 50kg, acima de 15 meses (cotação por kg)</t>
  </si>
  <si>
    <t>Diária UTI</t>
  </si>
  <si>
    <t>Tomografia segmento adicional</t>
  </si>
  <si>
    <t>Informar valor unitário do item (R$)</t>
  </si>
  <si>
    <t>Valor máximo permitido para cada item (R$)</t>
  </si>
  <si>
    <t>Mastectomia total unilateral (bilateral será equivalente a duas ocorrências unilaterais)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</si>
  <si>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</si>
  <si>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</si>
  <si>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</si>
  <si>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</si>
  <si>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</si>
  <si>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Campinas/SP</t>
  </si>
  <si>
    <t>D</t>
  </si>
  <si>
    <t>Nº de meses de execução contratual</t>
  </si>
  <si>
    <t>IDENTIFICAÇÃO DO SERVIÇO</t>
  </si>
  <si>
    <t>Tipo de Serviço</t>
  </si>
  <si>
    <t>Módulo 1 – Composição da Remuneração Estimada</t>
  </si>
  <si>
    <t>Composição da Remuneração</t>
  </si>
  <si>
    <t>Hospedagem</t>
  </si>
  <si>
    <t>C</t>
  </si>
  <si>
    <t>Total</t>
  </si>
  <si>
    <t>Custos Indiretos, Tributos e Lucro</t>
  </si>
  <si>
    <t>%</t>
  </si>
  <si>
    <t>Tributos</t>
  </si>
  <si>
    <t>UM CÃO</t>
  </si>
  <si>
    <t>DOIS CÃES</t>
  </si>
  <si>
    <t>TRÊS CÃES</t>
  </si>
  <si>
    <t>Aplicação de antibiótico para infecções de pele e urinárias (tipo Convênia)</t>
  </si>
  <si>
    <t>REMUNERAÇÃO</t>
  </si>
  <si>
    <t>Transporte do cão tipo Leva e Traz e por Ambulância</t>
  </si>
  <si>
    <t>Transporte por Ambulância (R$/km) *</t>
  </si>
  <si>
    <t>Nº</t>
  </si>
  <si>
    <t>VALOR GLOBAL ESTIMADO DA PROPOSTA REFERENTE À PARCELA DE HOSPEDAGEM</t>
  </si>
  <si>
    <t>VALOR GLOBAL ESTIMADO DA PROPOSTA REFERENTE À PARCELA DE TRANSPORTE</t>
  </si>
  <si>
    <t>Informar valor unitário                    do item (R$)</t>
  </si>
  <si>
    <t>Valor máximo permitido para o procedimento</t>
  </si>
  <si>
    <t>Consulta Emergência</t>
  </si>
  <si>
    <t>PREENCHA SOMENTE AS CÉLULAS AMARELAS</t>
  </si>
  <si>
    <t>VALOR GLOBAL ESTIMADO DA PROPOSTA REFERENTE AO FORNECIMENTO DE RAÇÃO</t>
  </si>
  <si>
    <t>Fornecimento de Ração</t>
  </si>
  <si>
    <t>PROCEDIMENTOS</t>
  </si>
  <si>
    <t>FORNECIMENTO DE RAÇÃO</t>
  </si>
  <si>
    <t>A contratada deverá fornecer insumos, materiais e equipamentos em quantidade e qualidade apropriados para o bom desempenho das tarefas.</t>
  </si>
  <si>
    <t>E</t>
  </si>
  <si>
    <t>Procedimentos Veterinários</t>
  </si>
  <si>
    <t>Transporte tipo Leva e Traz, em carro apropriado para transporte de animais (R$/km)</t>
  </si>
  <si>
    <t>Honorários veterinários mensais fixos</t>
  </si>
  <si>
    <t>Outros exames</t>
  </si>
  <si>
    <t>Outros procedimentos</t>
  </si>
  <si>
    <t>Informar distância estimada, somando ida e volta (km)</t>
  </si>
  <si>
    <t>#VALOR DA PROPOSTA#</t>
  </si>
  <si>
    <t>ANEXO III DO EDITAL - PLANILHA DE CUSTOS E FORMAÇÃO DE PREÇOS</t>
  </si>
  <si>
    <t>VALOR MENSAL ESTIMADO DA PROPOSTA REFERENTE AO FORNECIMENTO DE RAÇÃO (BASE 12 MESES)</t>
  </si>
  <si>
    <t>VALOR MENSAL ESTIMADO DA PROPOSTA REFERENTE À PARCELA DE HOSPEDAGEM (BASE 12 MESES)</t>
  </si>
  <si>
    <t>VALOR MENSAL ESTIMADO DA PROPOSTA REFERENTE À PARCELA DE TRANSPORTE (BASE 12 MESES)</t>
  </si>
  <si>
    <t>Cuidados a Cães de Faro</t>
  </si>
  <si>
    <t>VALOR DOS SERVIÇOS PARA12 MESES</t>
  </si>
  <si>
    <t>SERVIÇOS CUIDADOR/TRATADOR DE CÃES</t>
  </si>
  <si>
    <t>Discriminação dos Serviços (dados referentes à contratação)</t>
  </si>
  <si>
    <t>Local da prestação dos serviços</t>
  </si>
  <si>
    <t>ALF/VCP</t>
  </si>
  <si>
    <t>Ano Acordo, Convenção ou Sentença Normativa em Dissídio Coletivo</t>
  </si>
  <si>
    <t>Identificação do Serviço</t>
  </si>
  <si>
    <t>Unidade de Medida</t>
  </si>
  <si>
    <t>TRATADOR</t>
  </si>
  <si>
    <t>POSTO</t>
  </si>
  <si>
    <t xml:space="preserve"> </t>
  </si>
  <si>
    <t>MÃO DE OBRA VINCULADA À EXECUÇÃO CONTRATUAL</t>
  </si>
  <si>
    <t>Dados complementares para composição dos custos referente à mão de obra</t>
  </si>
  <si>
    <t>Salário Normativo da Categoria Profissional</t>
  </si>
  <si>
    <t>Categoria Profissional (vinculada à execução contratual)</t>
  </si>
  <si>
    <t>Data base da categoria (dia/mês/ano)</t>
  </si>
  <si>
    <t>MÓDULO 1: COMPOSIÇAO DA REMUNERAÇÃO</t>
  </si>
  <si>
    <t>Valor (R$)</t>
  </si>
  <si>
    <t>Salário Base</t>
  </si>
  <si>
    <t>Adicional de periculosidade</t>
  </si>
  <si>
    <t>Adicional noturno</t>
  </si>
  <si>
    <t>Hora noturna adicional</t>
  </si>
  <si>
    <t>F</t>
  </si>
  <si>
    <t>G</t>
  </si>
  <si>
    <t>Total da Remuneração</t>
  </si>
  <si>
    <t>Benefícios Mensais e Diários</t>
  </si>
  <si>
    <t>Cesta Básica</t>
  </si>
  <si>
    <t xml:space="preserve">MÓDULO 4: ENCARGOS SOCIAIS E TRABALHISTAS </t>
  </si>
  <si>
    <t>4.1</t>
  </si>
  <si>
    <t>Encargos previdenciários e FGTS</t>
  </si>
  <si>
    <t>INSS</t>
  </si>
  <si>
    <t>SESI ou SESC</t>
  </si>
  <si>
    <t>SENAI ou SENAC</t>
  </si>
  <si>
    <t>INCRA</t>
  </si>
  <si>
    <t>Salário Educação</t>
  </si>
  <si>
    <t>FGTS</t>
  </si>
  <si>
    <t>H</t>
  </si>
  <si>
    <t>SEBRAE</t>
  </si>
  <si>
    <t>TOTAL</t>
  </si>
  <si>
    <t>4.2</t>
  </si>
  <si>
    <t>13º (décimo terceiro) salário</t>
  </si>
  <si>
    <t>Subtotal</t>
  </si>
  <si>
    <t>4.3</t>
  </si>
  <si>
    <t>Afastamento Maternidade</t>
  </si>
  <si>
    <t>4.4</t>
  </si>
  <si>
    <t>Provisão para Rescisão</t>
  </si>
  <si>
    <t>Aviso prévio indenizado</t>
  </si>
  <si>
    <t>Aviso prévio trabalhado</t>
  </si>
  <si>
    <t>Incidência do submódulo 4.1 sobre aviso prévio trabalhado</t>
  </si>
  <si>
    <t xml:space="preserve">Submódulo 4.5 - Custo de Reposição do Profissional Ausente </t>
  </si>
  <si>
    <t>4.5</t>
  </si>
  <si>
    <t>Composição do Custo de Reposição do Profissional Ausente</t>
  </si>
  <si>
    <t>Ausência por doença</t>
  </si>
  <si>
    <t>Dias de ocorrência por ano</t>
  </si>
  <si>
    <t>Afastamento paternidade</t>
  </si>
  <si>
    <t>Ausências legais</t>
  </si>
  <si>
    <t>Ausência por acidentes de trabalho</t>
  </si>
  <si>
    <t>Números de dias de acidentes de trabalho</t>
  </si>
  <si>
    <t>Incidência do submódulo 4.1 sobre o Custo de reposição</t>
  </si>
  <si>
    <t>Quadro - resumo - Módulo 4 - Encargos sociais e trabalhistas</t>
  </si>
  <si>
    <t>Módulo 4 - Encargos sociais e trabalhistas</t>
  </si>
  <si>
    <t>Encargos previdenciários, FGTS e outras contribuições</t>
  </si>
  <si>
    <t>Custo de reposição do profissional ausente</t>
  </si>
  <si>
    <t>4.6</t>
  </si>
  <si>
    <t>Módulo 1 - Composição da Remuneração</t>
  </si>
  <si>
    <t>Módulo 2 - Benefícios Mensais e Diários</t>
  </si>
  <si>
    <t>Módulo 3 - Insumos Diversos (uniforme e outros)</t>
  </si>
  <si>
    <t>CUIDADOR/TRATADOR DE ANIMAIS (CÃO DE FARO)</t>
  </si>
  <si>
    <t>CUSTO TOTAL MENSAL</t>
  </si>
  <si>
    <t xml:space="preserve">CUSTO TOTAL MENSAL </t>
  </si>
  <si>
    <t>EMPREGADO</t>
  </si>
  <si>
    <t>VALOR DA TARIFA</t>
  </si>
  <si>
    <t>QTIDADE DE BILHETES</t>
  </si>
  <si>
    <t>DIAS</t>
  </si>
  <si>
    <t>VALE TRANSPORTE</t>
  </si>
  <si>
    <t>VALOR UNITÁRIO</t>
  </si>
  <si>
    <t>CESTA BÁSICA</t>
  </si>
  <si>
    <t>NÚMERO DE FILHOS</t>
  </si>
  <si>
    <t>PERCENTUAL DE OCORRÊNCIA</t>
  </si>
  <si>
    <t>VALOR DO BENEFÍCIO</t>
  </si>
  <si>
    <t>PERCENTUAL</t>
  </si>
  <si>
    <t>BASE DE CÁLCULO</t>
  </si>
  <si>
    <t>AUXÍLIO CRECHE</t>
  </si>
  <si>
    <t>AUXÍLIO ALIMENTAÇÃO</t>
  </si>
  <si>
    <t>SEGURO DE VIDA</t>
  </si>
  <si>
    <t>VALOR MENSAL</t>
  </si>
  <si>
    <t>ASSISTÊNCIA ODONTOLÓGICA</t>
  </si>
  <si>
    <t>AJUDA A FILHO DEFICIENTE</t>
  </si>
  <si>
    <t>BENEFÍCIOS DA MÃO DE OBRA CUIDADOR/TRATADOR DE CÃES</t>
  </si>
  <si>
    <t>I</t>
  </si>
  <si>
    <t>Auxílio Alimentação</t>
  </si>
  <si>
    <t>Vale Transporte</t>
  </si>
  <si>
    <t>Auxílo Creche</t>
  </si>
  <si>
    <t>Seguro de Vida</t>
  </si>
  <si>
    <t>Assistência Odontológica</t>
  </si>
  <si>
    <t>Ajuda a Filho Deficiente</t>
  </si>
  <si>
    <t>Outros (especificar):</t>
  </si>
  <si>
    <t>Adicional de hora extra</t>
  </si>
  <si>
    <t>Submódulo 4.1 - Encargos Previdenciários e FGTS</t>
  </si>
  <si>
    <t>TOTAL de Encargos Previdenciários e FGTS</t>
  </si>
  <si>
    <t>TOTAL de Provisão para Rescisão</t>
  </si>
  <si>
    <t>TOTAL de Custo de Reposição do Profissional Ausente</t>
  </si>
  <si>
    <t>Especifique aqui</t>
  </si>
  <si>
    <t>VALOR DO POSTO DE TRATADOR/CUIDADOR (ENVOLVE 2 EMPREGADOS)</t>
  </si>
  <si>
    <t>Serviços de tratador/cuidador nas dependências do Aeroporto Internacional de Viracopos</t>
  </si>
  <si>
    <r>
      <t>Uniformes</t>
    </r>
    <r>
      <rPr>
        <b/>
        <sz val="12"/>
        <color theme="1"/>
        <rFont val="Arial"/>
        <family val="2"/>
      </rPr>
      <t xml:space="preserve"> (Subitem 11.2 do Termo de Referência)</t>
    </r>
  </si>
  <si>
    <r>
      <t>Equipamentos de Proteção Individual</t>
    </r>
    <r>
      <rPr>
        <b/>
        <sz val="12"/>
        <color theme="1"/>
        <rFont val="Arial"/>
        <family val="2"/>
      </rPr>
      <t xml:space="preserve"> (Subitem 11.3 do Termo de Referência)</t>
    </r>
  </si>
  <si>
    <t>QUATRO CÃES</t>
  </si>
  <si>
    <t>Valor unitário x previsão para 12 meses
(um cão)</t>
  </si>
  <si>
    <t>Valor unitário x previsão para 12 meses
(dois cães)</t>
  </si>
  <si>
    <t>Valor unitário x previsão para 12 meses
(três cães)</t>
  </si>
  <si>
    <t>Valor unitário x previsão para 12 meses
(quatro cães)</t>
  </si>
  <si>
    <t>TRANSPORTE TIPO LEVA E TRAZ E POR AMBULÂNCIA (estimava para período de 12 meses)</t>
  </si>
  <si>
    <t>HOSPEDAGEM (estimava para período de 12 meses)</t>
  </si>
  <si>
    <t>CINCO CÃES</t>
  </si>
  <si>
    <t>SEIS CÃES</t>
  </si>
  <si>
    <t>Valor unitário x previsão para 12 meses
(cinco cães)</t>
  </si>
  <si>
    <t>Valor unitário x previsão para 12 meses
(seis cães)</t>
  </si>
  <si>
    <t>Valor unitário x estimativa de ocorrência x probabilidade
(Base um cão         e 12 meses)</t>
  </si>
  <si>
    <t>Valor unitário x estimativa de ocorrência x probabilidade
(Base dois cães         e 12 meses)</t>
  </si>
  <si>
    <t>Estimativa de ocorrência de cada item
em um período      de 12 meses</t>
  </si>
  <si>
    <t>Probabilidade de ocorrência de cada item em 12 meses (0 a 100%)</t>
  </si>
  <si>
    <t>Probabilidade de ocorrência do item em 12 meses (0 a 100%)</t>
  </si>
  <si>
    <t>MÓDULO 2: BENEFÍCIOS MENSAIS E DIÁRIOS  (preencher aba “Benefícios da Mão de Obra”)</t>
  </si>
  <si>
    <t>TRATADOR/CUIDADOR DE CÃO DE FARO (ATÉ SEIS CÃES DE FARO) - COM DEDICAÇÃO EXCLUSIVA DE MÃO DE OBRA</t>
  </si>
  <si>
    <t>Valor unitário x estimativa de ocorrência x probabilidade
(Base três cães         e 12 meses)</t>
  </si>
  <si>
    <t>Custos Indiretos / Despesas Administrativas</t>
  </si>
  <si>
    <t>B.1 Tributos Federais</t>
  </si>
  <si>
    <t xml:space="preserve">      PIS</t>
  </si>
  <si>
    <t xml:space="preserve">      COFINS</t>
  </si>
  <si>
    <t xml:space="preserve">      Outros:</t>
  </si>
  <si>
    <t>B.2 Tributos Municipais</t>
  </si>
  <si>
    <t xml:space="preserve">      ISSQN</t>
  </si>
  <si>
    <t>B.3 Outros Tributos:</t>
  </si>
  <si>
    <t>Lucro</t>
  </si>
  <si>
    <t>alíquota (%)</t>
  </si>
  <si>
    <t>TOTAL DE CUSTOS DIRETOS, TRIBUTOS E LUCRO</t>
  </si>
  <si>
    <t>Total de Benefícios Mensais e Diários</t>
  </si>
  <si>
    <t>MÓDULO 5: CUSTOS INDIRETOS, TRIBUTOS E LUCRO</t>
  </si>
  <si>
    <t>MÓDULO 3: INSUMOS DIVERSOS DA MÃO DE OBRA</t>
  </si>
  <si>
    <t>Total de Insumos Diversos da Mão de Obra</t>
  </si>
  <si>
    <t>Lucro Presumido. PIS: 0,65% ; COFINS: 3%</t>
  </si>
  <si>
    <t>Lucro Real. PIS: 1,65% ; COFINS: 7,6%</t>
  </si>
  <si>
    <t>Esclarecimento de dúvidas no preenchimento da planilha: leia o termo de referência, anexo I do edital, em especial os itens 7.3, 9 e 10.</t>
  </si>
  <si>
    <t>Tipo de serviço (mesmo serviço com características distintas): Tratador polivalente de animais - CBO 6230</t>
  </si>
  <si>
    <t>OUTROS :</t>
  </si>
  <si>
    <t>Especifique</t>
  </si>
  <si>
    <t>Insumos Diversos da Mão de Obra</t>
  </si>
  <si>
    <t>RAT</t>
  </si>
  <si>
    <t>FAP</t>
  </si>
  <si>
    <t>Submódulo 4.2 – 13º (décimo terceiro) Salário e Adicional de Férias</t>
  </si>
  <si>
    <t>13º (décimo terceiro) salário e Adicional de Férias</t>
  </si>
  <si>
    <t>Adicional de Férias</t>
  </si>
  <si>
    <t>Incidência do Submódulo 4.1 sobre 13º (décimo terceiro) Salário e Adicional de Férias</t>
  </si>
  <si>
    <t>TOTAL de 13º (décimo terceiro) Salário e Adicional de Férias</t>
  </si>
  <si>
    <t xml:space="preserve">Submódulo 4.3 - Provisão para Rescisão </t>
  </si>
  <si>
    <t>A.1</t>
  </si>
  <si>
    <t>Percentual de ocorrência</t>
  </si>
  <si>
    <t>Incidência do FGTS sobre aviso prévio indenizado e dias adicionais</t>
  </si>
  <si>
    <t>C.1.</t>
  </si>
  <si>
    <t>Aviso prévio trabalhado - Dias Adicionais</t>
  </si>
  <si>
    <t>Aviso prévio indenizado - Dias Adicionais</t>
  </si>
  <si>
    <t xml:space="preserve">Multa do FGTS da Conta Vinculada </t>
  </si>
  <si>
    <t>Percentual de provisão na rescisão S.J.C</t>
  </si>
  <si>
    <t>% Ocorrência</t>
  </si>
  <si>
    <t>Dias de afastamento</t>
  </si>
  <si>
    <t>Rescisão do Substituto</t>
  </si>
  <si>
    <t>13º do Substituto</t>
  </si>
  <si>
    <t>Substituto</t>
  </si>
  <si>
    <r>
      <t xml:space="preserve">Afastamento Maternidade de </t>
    </r>
    <r>
      <rPr>
        <b/>
        <i/>
        <sz val="10"/>
        <color rgb="FFFF0000"/>
        <rFont val="Arial"/>
        <family val="2"/>
      </rPr>
      <t>180 dias</t>
    </r>
    <r>
      <rPr>
        <b/>
        <i/>
        <sz val="10"/>
        <color theme="1"/>
        <rFont val="Arial"/>
        <family val="2"/>
      </rPr>
      <t xml:space="preserve"> deverá ter comprovação da empresa de participação no programa Empresa Cidadã.</t>
    </r>
  </si>
  <si>
    <t>Ressarcimento integral da indenização de 30 dias pelo A.P. não gozado.</t>
  </si>
  <si>
    <t>Apenas FGTS incide sobre A.P.I. e seus dias adicionais.</t>
  </si>
  <si>
    <t>Ressarcimento integral de 7 dias de substituição do ausente pelo seu A.P.T.</t>
  </si>
  <si>
    <t>Incidência de Contribuições Sociais e FGTS sobre A.P.T. e seus dias adicionais.</t>
  </si>
  <si>
    <r>
      <rPr>
        <b/>
        <i/>
        <sz val="10"/>
        <color rgb="FFFF0000"/>
        <rFont val="Arial"/>
        <family val="2"/>
      </rPr>
      <t>A partir 2ª Vigência</t>
    </r>
    <r>
      <rPr>
        <b/>
        <i/>
        <sz val="10"/>
        <color theme="1"/>
        <rFont val="Arial"/>
        <family val="2"/>
      </rPr>
      <t xml:space="preserve"> – Ressarcimento dos 3 dias adicionais de A.P. incorporados p/ ano.</t>
    </r>
  </si>
  <si>
    <t>13º (décimo terceiro) Salário e Adicional de Férias</t>
  </si>
  <si>
    <t>Provisão para rescisão</t>
  </si>
  <si>
    <t>Quadro- resumo do custo por empregado</t>
  </si>
  <si>
    <t>Subtotal (A+B+C+D)</t>
  </si>
  <si>
    <t>Módulo 5 - Custos indiretos, tributos e lucro</t>
  </si>
  <si>
    <t>Valor total por empregado</t>
  </si>
  <si>
    <t>ITEM</t>
  </si>
  <si>
    <t>DESCRIÇÃO</t>
  </si>
  <si>
    <t>UNIDADE</t>
  </si>
  <si>
    <t>PREÇO UNITÁRIO</t>
  </si>
  <si>
    <t>unidade</t>
  </si>
  <si>
    <t>Esclarecimento de dúvidas no preenchimento da planilha: leia o termo de referência, anexo I do edital.</t>
  </si>
  <si>
    <t>Outros:</t>
  </si>
  <si>
    <t>Ração especial medicamentosa (tais como ração dermatológica, renal, hepática, gástrica, urinária) para cães de 20 a 50kg, acima de 15 meses (cotação por kg)</t>
  </si>
  <si>
    <t>Raçãopara controle de peso  (tipo "light") para cães de 20 a 50kg, acima de 15 meses (cotação por kg)</t>
  </si>
  <si>
    <t>Valor unitário x estimativa de ocorrência x probabilidade
(Base um cão permanente e 12 meses)</t>
  </si>
  <si>
    <t>Valor unitário x estimativa de ocorrência x probabilidade
(Base dois cães permanentes e 12 meses)</t>
  </si>
  <si>
    <t>Valor unitário x estimativa de ocorrência x probabilidade
(Base três cães permanentes e 12 meses)</t>
  </si>
  <si>
    <t>Valor unitário x estimativa de ocorrência x probabilidade
(Base quatro cães permanentes e 12 meses)</t>
  </si>
  <si>
    <t>Valor unitário x estimativa de ocorrência x probabilidade
(Base 4 cães permanentes + 1 cão visitante e 12 meses)</t>
  </si>
  <si>
    <t>Estimativa de dias com cães visitantes em 12 meses</t>
  </si>
  <si>
    <t>Estimativa de consumo total de ração por cão visitante em kg</t>
  </si>
  <si>
    <t>Valor unitário x estimativa de ocorrência x probabilidade
(Base 4 cães permanentes + 2 cães visitantes e 12 meses)</t>
  </si>
  <si>
    <t>total em 12 meses</t>
  </si>
  <si>
    <t>Valor (R$)
base um cão permanente</t>
  </si>
  <si>
    <t>Valor (R$)
base dois cães permanentes</t>
  </si>
  <si>
    <t>Valor (R$)
base três cães permanentes</t>
  </si>
  <si>
    <t>Valor (R$)
base quatro cães permanentes</t>
  </si>
  <si>
    <t>Valor (R$)
base quatro cães permanentes e um cão visitante</t>
  </si>
  <si>
    <t>Valor (R$)
base quatro cães permanentes e dois cães visitantes</t>
  </si>
  <si>
    <t>MATERIAIS DE CONSUMO</t>
  </si>
  <si>
    <t>Materiais de Consumo</t>
  </si>
  <si>
    <t>Previsão para 12 meses</t>
  </si>
  <si>
    <t>VALOR GLOBAL ESTIMADO DA PROPOSTA REFERENTE À PARCELA DOS PROCEDIMENTOS (HONORÁRIOS FIXOS PARA ATÉ  QUATRO CÃES PERMANENTES E DOIS CÃES VISITANTES E DEMAIS PROCEDIMENTOS MULTIPLICADOS POR QUATRO CÃES PERMANENTES)</t>
  </si>
  <si>
    <t>VALOR MENSAL ESTIMADO DA PROPOSTA REFERENTE À PARCELA DOS PROCEDIMENTOS (BASE 12 MESES)</t>
  </si>
  <si>
    <t>VALOR MENSAL ESTIMADO DA PROPOSTA REFERENTE À PARCELA DOS PROCEDIMENTOS (BASE 12 MESES) ACRESCIDO DE CUSTOS INDIRETOS, TRIBUTOS SOBRE O FATURAMENTO E LUCRO</t>
  </si>
  <si>
    <t>VALOR MENSAL ESTIMADO DA PROPOSTA REFERENTE AO FORNECIMENTO DE RAÇÃO (BASE 12 MESES) ACRESCIDO DE CUSTOS INDIRETOS, TRIBUTOS SOBRE O FATURAMENTO E LUCRO</t>
  </si>
  <si>
    <t>VALOR MENSAL ESTIMADO DA PROPOSTA REFERENTE À PARCELA DE HOSPEDAGEM (BASE 12 MESES) ACRESCIDO DE CUSTOS INDIRETOS, TRIBUTOS SOBRE O FATURAMENTO E LUCRO</t>
  </si>
  <si>
    <t>VALOR MENSAL ESTIMADO DA PROPOSTA REFERENTE À PARCELA DE TRANSPORTE (BASE 12 MESES) ACRESCIDO DE CUSTOS INDIRETOS, TRIBUTOS SOBRE O FATURAMENTO E LUCRO</t>
  </si>
  <si>
    <t>Diárias de Hospedagem</t>
  </si>
  <si>
    <t>Estimativa de consumo em quilos (kg) para
o período de    12 meses</t>
  </si>
  <si>
    <t>AUXÍLIO MORTE/FUNERAL</t>
  </si>
  <si>
    <t>J</t>
  </si>
  <si>
    <t>Auxílio Funeral</t>
  </si>
  <si>
    <t>Folgas mensais</t>
  </si>
  <si>
    <t>H.1</t>
  </si>
  <si>
    <t>H.2</t>
  </si>
  <si>
    <t>H.3</t>
  </si>
  <si>
    <t>H.4</t>
  </si>
  <si>
    <t>Valor máximo permitido para o item</t>
  </si>
  <si>
    <t>HOSPEDAGEM E TRANSPORTE (ATÉ QUATRO CÃES DE FARO PERMANENTE E ATÉ DOIS CÃES DE FARO VISITANTES)</t>
  </si>
  <si>
    <t>ATÉ QUATRO CÃES DE FARO PERMANENTES E ATÉ DOIS CÃES DE FARO VISITANTES</t>
  </si>
  <si>
    <t>VALOR GLOBAL ESTIMADO DA PROPOSTA REFERENTE AO FORNECIMENTO DE KIT DE PRIMEIROS SOCORROS</t>
  </si>
  <si>
    <t>VALOR MENSAL ESTIMADO DA PROPOSTA REFERENTE AO FORNECIMENTO DE KIT DE PRIMEIROS SOCORROS</t>
  </si>
  <si>
    <t>VALOR MENSAL ESTIMADO DA PROPOSTA REFERENTE AO FORNECIMENTO DE KIT DE PRIMEIROS SOCORROS (BASE 12 MESES) ACRESCIDO DE CUSTOS INDIRETOS, TRIBUTOS SOBRE O FATURAMENTO E LUCRO</t>
  </si>
  <si>
    <t>FORNECIMENTO DE KIT DE PRIMEIROS SOCORROS</t>
  </si>
  <si>
    <t>Quantidade estimada para o período de        12 meses</t>
  </si>
  <si>
    <t>Fornecimento de Kit de Primeiros Socorros</t>
  </si>
  <si>
    <t>VALOR GLOBAL ESTIMADO DA PROPOSTA REFERENTE A MATERIAIS DE CONSUMO PARA AS ATIVIDADES DOS CÃES DE FARO</t>
  </si>
  <si>
    <t>VALOR MENSAL ESTIMADO DA PROPOSTA REFERENTE A MATERIAIS DE CONSUMO PARA AS ATIVIDADES DOS CÃES DE FARO (BASE 12 MESES)</t>
  </si>
  <si>
    <t>Total em 12 meses</t>
  </si>
  <si>
    <t>Bola para treino - Bola de borracha sólida e corda de nylon ou algodão durável, resistente a rasgos e arranhões, laço forte antiderrapante, qualquer cor, tamanho entre 6cm e 8cm diametro e entre  30cm e 50cm de corda, qualquer cor</t>
  </si>
  <si>
    <t>Guia - Guia de lona dupla, entre 1,5metros e 2,0metros, preta ou azul, com mosquetão de latão</t>
  </si>
  <si>
    <t>Colar - Enforcador elo torcido curto 3,0 mm x 70 cm</t>
  </si>
  <si>
    <t>Garrafa de água - Garrafão Térmico  5l qualquer cor, com tampa e alça, similar a Termolar Supertermo</t>
  </si>
  <si>
    <t>Material antiestresse - osso defumado, bovino ou suino, sem adição de conservantes ou qualquer produto químico, entre 15cm e 30cm</t>
  </si>
  <si>
    <t>MATERIAIS DE CONSUMO PARA AS ATIVIDADES DOS CÃES DE FARO - BASE 12 MESES</t>
  </si>
  <si>
    <t>VALOR MENSAL ESTIMADO DA PROPOSTA REFERENTE A MATERIAIS DE CONSUMO PARA AS ATIVIDADES DOS CÃES DE FARO (BASE 12 MESES) ACRESCIDO DE CUSTOS INDIRETOS, TRIBUTOS SOBRE O FATURAMENTO E LUCRO</t>
  </si>
  <si>
    <t xml:space="preserve">Dias de ocorrência por ano                                                                                    </t>
  </si>
  <si>
    <t>Dias de substituição por ano</t>
  </si>
  <si>
    <t>Nº de dia de trabalho no ano</t>
  </si>
  <si>
    <t>Quantidade total a contratar                                     (em função da unidade de medida)</t>
  </si>
  <si>
    <t>Dias de ocorrência por ano das folgas mensais = dias de folgas obrigatórias no mês x período de vigência do contrato de 12 meses</t>
  </si>
  <si>
    <t>Percentual de ocorrência anual</t>
  </si>
  <si>
    <t>Percentual do afastamento paternidade = 5 dias de licença / 365 dias x % de ocorrência anual</t>
  </si>
  <si>
    <t>Não há previsão para este produto no custo estimado para 1 cão</t>
  </si>
  <si>
    <t>CUSTO ESTIMADO                 base 1 cão permanente</t>
  </si>
  <si>
    <t>CUSTO ESTIMADO                base 2 cães permanentes</t>
  </si>
  <si>
    <t>CUSTO ESTIMADO                  base 3 cães permanentes</t>
  </si>
  <si>
    <t>CUSTO ESTIMADO                 base 4 cães permanentes</t>
  </si>
  <si>
    <t>CUSTO ESTIMADO                 base 4 cães permanentes e 1 cão visitante</t>
  </si>
  <si>
    <t>CUSTO ESTIMADO                 base 4 cães permanentes e 2 cães visitantes</t>
  </si>
  <si>
    <r>
      <t xml:space="preserve">Materiais de Limpeza e Assepsia, Equipamentos e Complementos </t>
    </r>
    <r>
      <rPr>
        <b/>
        <sz val="12"/>
        <color theme="1"/>
        <rFont val="Arial"/>
        <family val="2"/>
      </rPr>
      <t>(Subitem 9.1.1. do Termo de Referência)</t>
    </r>
  </si>
  <si>
    <t>QUANTIDADE EM 12 MESES POR CÃO</t>
  </si>
  <si>
    <r>
      <t xml:space="preserve">PREENCHA </t>
    </r>
    <r>
      <rPr>
        <b/>
        <u/>
        <sz val="18"/>
        <color indexed="9"/>
        <rFont val="Arial"/>
        <family val="2"/>
      </rPr>
      <t>TODAS</t>
    </r>
    <r>
      <rPr>
        <b/>
        <sz val="18"/>
        <color indexed="9"/>
        <rFont val="Arial"/>
        <family val="2"/>
      </rPr>
      <t xml:space="preserve"> AS CÉLULAS AMARELAS DAS ABAS "Mão de Obra Tratador", "Benefícios da Mão de Obra", "Procedimentos e Ração", "Hospedagem e Transporte"e "Materiais". Abaixo está o valor calculado para o LANCE.
</t>
    </r>
    <r>
      <rPr>
        <b/>
        <sz val="20"/>
        <color indexed="9"/>
        <rFont val="Arial"/>
        <family val="2"/>
      </rPr>
      <t xml:space="preserve">
VALOR DO LANCE = VALOR GLOBAL DA PROPOSTA PARA </t>
    </r>
    <r>
      <rPr>
        <b/>
        <i/>
        <sz val="20"/>
        <color indexed="9"/>
        <rFont val="Arial"/>
        <family val="2"/>
      </rPr>
      <t>12 MESES - BASE QUATRO CÃES PERMANENTES E DOIS CÃES VISITANTES</t>
    </r>
  </si>
  <si>
    <t>Valor máximo permitido (R$)</t>
  </si>
  <si>
    <t>Adicional de insalubridade – Salário mínimo oficial vigente (Lei nº 14.158/2021)</t>
  </si>
  <si>
    <t>Uniforme e EPI do Substituto</t>
  </si>
  <si>
    <t>Material para entretenimento - Brinquedo mordedor interativo, tipo kong, com dispenser para ração ou petisco, material média/alta resistencia tamanho G (Medidas Aproximadas: Altura: 10 cm - Largura na Base: 7 cm - Largura no Topo: 5 cm)</t>
  </si>
  <si>
    <t>PROCEDIMENTOS VETERINÁRIOS, FORNECIMENTO DE RAÇÃO E FORNECIMENTO DE KIT DE PRIMEIROS SOCORROS</t>
  </si>
  <si>
    <t>Kit de Primeiros Socorros, conforme descrição do subitem 9.1.2 do Termo de Referência</t>
  </si>
  <si>
    <t>VALOR MÁXIMO PERMITIDO</t>
  </si>
  <si>
    <t>Férias + terço constitucional</t>
  </si>
  <si>
    <t>Calculado tendo  por  base eventuais dias de substituição previstos em CCT para a escala 12x36h e a célula H85.</t>
  </si>
  <si>
    <t>Todos os itens dos procedimentos veterinários devem incluir todos os custos do procedimento completo, desde o translado (leva e traz, entrada do cão de faro no estabelecimento veterinário para realização do procedimento e permanência deste na clínica ou hospital veterinário até que esteja apto a retornar ao Canil do Aeroporto Internacional de Viracopos, inclusive internação, medicamentos e outros recursos necessários ao procedimento veterinário.</t>
  </si>
  <si>
    <t>Esclarecimento de dúvidas no preenchimento da planilha: leia o termo de referência, anexo I do edital, em especial os itens 7, 9 e 10.</t>
  </si>
  <si>
    <t>Preencha as células amarelas de acordo com as informações da CCT adotada.                                                                                                    Essas informações refletirão na Aba "Mão de Obra Tratador".</t>
  </si>
  <si>
    <t>Esclarecimento de dúvidas no preenchimento da planilha: leia o termo de referência, anexo I do edital, em especial os itens 7.2.18, 7.4, 7.5 e 10.</t>
  </si>
  <si>
    <t>BENEFÍCIOS</t>
  </si>
  <si>
    <t>Esclarecimento de dúvidas no preenchimento da planilha: leia o termo de referência, anexo I do edital, em especial os itens 9.1.4 e 10.</t>
  </si>
  <si>
    <t>Licitação Nº : 08/2021</t>
  </si>
  <si>
    <t>cláusula 45 - CCT 2020-2022 SINDPETSHOP - SINDHOSVET</t>
  </si>
  <si>
    <t>cláusula 58 - CCT 2020-2022 SINDPETSHOP - SINDHOSVET</t>
  </si>
  <si>
    <t>cláusula 64 - CCT 2020-2022 SINDPETSHOP - SINDHOSVET</t>
  </si>
  <si>
    <t>Acúmulo de função - Cláusula 57 da CCT - 20% sobre o salário contratual</t>
  </si>
  <si>
    <t>Treinamento do Subprograma de Educação de Prevenção do Risco Associado ao Uso Indevido de Substâncias Psicoativas na Aviação Civil - ARSO - (RBAC nº 120 da ANAC)</t>
  </si>
  <si>
    <t>Valor total do treinamento de 1 funcionário dividido por 12 (período de vigência do contrato).</t>
  </si>
  <si>
    <t>Banhos com tosa e limpeza dos ouvidos e corte de unha quando necessário</t>
  </si>
  <si>
    <t>Honorários veterinários mensais fixos para até quatro cães de faro permanentes e até dois cães de faro visitantes. Responsabilidade Técnica.</t>
  </si>
  <si>
    <t>Valor unitário x estimativa de ocorrência x probabilidade
(Base quatro cães e 12 meses)</t>
  </si>
  <si>
    <t>Nº Processo: 10831.720206/2021-63</t>
  </si>
  <si>
    <r>
      <t>Caixa de Transporte Tamanho 7: Comprimento: 102 cm Largura: 72 cm Altura: 76 cm Peso: 12,1 Kg Suporta até 40 Kg, padrão IATA, cores neutras como preto, cinza, azul marinho etc, com rodas retrateis ou removíveis, freio nas rodas e alça para passeio.</t>
    </r>
    <r>
      <rPr>
        <b/>
        <sz val="12"/>
        <color theme="1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Obs: Item com vida útil estimada em 60 meses (5 anos). Para fins da estimativa de custo equivalente ao anual, o valor unitário foi dividido por 5 - cálculo automático, podendo ou não ser adotado pelo licitante.</t>
    </r>
  </si>
  <si>
    <r>
      <t xml:space="preserve">Caixa de Transporte Tamanho 6: Comprimento: 92 cm Largura: 64 cm Altura: 66 cm Peso: 9,7 Kg Suporta até 32 Kg, padrão IATA, cores neutras como preto, cinza, azul marinho etc, , com rodas retrateis ou removíveis, freio nas rodas e alça para passeio. </t>
    </r>
    <r>
      <rPr>
        <b/>
        <sz val="12"/>
        <color rgb="FFFF0000"/>
        <rFont val="Arial"/>
        <family val="2"/>
      </rPr>
      <t>Obs: Item com vida útil estimada em 60 meses (5 anos). Para fins da estimativa de custo equivalente ao anual, o valor unitário foi dividido por 5 - cálculo automático, podendo ou não ser adotado pelo licitante.</t>
    </r>
  </si>
  <si>
    <t>Adicional de Insalubridade em grau médio, cláusula 55 da CCT SINDPETSHOP - SINDHOSVET 2020/2022: 20% do SM</t>
  </si>
  <si>
    <t>Acúmulo de função, cláusula 57 da CCT SINDPETSHOP - SINDHOSVET 2020/2022: 20% sobre o salário contratual</t>
  </si>
  <si>
    <t>Dia 04/10/2021     às 9:30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</si>
</sst>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&quot; &quot;#,##0.00;[Red]&quot;-&quot;[$R$-416]&quot; &quot;#,##0.00"/>
    <numFmt numFmtId="165" formatCode="[$R$-416]\ #,##0.00;[Red][$R$-416]\ #,##0.00"/>
    <numFmt numFmtId="166" formatCode="0.0"/>
    <numFmt numFmtId="167" formatCode="[$R$-416]\ #,##0.00;[Red]\-[$R$-416]\ #,##0.00"/>
    <numFmt numFmtId="168" formatCode="&quot; R$ &quot;#,##0.00\ ;&quot; R$ (&quot;#,##0.00\);&quot; R$ -&quot;#\ ;@\ "/>
    <numFmt numFmtId="169" formatCode="d&quot;  &quot;mmmm&quot;, &quot;yyyy"/>
    <numFmt numFmtId="170" formatCode="&quot;R$ &quot;#,##0.00"/>
    <numFmt numFmtId="171" formatCode="&quot;R$ &quot;#,##0.00\ ;&quot;(R$ &quot;#,##0.00\)"/>
    <numFmt numFmtId="172" formatCode="&quot;R$&quot;\ #,##0.00"/>
    <numFmt numFmtId="173" formatCode="&quot;R$ &quot;#,##0.00;[Red]&quot;R$ &quot;#,##0.00"/>
    <numFmt numFmtId="174" formatCode="dd/mm/yy"/>
    <numFmt numFmtId="175" formatCode="_(&quot;R$ &quot;* #,##0.00_);_(&quot;R$ &quot;* \(#,##0.00\);_(&quot;R$ &quot;* \-??_);_(@_)"/>
    <numFmt numFmtId="176" formatCode="&quot;R$ &quot;#,##0.00_);&quot;(R$ &quot;#,##0.00\)"/>
    <numFmt numFmtId="177" formatCode="&quot; R$ &quot;* #,##0.00\ ;&quot; R$ &quot;* \(#,##0.00\);&quot; R$ &quot;* \-#\ ;@\ "/>
    <numFmt numFmtId="178" formatCode="#,##0.00&quot; &quot;;&quot;(&quot;#,##0.00&quot;)&quot;;&quot;-&quot;#&quot; &quot;;&quot; &quot;@&quot; &quot;"/>
    <numFmt numFmtId="179" formatCode="&quot;R$ &quot;#,##0.00&quot; &quot;;&quot;(R$ &quot;#,##0.00&quot;)&quot;"/>
  </numFmts>
  <fonts count="63" x14ac:knownFonts="1">
    <font>
      <sz val="11"/>
      <color theme="1"/>
      <name val="Arial"/>
      <family val="2"/>
    </font>
    <font>
      <sz val="11"/>
      <color indexed="8"/>
      <name val="Calibri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name val="Arial"/>
      <family val="2"/>
    </font>
    <font>
      <b/>
      <sz val="18"/>
      <color indexed="56"/>
      <name val="Cambria"/>
      <family val="2"/>
    </font>
    <font>
      <b/>
      <sz val="18"/>
      <color indexed="62"/>
      <name val="Cambria"/>
      <family val="2"/>
    </font>
    <font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sz val="9"/>
      <color indexed="8"/>
      <name val="Arial"/>
      <family val="2"/>
    </font>
    <font>
      <b/>
      <sz val="12"/>
      <color indexed="9"/>
      <name val="Arial"/>
      <family val="2"/>
    </font>
    <font>
      <b/>
      <sz val="20"/>
      <color indexed="9"/>
      <name val="Arial"/>
      <family val="2"/>
    </font>
    <font>
      <b/>
      <i/>
      <sz val="20"/>
      <color indexed="9"/>
      <name val="Arial"/>
      <family val="2"/>
    </font>
    <font>
      <b/>
      <sz val="18"/>
      <color indexed="9"/>
      <name val="Arial"/>
      <family val="2"/>
    </font>
    <font>
      <b/>
      <sz val="14"/>
      <color indexed="9"/>
      <name val="Arial"/>
      <family val="2"/>
    </font>
    <font>
      <sz val="12"/>
      <color indexed="9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b/>
      <i/>
      <u/>
      <sz val="3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8"/>
      <name val="Arial"/>
      <family val="2"/>
    </font>
    <font>
      <sz val="11"/>
      <color indexed="8"/>
      <name val="Arial"/>
      <family val="2"/>
    </font>
    <font>
      <b/>
      <u/>
      <sz val="18"/>
      <color indexed="9"/>
      <name val="Arial"/>
      <family val="2"/>
    </font>
    <font>
      <b/>
      <sz val="14"/>
      <name val="Arial"/>
      <family val="2"/>
    </font>
    <font>
      <sz val="11"/>
      <color indexed="9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2"/>
      <color theme="1"/>
      <name val="Arial"/>
      <family val="2"/>
    </font>
    <font>
      <b/>
      <sz val="12"/>
      <color indexed="10"/>
      <name val="Arial"/>
      <family val="2"/>
    </font>
    <font>
      <b/>
      <u/>
      <sz val="12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9.5"/>
      <name val="Arial"/>
      <family val="2"/>
    </font>
    <font>
      <i/>
      <sz val="10"/>
      <color rgb="FFFF0000"/>
      <name val="Arial"/>
      <family val="2"/>
    </font>
    <font>
      <i/>
      <sz val="12"/>
      <color theme="1"/>
      <name val="Arial"/>
      <family val="2"/>
    </font>
    <font>
      <i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sz val="18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FF0000"/>
      <name val="Arial"/>
      <family val="2"/>
    </font>
    <font>
      <b/>
      <u/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rgb="FFFF0000"/>
      <name val="Arial"/>
      <family val="2"/>
    </font>
    <font>
      <sz val="12"/>
      <color theme="0"/>
      <name val="Arial"/>
      <family val="2"/>
    </font>
    <font>
      <u/>
      <sz val="11"/>
      <color theme="1"/>
      <name val="Arial"/>
      <family val="2"/>
    </font>
    <font>
      <i/>
      <sz val="8"/>
      <color rgb="FFFF0000"/>
      <name val="Arial"/>
      <family val="2"/>
    </font>
    <font>
      <sz val="8"/>
      <color theme="1"/>
      <name val="Arial"/>
      <family val="2"/>
    </font>
    <font>
      <b/>
      <i/>
      <sz val="10"/>
      <name val="Arial"/>
      <family val="2"/>
    </font>
    <font>
      <b/>
      <sz val="12"/>
      <color rgb="FFFF000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8"/>
        <bgColor indexed="18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4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22"/>
      </patternFill>
    </fill>
    <fill>
      <patternFill patternType="solid">
        <fgColor indexed="18"/>
        <bgColor indexed="22"/>
      </patternFill>
    </fill>
    <fill>
      <patternFill patternType="solid">
        <fgColor indexed="10"/>
        <bgColor indexed="64"/>
      </patternFill>
    </fill>
    <fill>
      <patternFill patternType="solid">
        <fgColor indexed="15"/>
        <bgColor indexed="53"/>
      </patternFill>
    </fill>
    <fill>
      <patternFill patternType="solid">
        <fgColor indexed="15"/>
        <bgColor indexed="18"/>
      </patternFill>
    </fill>
    <fill>
      <patternFill patternType="solid">
        <fgColor indexed="1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8"/>
        <bgColor indexed="58"/>
      </patternFill>
    </fill>
    <fill>
      <patternFill patternType="solid">
        <fgColor indexed="10"/>
        <bgColor indexed="58"/>
      </patternFill>
    </fill>
    <fill>
      <patternFill patternType="solid">
        <fgColor indexed="22"/>
        <bgColor indexed="58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31"/>
      </patternFill>
    </fill>
    <fill>
      <patternFill patternType="solid">
        <fgColor rgb="FF0000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31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rgb="FFFFFF00"/>
        <bgColor rgb="FFFFFF00"/>
      </patternFill>
    </fill>
    <fill>
      <patternFill patternType="solid">
        <fgColor rgb="FF66FFFF"/>
        <b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53"/>
      </patternFill>
    </fill>
    <fill>
      <patternFill patternType="solid">
        <fgColor rgb="FF0000FF"/>
        <bgColor rgb="FFFFFF00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/>
      <top/>
      <bottom style="thin">
        <color rgb="FFFF0000"/>
      </bottom>
      <diagonal/>
    </border>
    <border>
      <left/>
      <right/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33" fillId="0" borderId="0">
      <alignment horizontal="center"/>
    </xf>
    <xf numFmtId="0" fontId="33" fillId="0" borderId="0">
      <alignment horizontal="center" textRotation="90"/>
    </xf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/>
    <xf numFmtId="164" fontId="34" fillId="0" borderId="0"/>
    <xf numFmtId="0" fontId="11" fillId="0" borderId="0" applyBorder="0" applyProtection="0"/>
    <xf numFmtId="0" fontId="12" fillId="0" borderId="0" applyBorder="0" applyProtection="0"/>
    <xf numFmtId="0" fontId="36" fillId="0" borderId="0"/>
    <xf numFmtId="175" fontId="36" fillId="0" borderId="0" applyFill="0" applyBorder="0" applyAlignment="0" applyProtection="0"/>
    <xf numFmtId="9" fontId="36" fillId="0" borderId="0" applyFill="0" applyBorder="0" applyAlignment="0" applyProtection="0"/>
    <xf numFmtId="177" fontId="36" fillId="0" borderId="0" applyFill="0" applyBorder="0" applyAlignment="0" applyProtection="0"/>
    <xf numFmtId="178" fontId="51" fillId="0" borderId="0"/>
  </cellStyleXfs>
  <cellXfs count="747">
    <xf numFmtId="0" fontId="0" fillId="0" borderId="0" xfId="0"/>
    <xf numFmtId="0" fontId="2" fillId="0" borderId="0" xfId="0" applyFont="1" applyAlignment="1">
      <alignment horizontal="center" vertical="center" wrapText="1"/>
    </xf>
    <xf numFmtId="165" fontId="0" fillId="0" borderId="0" xfId="0" applyNumberFormat="1"/>
    <xf numFmtId="167" fontId="0" fillId="0" borderId="0" xfId="0" applyNumberFormat="1"/>
    <xf numFmtId="0" fontId="3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/>
    <xf numFmtId="0" fontId="4" fillId="2" borderId="1" xfId="0" applyFont="1" applyFill="1" applyBorder="1" applyAlignment="1">
      <alignment horizontal="center"/>
    </xf>
    <xf numFmtId="9" fontId="4" fillId="2" borderId="1" xfId="0" applyNumberFormat="1" applyFont="1" applyFill="1" applyBorder="1" applyAlignment="1">
      <alignment horizontal="center"/>
    </xf>
    <xf numFmtId="0" fontId="9" fillId="3" borderId="0" xfId="0" applyFont="1" applyFill="1" applyBorder="1"/>
    <xf numFmtId="167" fontId="0" fillId="0" borderId="0" xfId="0" applyNumberFormat="1" applyFill="1" applyBorder="1"/>
    <xf numFmtId="0" fontId="0" fillId="0" borderId="0" xfId="0" applyFill="1" applyBorder="1"/>
    <xf numFmtId="0" fontId="0" fillId="0" borderId="0" xfId="0" applyFill="1" applyBorder="1"/>
    <xf numFmtId="0" fontId="13" fillId="0" borderId="0" xfId="0" applyNumberFormat="1" applyFont="1"/>
    <xf numFmtId="0" fontId="7" fillId="0" borderId="0" xfId="0" applyNumberFormat="1" applyFont="1"/>
    <xf numFmtId="0" fontId="4" fillId="0" borderId="0" xfId="0" applyNumberFormat="1" applyFont="1" applyFill="1" applyAlignment="1">
      <alignment horizontal="left"/>
    </xf>
    <xf numFmtId="0" fontId="4" fillId="0" borderId="0" xfId="0" applyNumberFormat="1" applyFont="1"/>
    <xf numFmtId="0" fontId="4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left"/>
    </xf>
    <xf numFmtId="0" fontId="7" fillId="4" borderId="0" xfId="0" applyNumberFormat="1" applyFont="1" applyFill="1"/>
    <xf numFmtId="0" fontId="15" fillId="0" borderId="0" xfId="0" applyNumberFormat="1" applyFont="1"/>
    <xf numFmtId="0" fontId="7" fillId="0" borderId="0" xfId="0" applyNumberFormat="1" applyFont="1" applyAlignment="1">
      <alignment horizontal="center"/>
    </xf>
    <xf numFmtId="0" fontId="0" fillId="0" borderId="0" xfId="0" applyNumberFormat="1"/>
    <xf numFmtId="167" fontId="4" fillId="0" borderId="0" xfId="0" applyNumberFormat="1" applyFont="1"/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5" borderId="0" xfId="0" applyNumberFormat="1" applyFill="1" applyBorder="1"/>
    <xf numFmtId="0" fontId="4" fillId="5" borderId="0" xfId="0" applyNumberFormat="1" applyFont="1" applyFill="1" applyAlignment="1">
      <alignment horizontal="left"/>
    </xf>
    <xf numFmtId="0" fontId="4" fillId="6" borderId="0" xfId="0" applyNumberFormat="1" applyFont="1" applyFill="1" applyAlignment="1">
      <alignment horizontal="left"/>
    </xf>
    <xf numFmtId="0" fontId="7" fillId="0" borderId="0" xfId="0" applyNumberFormat="1" applyFont="1" applyFill="1"/>
    <xf numFmtId="0" fontId="4" fillId="0" borderId="0" xfId="0" applyNumberFormat="1" applyFont="1" applyFill="1"/>
    <xf numFmtId="172" fontId="9" fillId="2" borderId="1" xfId="3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2" fontId="0" fillId="0" borderId="0" xfId="0" applyNumberFormat="1"/>
    <xf numFmtId="0" fontId="2" fillId="7" borderId="1" xfId="0" applyFont="1" applyFill="1" applyBorder="1" applyAlignment="1">
      <alignment horizontal="center" vertical="center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172" fontId="10" fillId="11" borderId="13" xfId="3" applyNumberFormat="1" applyFont="1" applyFill="1" applyBorder="1" applyAlignment="1">
      <alignment horizontal="center" vertical="center"/>
    </xf>
    <xf numFmtId="0" fontId="2" fillId="11" borderId="14" xfId="0" applyFont="1" applyFill="1" applyBorder="1" applyAlignment="1">
      <alignment horizontal="center" vertical="center" wrapText="1"/>
    </xf>
    <xf numFmtId="172" fontId="21" fillId="9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/>
    <xf numFmtId="172" fontId="2" fillId="2" borderId="1" xfId="0" applyNumberFormat="1" applyFont="1" applyFill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justify" vertical="center"/>
    </xf>
    <xf numFmtId="0" fontId="13" fillId="0" borderId="16" xfId="0" applyFont="1" applyBorder="1" applyAlignment="1">
      <alignment vertical="center"/>
    </xf>
    <xf numFmtId="0" fontId="22" fillId="0" borderId="4" xfId="0" applyFont="1" applyBorder="1" applyAlignment="1">
      <alignment horizontal="justify" vertical="center"/>
    </xf>
    <xf numFmtId="172" fontId="13" fillId="10" borderId="5" xfId="3" applyNumberFormat="1" applyFont="1" applyFill="1" applyBorder="1" applyAlignment="1">
      <alignment horizontal="center" vertical="center"/>
    </xf>
    <xf numFmtId="172" fontId="16" fillId="3" borderId="5" xfId="3" applyNumberFormat="1" applyFont="1" applyFill="1" applyBorder="1" applyAlignment="1">
      <alignment horizontal="center" vertical="center"/>
    </xf>
    <xf numFmtId="172" fontId="22" fillId="10" borderId="5" xfId="3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13" borderId="1" xfId="0" applyFont="1" applyFill="1" applyBorder="1" applyAlignment="1">
      <alignment horizontal="left" vertical="center" wrapText="1"/>
    </xf>
    <xf numFmtId="0" fontId="2" fillId="13" borderId="5" xfId="0" applyFont="1" applyFill="1" applyBorder="1" applyAlignment="1">
      <alignment horizontal="left" vertical="center" wrapText="1"/>
    </xf>
    <xf numFmtId="0" fontId="2" fillId="13" borderId="4" xfId="0" applyFont="1" applyFill="1" applyBorder="1" applyAlignment="1">
      <alignment horizontal="left" vertical="center" wrapText="1"/>
    </xf>
    <xf numFmtId="0" fontId="2" fillId="13" borderId="4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6" fillId="0" borderId="0" xfId="0" applyFont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172" fontId="10" fillId="0" borderId="0" xfId="3" applyNumberFormat="1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8" borderId="18" xfId="0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horizontal="center" vertical="center" wrapText="1"/>
    </xf>
    <xf numFmtId="0" fontId="2" fillId="14" borderId="1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170" fontId="2" fillId="15" borderId="12" xfId="0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172" fontId="13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172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0" xfId="0" applyNumberFormat="1" applyFont="1" applyFill="1" applyBorder="1" applyAlignment="1">
      <alignment horizontal="center" vertical="center"/>
    </xf>
    <xf numFmtId="0" fontId="7" fillId="0" borderId="20" xfId="0" applyNumberFormat="1" applyFont="1" applyBorder="1" applyAlignment="1">
      <alignment horizontal="center" vertical="center"/>
    </xf>
    <xf numFmtId="0" fontId="38" fillId="0" borderId="0" xfId="0" applyFont="1"/>
    <xf numFmtId="0" fontId="2" fillId="0" borderId="0" xfId="0" applyFont="1" applyBorder="1" applyAlignment="1">
      <alignment horizontal="center"/>
    </xf>
    <xf numFmtId="164" fontId="39" fillId="0" borderId="0" xfId="0" applyNumberFormat="1" applyFont="1" applyBorder="1" applyAlignment="1">
      <alignment horizontal="center"/>
    </xf>
    <xf numFmtId="0" fontId="38" fillId="0" borderId="15" xfId="0" applyFont="1" applyBorder="1" applyAlignment="1">
      <alignment horizontal="center" vertical="center"/>
    </xf>
    <xf numFmtId="3" fontId="14" fillId="0" borderId="15" xfId="0" applyNumberFormat="1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/>
    </xf>
    <xf numFmtId="0" fontId="38" fillId="0" borderId="15" xfId="0" applyFont="1" applyBorder="1" applyAlignment="1">
      <alignment horizontal="left" vertical="center"/>
    </xf>
    <xf numFmtId="3" fontId="10" fillId="0" borderId="15" xfId="0" applyNumberFormat="1" applyFont="1" applyBorder="1" applyAlignment="1">
      <alignment horizontal="center" vertical="center"/>
    </xf>
    <xf numFmtId="170" fontId="38" fillId="0" borderId="15" xfId="0" applyNumberFormat="1" applyFont="1" applyBorder="1" applyAlignment="1">
      <alignment horizontal="right" vertical="center"/>
    </xf>
    <xf numFmtId="170" fontId="40" fillId="0" borderId="15" xfId="0" applyNumberFormat="1" applyFont="1" applyBorder="1" applyAlignment="1">
      <alignment horizontal="right" vertical="center"/>
    </xf>
    <xf numFmtId="10" fontId="38" fillId="22" borderId="15" xfId="0" applyNumberFormat="1" applyFont="1" applyFill="1" applyBorder="1" applyAlignment="1">
      <alignment horizontal="center" vertical="center"/>
    </xf>
    <xf numFmtId="10" fontId="38" fillId="0" borderId="15" xfId="0" applyNumberFormat="1" applyFont="1" applyBorder="1" applyAlignment="1">
      <alignment horizontal="center" vertical="center"/>
    </xf>
    <xf numFmtId="10" fontId="38" fillId="0" borderId="39" xfId="0" applyNumberFormat="1" applyFont="1" applyBorder="1" applyAlignment="1">
      <alignment horizontal="center" vertical="center"/>
    </xf>
    <xf numFmtId="10" fontId="38" fillId="0" borderId="36" xfId="0" applyNumberFormat="1" applyFont="1" applyBorder="1" applyAlignment="1">
      <alignment horizontal="center" vertical="center"/>
    </xf>
    <xf numFmtId="10" fontId="38" fillId="0" borderId="40" xfId="0" applyNumberFormat="1" applyFont="1" applyBorder="1" applyAlignment="1">
      <alignment horizontal="center" vertical="center"/>
    </xf>
    <xf numFmtId="0" fontId="38" fillId="22" borderId="15" xfId="0" applyFont="1" applyFill="1" applyBorder="1" applyAlignment="1">
      <alignment horizontal="center" vertical="center"/>
    </xf>
    <xf numFmtId="0" fontId="38" fillId="0" borderId="22" xfId="0" applyFont="1" applyBorder="1" applyAlignment="1">
      <alignment horizontal="left" vertical="center"/>
    </xf>
    <xf numFmtId="0" fontId="38" fillId="0" borderId="23" xfId="0" applyFont="1" applyBorder="1" applyAlignment="1">
      <alignment horizontal="center" vertical="center"/>
    </xf>
    <xf numFmtId="173" fontId="38" fillId="23" borderId="15" xfId="0" applyNumberFormat="1" applyFont="1" applyFill="1" applyBorder="1" applyAlignment="1">
      <alignment horizontal="right" vertical="center"/>
    </xf>
    <xf numFmtId="0" fontId="36" fillId="0" borderId="0" xfId="9"/>
    <xf numFmtId="170" fontId="8" fillId="0" borderId="15" xfId="10" applyNumberFormat="1" applyFont="1" applyFill="1" applyBorder="1" applyAlignment="1" applyProtection="1">
      <alignment horizontal="center" vertical="center"/>
    </xf>
    <xf numFmtId="0" fontId="8" fillId="0" borderId="41" xfId="9" applyFont="1" applyBorder="1" applyAlignment="1">
      <alignment horizontal="center"/>
    </xf>
    <xf numFmtId="175" fontId="8" fillId="0" borderId="15" xfId="10" applyFont="1" applyFill="1" applyBorder="1" applyAlignment="1" applyProtection="1">
      <alignment horizontal="center" vertical="center" wrapText="1"/>
    </xf>
    <xf numFmtId="175" fontId="8" fillId="0" borderId="16" xfId="10" applyFont="1" applyFill="1" applyBorder="1" applyAlignment="1" applyProtection="1">
      <alignment horizontal="center" vertical="center" wrapText="1"/>
    </xf>
    <xf numFmtId="0" fontId="8" fillId="0" borderId="15" xfId="9" applyFont="1" applyBorder="1" applyAlignment="1">
      <alignment horizontal="center" vertical="center" wrapText="1"/>
    </xf>
    <xf numFmtId="0" fontId="8" fillId="0" borderId="15" xfId="9" applyFont="1" applyBorder="1" applyAlignment="1">
      <alignment horizontal="center" vertical="center"/>
    </xf>
    <xf numFmtId="0" fontId="8" fillId="0" borderId="41" xfId="9" applyFont="1" applyBorder="1" applyAlignment="1">
      <alignment horizontal="center" vertical="center" wrapText="1"/>
    </xf>
    <xf numFmtId="0" fontId="8" fillId="0" borderId="39" xfId="9" applyFont="1" applyBorder="1" applyAlignment="1">
      <alignment horizontal="center" vertical="center" wrapText="1"/>
    </xf>
    <xf numFmtId="170" fontId="8" fillId="0" borderId="41" xfId="10" applyNumberFormat="1" applyFont="1" applyFill="1" applyBorder="1" applyAlignment="1" applyProtection="1">
      <alignment horizontal="center" vertical="center"/>
    </xf>
    <xf numFmtId="175" fontId="8" fillId="0" borderId="41" xfId="10" applyFont="1" applyFill="1" applyBorder="1" applyAlignment="1" applyProtection="1">
      <alignment horizontal="center" vertical="center" wrapText="1"/>
    </xf>
    <xf numFmtId="0" fontId="38" fillId="0" borderId="22" xfId="0" applyFont="1" applyBorder="1" applyAlignment="1">
      <alignment horizontal="center" vertical="center"/>
    </xf>
    <xf numFmtId="169" fontId="10" fillId="22" borderId="22" xfId="0" applyNumberFormat="1" applyFont="1" applyFill="1" applyBorder="1" applyAlignment="1">
      <alignment horizontal="center" vertical="center"/>
    </xf>
    <xf numFmtId="0" fontId="38" fillId="0" borderId="37" xfId="0" applyFont="1" applyBorder="1" applyAlignment="1">
      <alignment horizontal="center" vertical="center"/>
    </xf>
    <xf numFmtId="3" fontId="2" fillId="0" borderId="37" xfId="0" applyNumberFormat="1" applyFont="1" applyBorder="1" applyAlignment="1">
      <alignment horizontal="center" vertical="center"/>
    </xf>
    <xf numFmtId="0" fontId="38" fillId="0" borderId="22" xfId="0" applyFont="1" applyBorder="1" applyAlignment="1">
      <alignment horizontal="center" vertical="center"/>
    </xf>
    <xf numFmtId="0" fontId="8" fillId="24" borderId="0" xfId="9" applyFont="1" applyFill="1" applyBorder="1" applyAlignment="1">
      <alignment horizontal="center" vertical="center" wrapText="1"/>
    </xf>
    <xf numFmtId="0" fontId="8" fillId="25" borderId="0" xfId="9" applyFont="1" applyFill="1" applyBorder="1" applyAlignment="1">
      <alignment horizontal="center"/>
    </xf>
    <xf numFmtId="0" fontId="8" fillId="26" borderId="0" xfId="9" applyFont="1" applyFill="1" applyBorder="1" applyAlignment="1">
      <alignment horizontal="center" vertical="center"/>
    </xf>
    <xf numFmtId="170" fontId="8" fillId="26" borderId="0" xfId="10" applyNumberFormat="1" applyFont="1" applyFill="1" applyBorder="1" applyAlignment="1" applyProtection="1">
      <alignment horizontal="center" vertical="center"/>
    </xf>
    <xf numFmtId="170" fontId="8" fillId="25" borderId="0" xfId="10" applyNumberFormat="1" applyFont="1" applyFill="1" applyBorder="1" applyAlignment="1" applyProtection="1">
      <alignment horizontal="center" vertical="center"/>
    </xf>
    <xf numFmtId="174" fontId="38" fillId="23" borderId="37" xfId="0" applyNumberFormat="1" applyFont="1" applyFill="1" applyBorder="1" applyAlignment="1">
      <alignment horizontal="right" vertical="center"/>
    </xf>
    <xf numFmtId="0" fontId="38" fillId="0" borderId="22" xfId="0" applyFont="1" applyBorder="1" applyAlignment="1">
      <alignment horizontal="right" vertical="center"/>
    </xf>
    <xf numFmtId="170" fontId="40" fillId="0" borderId="37" xfId="0" applyNumberFormat="1" applyFont="1" applyBorder="1" applyAlignment="1">
      <alignment horizontal="right" vertical="center"/>
    </xf>
    <xf numFmtId="10" fontId="40" fillId="0" borderId="37" xfId="0" applyNumberFormat="1" applyFont="1" applyBorder="1" applyAlignment="1">
      <alignment horizontal="center" vertical="center"/>
    </xf>
    <xf numFmtId="171" fontId="40" fillId="0" borderId="1" xfId="0" applyNumberFormat="1" applyFont="1" applyBorder="1" applyAlignment="1">
      <alignment vertical="center"/>
    </xf>
    <xf numFmtId="176" fontId="0" fillId="0" borderId="0" xfId="10" applyNumberFormat="1" applyFont="1" applyFill="1" applyBorder="1" applyAlignment="1" applyProtection="1">
      <alignment horizontal="center" vertical="center"/>
    </xf>
    <xf numFmtId="176" fontId="8" fillId="0" borderId="0" xfId="10" applyNumberFormat="1" applyFont="1" applyFill="1" applyBorder="1" applyAlignment="1" applyProtection="1">
      <alignment horizontal="center" vertical="center"/>
    </xf>
    <xf numFmtId="170" fontId="43" fillId="0" borderId="0" xfId="9" applyNumberFormat="1" applyFont="1" applyFill="1" applyBorder="1" applyAlignment="1">
      <alignment horizontal="center"/>
    </xf>
    <xf numFmtId="0" fontId="36" fillId="0" borderId="0" xfId="9" applyFill="1" applyBorder="1" applyAlignment="1">
      <alignment horizontal="center" vertical="center"/>
    </xf>
    <xf numFmtId="0" fontId="36" fillId="0" borderId="0" xfId="9" applyFill="1" applyBorder="1"/>
    <xf numFmtId="0" fontId="8" fillId="0" borderId="0" xfId="9" applyFont="1" applyFill="1" applyBorder="1" applyAlignment="1">
      <alignment horizontal="right" vertical="center"/>
    </xf>
    <xf numFmtId="170" fontId="8" fillId="23" borderId="16" xfId="10" applyNumberFormat="1" applyFont="1" applyFill="1" applyBorder="1" applyAlignment="1" applyProtection="1">
      <alignment horizontal="center" vertical="center"/>
    </xf>
    <xf numFmtId="0" fontId="36" fillId="0" borderId="0" xfId="9" applyAlignment="1">
      <alignment wrapText="1"/>
    </xf>
    <xf numFmtId="0" fontId="8" fillId="27" borderId="15" xfId="9" applyFont="1" applyFill="1" applyBorder="1" applyAlignment="1">
      <alignment horizontal="center" vertical="center"/>
    </xf>
    <xf numFmtId="170" fontId="8" fillId="27" borderId="15" xfId="10" applyNumberFormat="1" applyFont="1" applyFill="1" applyBorder="1" applyAlignment="1" applyProtection="1">
      <alignment horizontal="center" vertical="center"/>
    </xf>
    <xf numFmtId="170" fontId="8" fillId="27" borderId="39" xfId="10" applyNumberFormat="1" applyFont="1" applyFill="1" applyBorder="1" applyAlignment="1" applyProtection="1">
      <alignment horizontal="center" vertical="center"/>
    </xf>
    <xf numFmtId="10" fontId="8" fillId="27" borderId="15" xfId="10" applyNumberFormat="1" applyFont="1" applyFill="1" applyBorder="1" applyAlignment="1" applyProtection="1">
      <alignment horizontal="center" vertical="center"/>
    </xf>
    <xf numFmtId="0" fontId="8" fillId="27" borderId="16" xfId="10" applyNumberFormat="1" applyFont="1" applyFill="1" applyBorder="1" applyAlignment="1" applyProtection="1">
      <alignment horizontal="center" vertical="center"/>
    </xf>
    <xf numFmtId="170" fontId="8" fillId="27" borderId="41" xfId="10" applyNumberFormat="1" applyFont="1" applyFill="1" applyBorder="1" applyAlignment="1" applyProtection="1">
      <alignment horizontal="center" vertical="center"/>
    </xf>
    <xf numFmtId="170" fontId="8" fillId="23" borderId="15" xfId="10" applyNumberFormat="1" applyFont="1" applyFill="1" applyBorder="1" applyAlignment="1" applyProtection="1">
      <alignment horizontal="center" vertical="center"/>
    </xf>
    <xf numFmtId="172" fontId="8" fillId="27" borderId="15" xfId="11" applyNumberFormat="1" applyFont="1" applyFill="1" applyBorder="1" applyAlignment="1" applyProtection="1">
      <alignment horizontal="center"/>
    </xf>
    <xf numFmtId="175" fontId="8" fillId="0" borderId="37" xfId="10" applyFont="1" applyFill="1" applyBorder="1" applyAlignment="1" applyProtection="1">
      <alignment horizontal="center" vertical="center" wrapText="1"/>
    </xf>
    <xf numFmtId="0" fontId="8" fillId="0" borderId="37" xfId="9" applyFont="1" applyBorder="1" applyAlignment="1">
      <alignment horizontal="center" vertical="center" wrapText="1"/>
    </xf>
    <xf numFmtId="175" fontId="8" fillId="0" borderId="42" xfId="10" applyFont="1" applyFill="1" applyBorder="1" applyAlignment="1" applyProtection="1">
      <alignment horizontal="center" vertical="center" wrapText="1"/>
    </xf>
    <xf numFmtId="10" fontId="8" fillId="27" borderId="1" xfId="10" applyNumberFormat="1" applyFont="1" applyFill="1" applyBorder="1" applyAlignment="1" applyProtection="1">
      <alignment horizontal="center" vertical="center"/>
    </xf>
    <xf numFmtId="0" fontId="8" fillId="27" borderId="1" xfId="10" applyNumberFormat="1" applyFont="1" applyFill="1" applyBorder="1" applyAlignment="1" applyProtection="1">
      <alignment horizontal="center" vertical="center"/>
    </xf>
    <xf numFmtId="172" fontId="38" fillId="23" borderId="41" xfId="0" applyNumberFormat="1" applyFont="1" applyFill="1" applyBorder="1" applyAlignment="1">
      <alignment horizontal="right" vertical="center"/>
    </xf>
    <xf numFmtId="0" fontId="22" fillId="0" borderId="1" xfId="0" applyFont="1" applyBorder="1" applyAlignment="1">
      <alignment horizontal="left" vertical="center"/>
    </xf>
    <xf numFmtId="172" fontId="38" fillId="0" borderId="15" xfId="0" applyNumberFormat="1" applyFont="1" applyBorder="1" applyAlignment="1">
      <alignment horizontal="right" vertical="center"/>
    </xf>
    <xf numFmtId="172" fontId="40" fillId="0" borderId="37" xfId="0" applyNumberFormat="1" applyFont="1" applyBorder="1" applyAlignment="1">
      <alignment horizontal="right" vertical="center"/>
    </xf>
    <xf numFmtId="172" fontId="40" fillId="0" borderId="15" xfId="0" applyNumberFormat="1" applyFont="1" applyBorder="1" applyAlignment="1">
      <alignment horizontal="right" vertical="center"/>
    </xf>
    <xf numFmtId="4" fontId="38" fillId="0" borderId="15" xfId="0" applyNumberFormat="1" applyFont="1" applyBorder="1" applyAlignment="1">
      <alignment horizontal="right" vertical="center"/>
    </xf>
    <xf numFmtId="0" fontId="38" fillId="0" borderId="15" xfId="0" applyFont="1" applyBorder="1" applyAlignment="1">
      <alignment horizontal="left" vertical="center"/>
    </xf>
    <xf numFmtId="0" fontId="38" fillId="0" borderId="22" xfId="0" applyFont="1" applyBorder="1" applyAlignment="1">
      <alignment horizontal="left" vertical="center"/>
    </xf>
    <xf numFmtId="0" fontId="38" fillId="0" borderId="15" xfId="0" applyFont="1" applyBorder="1" applyAlignment="1">
      <alignment horizontal="center" vertical="center"/>
    </xf>
    <xf numFmtId="10" fontId="38" fillId="0" borderId="15" xfId="0" applyNumberFormat="1" applyFont="1" applyBorder="1" applyAlignment="1">
      <alignment horizontal="center" vertical="center"/>
    </xf>
    <xf numFmtId="172" fontId="38" fillId="0" borderId="15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center"/>
    </xf>
    <xf numFmtId="172" fontId="10" fillId="11" borderId="32" xfId="3" applyNumberFormat="1" applyFont="1" applyFill="1" applyBorder="1" applyAlignment="1">
      <alignment horizontal="center" vertical="center"/>
    </xf>
    <xf numFmtId="172" fontId="10" fillId="11" borderId="56" xfId="3" applyNumberFormat="1" applyFont="1" applyFill="1" applyBorder="1" applyAlignment="1">
      <alignment horizontal="center" vertical="center"/>
    </xf>
    <xf numFmtId="172" fontId="10" fillId="11" borderId="24" xfId="3" applyNumberFormat="1" applyFont="1" applyFill="1" applyBorder="1" applyAlignment="1">
      <alignment horizontal="center" vertical="center"/>
    </xf>
    <xf numFmtId="172" fontId="10" fillId="11" borderId="29" xfId="3" applyNumberFormat="1" applyFont="1" applyFill="1" applyBorder="1" applyAlignment="1">
      <alignment horizontal="center" vertical="center"/>
    </xf>
    <xf numFmtId="0" fontId="2" fillId="11" borderId="28" xfId="0" applyFont="1" applyFill="1" applyBorder="1" applyAlignment="1">
      <alignment horizontal="center" vertical="center" wrapText="1"/>
    </xf>
    <xf numFmtId="0" fontId="2" fillId="11" borderId="26" xfId="0" applyFont="1" applyFill="1" applyBorder="1" applyAlignment="1">
      <alignment horizontal="center" vertical="center" wrapText="1"/>
    </xf>
    <xf numFmtId="172" fontId="10" fillId="11" borderId="30" xfId="3" applyNumberFormat="1" applyFont="1" applyFill="1" applyBorder="1" applyAlignment="1">
      <alignment horizontal="center" vertical="center"/>
    </xf>
    <xf numFmtId="0" fontId="2" fillId="11" borderId="57" xfId="0" applyFont="1" applyFill="1" applyBorder="1" applyAlignment="1">
      <alignment horizontal="center" vertical="center" wrapText="1"/>
    </xf>
    <xf numFmtId="172" fontId="10" fillId="11" borderId="58" xfId="3" applyNumberFormat="1" applyFont="1" applyFill="1" applyBorder="1" applyAlignment="1">
      <alignment horizontal="center" vertical="center"/>
    </xf>
    <xf numFmtId="0" fontId="2" fillId="11" borderId="56" xfId="0" applyFont="1" applyFill="1" applyBorder="1" applyAlignment="1">
      <alignment horizontal="center" vertical="center" wrapText="1"/>
    </xf>
    <xf numFmtId="167" fontId="7" fillId="31" borderId="18" xfId="9" applyNumberFormat="1" applyFont="1" applyFill="1" applyBorder="1" applyAlignment="1">
      <alignment horizontal="center" wrapText="1"/>
    </xf>
    <xf numFmtId="0" fontId="2" fillId="8" borderId="3" xfId="0" applyFont="1" applyFill="1" applyBorder="1" applyAlignment="1">
      <alignment horizontal="center" vertical="center"/>
    </xf>
    <xf numFmtId="0" fontId="2" fillId="8" borderId="19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 wrapText="1"/>
    </xf>
    <xf numFmtId="0" fontId="2" fillId="12" borderId="18" xfId="0" applyFont="1" applyFill="1" applyBorder="1" applyAlignment="1">
      <alignment horizontal="center" vertical="center" wrapText="1"/>
    </xf>
    <xf numFmtId="0" fontId="2" fillId="13" borderId="18" xfId="0" applyFont="1" applyFill="1" applyBorder="1" applyAlignment="1">
      <alignment horizontal="left" vertical="center" wrapText="1"/>
    </xf>
    <xf numFmtId="0" fontId="2" fillId="0" borderId="20" xfId="0" applyNumberFormat="1" applyFont="1" applyFill="1" applyBorder="1" applyAlignment="1">
      <alignment horizontal="center" vertical="center"/>
    </xf>
    <xf numFmtId="0" fontId="0" fillId="0" borderId="1" xfId="0" applyBorder="1"/>
    <xf numFmtId="0" fontId="16" fillId="3" borderId="1" xfId="0" applyFont="1" applyFill="1" applyBorder="1" applyAlignment="1">
      <alignment horizontal="center" vertical="center"/>
    </xf>
    <xf numFmtId="172" fontId="16" fillId="3" borderId="1" xfId="3" applyNumberFormat="1" applyFont="1" applyFill="1" applyBorder="1" applyAlignment="1">
      <alignment horizontal="center" vertical="center"/>
    </xf>
    <xf numFmtId="172" fontId="9" fillId="2" borderId="4" xfId="3" applyNumberFormat="1" applyFont="1" applyFill="1" applyBorder="1" applyAlignment="1">
      <alignment horizontal="center" vertical="center"/>
    </xf>
    <xf numFmtId="0" fontId="2" fillId="8" borderId="58" xfId="0" applyFont="1" applyFill="1" applyBorder="1" applyAlignment="1">
      <alignment horizontal="center" vertical="center" wrapText="1"/>
    </xf>
    <xf numFmtId="0" fontId="2" fillId="8" borderId="59" xfId="0" applyFont="1" applyFill="1" applyBorder="1" applyAlignment="1">
      <alignment horizontal="center" vertical="center" wrapText="1"/>
    </xf>
    <xf numFmtId="0" fontId="2" fillId="8" borderId="6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45" xfId="0" applyBorder="1"/>
    <xf numFmtId="0" fontId="0" fillId="0" borderId="46" xfId="0" applyBorder="1"/>
    <xf numFmtId="0" fontId="0" fillId="0" borderId="18" xfId="0" applyBorder="1"/>
    <xf numFmtId="0" fontId="0" fillId="0" borderId="25" xfId="0" applyBorder="1"/>
    <xf numFmtId="0" fontId="29" fillId="0" borderId="0" xfId="0" applyFont="1" applyAlignment="1">
      <alignment horizontal="left"/>
    </xf>
    <xf numFmtId="0" fontId="29" fillId="0" borderId="19" xfId="0" applyFont="1" applyBorder="1" applyAlignment="1">
      <alignment horizontal="left"/>
    </xf>
    <xf numFmtId="0" fontId="49" fillId="0" borderId="25" xfId="0" applyFont="1" applyBorder="1" applyAlignment="1">
      <alignment horizontal="left"/>
    </xf>
    <xf numFmtId="0" fontId="29" fillId="0" borderId="46" xfId="0" applyFont="1" applyBorder="1" applyAlignment="1">
      <alignment horizontal="left"/>
    </xf>
    <xf numFmtId="0" fontId="29" fillId="0" borderId="59" xfId="0" applyFont="1" applyBorder="1" applyAlignment="1">
      <alignment horizontal="left"/>
    </xf>
    <xf numFmtId="10" fontId="0" fillId="0" borderId="1" xfId="0" applyNumberFormat="1" applyBorder="1" applyAlignment="1">
      <alignment horizontal="center"/>
    </xf>
    <xf numFmtId="10" fontId="0" fillId="23" borderId="1" xfId="0" applyNumberFormat="1" applyFill="1" applyBorder="1" applyAlignment="1">
      <alignment horizontal="center"/>
    </xf>
    <xf numFmtId="10" fontId="0" fillId="23" borderId="1" xfId="0" applyNumberFormat="1" applyFont="1" applyFill="1" applyBorder="1" applyAlignment="1">
      <alignment horizontal="center" vertical="center"/>
    </xf>
    <xf numFmtId="0" fontId="29" fillId="0" borderId="4" xfId="0" applyFont="1" applyBorder="1" applyAlignment="1">
      <alignment horizontal="left"/>
    </xf>
    <xf numFmtId="0" fontId="46" fillId="0" borderId="0" xfId="0" applyFont="1" applyBorder="1" applyAlignment="1">
      <alignment horizontal="left" vertical="center"/>
    </xf>
    <xf numFmtId="0" fontId="46" fillId="0" borderId="3" xfId="0" applyFont="1" applyBorder="1" applyAlignment="1">
      <alignment horizontal="left" vertical="center"/>
    </xf>
    <xf numFmtId="0" fontId="36" fillId="0" borderId="1" xfId="9" applyBorder="1" applyAlignment="1">
      <alignment horizontal="center" vertical="center"/>
    </xf>
    <xf numFmtId="172" fontId="38" fillId="23" borderId="15" xfId="0" applyNumberFormat="1" applyFont="1" applyFill="1" applyBorder="1" applyAlignment="1">
      <alignment horizontal="right" vertical="center"/>
    </xf>
    <xf numFmtId="0" fontId="0" fillId="0" borderId="25" xfId="0" applyBorder="1" applyAlignment="1">
      <alignment horizontal="left" vertical="center"/>
    </xf>
    <xf numFmtId="9" fontId="38" fillId="23" borderId="15" xfId="0" applyNumberFormat="1" applyFont="1" applyFill="1" applyBorder="1" applyAlignment="1">
      <alignment horizontal="center" vertical="center"/>
    </xf>
    <xf numFmtId="10" fontId="38" fillId="33" borderId="15" xfId="0" applyNumberFormat="1" applyFont="1" applyFill="1" applyBorder="1" applyAlignment="1">
      <alignment horizontal="center" vertical="center"/>
    </xf>
    <xf numFmtId="2" fontId="38" fillId="23" borderId="15" xfId="0" applyNumberFormat="1" applyFont="1" applyFill="1" applyBorder="1" applyAlignment="1">
      <alignment horizontal="center" vertical="center"/>
    </xf>
    <xf numFmtId="169" fontId="7" fillId="23" borderId="15" xfId="0" applyNumberFormat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7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38" fillId="23" borderId="1" xfId="0" applyFont="1" applyFill="1" applyBorder="1" applyAlignment="1">
      <alignment horizontal="center" vertical="center"/>
    </xf>
    <xf numFmtId="0" fontId="38" fillId="0" borderId="4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10" fontId="38" fillId="25" borderId="1" xfId="0" applyNumberFormat="1" applyFont="1" applyFill="1" applyBorder="1" applyAlignment="1">
      <alignment horizontal="center" vertical="center"/>
    </xf>
    <xf numFmtId="10" fontId="0" fillId="23" borderId="1" xfId="0" applyNumberFormat="1" applyFill="1" applyBorder="1" applyAlignment="1">
      <alignment horizontal="center" vertical="center"/>
    </xf>
    <xf numFmtId="10" fontId="38" fillId="0" borderId="41" xfId="0" applyNumberFormat="1" applyFont="1" applyBorder="1" applyAlignment="1">
      <alignment horizontal="center" vertical="center"/>
    </xf>
    <xf numFmtId="0" fontId="38" fillId="0" borderId="16" xfId="0" applyFont="1" applyBorder="1" applyAlignment="1">
      <alignment horizontal="center" vertical="center"/>
    </xf>
    <xf numFmtId="10" fontId="38" fillId="0" borderId="1" xfId="0" applyNumberFormat="1" applyFont="1" applyBorder="1" applyAlignment="1">
      <alignment horizontal="center" vertical="center"/>
    </xf>
    <xf numFmtId="0" fontId="38" fillId="23" borderId="22" xfId="0" applyFont="1" applyFill="1" applyBorder="1" applyAlignment="1">
      <alignment horizontal="center" vertical="center"/>
    </xf>
    <xf numFmtId="10" fontId="38" fillId="0" borderId="23" xfId="0" applyNumberFormat="1" applyFont="1" applyBorder="1" applyAlignment="1">
      <alignment horizontal="center" vertical="center"/>
    </xf>
    <xf numFmtId="9" fontId="38" fillId="23" borderId="41" xfId="0" applyNumberFormat="1" applyFont="1" applyFill="1" applyBorder="1" applyAlignment="1">
      <alignment horizontal="center" vertical="center"/>
    </xf>
    <xf numFmtId="10" fontId="38" fillId="0" borderId="64" xfId="0" applyNumberFormat="1" applyFont="1" applyBorder="1" applyAlignment="1">
      <alignment horizontal="center" vertical="center"/>
    </xf>
    <xf numFmtId="0" fontId="38" fillId="0" borderId="66" xfId="0" applyFont="1" applyBorder="1" applyAlignment="1">
      <alignment horizontal="left" vertical="center"/>
    </xf>
    <xf numFmtId="10" fontId="38" fillId="0" borderId="65" xfId="0" applyNumberFormat="1" applyFont="1" applyBorder="1" applyAlignment="1">
      <alignment horizontal="center" vertical="center"/>
    </xf>
    <xf numFmtId="0" fontId="38" fillId="0" borderId="68" xfId="0" applyFont="1" applyBorder="1" applyAlignment="1">
      <alignment horizontal="center" vertical="center"/>
    </xf>
    <xf numFmtId="0" fontId="52" fillId="0" borderId="0" xfId="0" applyFont="1" applyBorder="1" applyAlignment="1">
      <alignment horizontal="center" vertical="center"/>
    </xf>
    <xf numFmtId="172" fontId="0" fillId="0" borderId="5" xfId="0" applyNumberFormat="1" applyBorder="1" applyAlignment="1">
      <alignment horizontal="right"/>
    </xf>
    <xf numFmtId="172" fontId="0" fillId="0" borderId="1" xfId="0" applyNumberFormat="1" applyBorder="1" applyAlignment="1">
      <alignment horizontal="right"/>
    </xf>
    <xf numFmtId="0" fontId="38" fillId="0" borderId="65" xfId="0" applyFont="1" applyBorder="1" applyAlignment="1">
      <alignment horizontal="center" vertical="center" wrapText="1"/>
    </xf>
    <xf numFmtId="0" fontId="38" fillId="0" borderId="65" xfId="0" applyFont="1" applyBorder="1" applyAlignment="1">
      <alignment vertical="center" wrapText="1"/>
    </xf>
    <xf numFmtId="179" fontId="38" fillId="34" borderId="65" xfId="0" applyNumberFormat="1" applyFont="1" applyFill="1" applyBorder="1" applyAlignment="1">
      <alignment horizontal="center" vertical="center"/>
    </xf>
    <xf numFmtId="172" fontId="41" fillId="0" borderId="65" xfId="13" applyNumberFormat="1" applyFont="1" applyBorder="1" applyAlignment="1">
      <alignment horizontal="center" vertical="center" wrapText="1"/>
    </xf>
    <xf numFmtId="0" fontId="26" fillId="11" borderId="34" xfId="0" applyNumberFormat="1" applyFont="1" applyFill="1" applyBorder="1" applyAlignment="1">
      <alignment horizontal="center" vertical="center" wrapText="1"/>
    </xf>
    <xf numFmtId="170" fontId="27" fillId="11" borderId="34" xfId="0" applyNumberFormat="1" applyFont="1" applyFill="1" applyBorder="1" applyAlignment="1">
      <alignment horizontal="center" vertical="center"/>
    </xf>
    <xf numFmtId="0" fontId="10" fillId="25" borderId="1" xfId="0" applyNumberFormat="1" applyFont="1" applyFill="1" applyBorder="1" applyAlignment="1">
      <alignment horizontal="center" vertical="center" wrapText="1"/>
    </xf>
    <xf numFmtId="0" fontId="10" fillId="25" borderId="34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/>
    <xf numFmtId="0" fontId="13" fillId="0" borderId="0" xfId="0" applyNumberFormat="1" applyFont="1" applyBorder="1"/>
    <xf numFmtId="0" fontId="4" fillId="0" borderId="0" xfId="0" applyNumberFormat="1" applyFont="1" applyFill="1" applyBorder="1" applyAlignment="1">
      <alignment horizontal="left"/>
    </xf>
    <xf numFmtId="0" fontId="0" fillId="0" borderId="0" xfId="0" applyAlignment="1"/>
    <xf numFmtId="170" fontId="13" fillId="0" borderId="1" xfId="0" applyNumberFormat="1" applyFont="1" applyFill="1" applyBorder="1" applyAlignment="1">
      <alignment horizontal="center" vertical="center"/>
    </xf>
    <xf numFmtId="172" fontId="0" fillId="0" borderId="0" xfId="0" applyNumberFormat="1"/>
    <xf numFmtId="0" fontId="0" fillId="0" borderId="0" xfId="0" applyFill="1" applyBorder="1" applyAlignment="1"/>
    <xf numFmtId="0" fontId="8" fillId="0" borderId="0" xfId="0" applyFont="1" applyFill="1" applyBorder="1" applyAlignment="1">
      <alignment horizontal="left" vertical="center"/>
    </xf>
    <xf numFmtId="0" fontId="56" fillId="0" borderId="0" xfId="0" applyFont="1" applyAlignment="1">
      <alignment horizontal="left" vertical="center"/>
    </xf>
    <xf numFmtId="166" fontId="35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justify" vertical="center"/>
    </xf>
    <xf numFmtId="172" fontId="35" fillId="0" borderId="0" xfId="0" applyNumberFormat="1" applyFont="1" applyFill="1" applyBorder="1" applyAlignment="1">
      <alignment horizontal="center" vertical="center"/>
    </xf>
    <xf numFmtId="9" fontId="35" fillId="0" borderId="0" xfId="4" applyNumberFormat="1" applyFont="1" applyFill="1" applyBorder="1" applyAlignment="1">
      <alignment horizontal="center" vertical="center"/>
    </xf>
    <xf numFmtId="172" fontId="14" fillId="0" borderId="1" xfId="3" applyNumberFormat="1" applyFont="1" applyFill="1" applyBorder="1" applyAlignment="1">
      <alignment horizontal="center" vertical="center"/>
    </xf>
    <xf numFmtId="172" fontId="10" fillId="11" borderId="54" xfId="3" applyNumberFormat="1" applyFont="1" applyFill="1" applyBorder="1" applyAlignment="1">
      <alignment horizontal="center" vertical="center"/>
    </xf>
    <xf numFmtId="172" fontId="10" fillId="11" borderId="57" xfId="3" applyNumberFormat="1" applyFont="1" applyFill="1" applyBorder="1" applyAlignment="1">
      <alignment horizontal="center" vertical="center"/>
    </xf>
    <xf numFmtId="172" fontId="10" fillId="11" borderId="77" xfId="3" applyNumberFormat="1" applyFont="1" applyFill="1" applyBorder="1" applyAlignment="1">
      <alignment horizontal="center" vertical="center"/>
    </xf>
    <xf numFmtId="172" fontId="2" fillId="0" borderId="0" xfId="0" applyNumberFormat="1" applyFont="1" applyFill="1" applyAlignment="1">
      <alignment horizontal="center" vertical="center" wrapText="1"/>
    </xf>
    <xf numFmtId="170" fontId="22" fillId="25" borderId="1" xfId="0" applyNumberFormat="1" applyFont="1" applyFill="1" applyBorder="1" applyAlignment="1">
      <alignment horizontal="center" vertical="center"/>
    </xf>
    <xf numFmtId="170" fontId="22" fillId="25" borderId="34" xfId="0" applyNumberFormat="1" applyFont="1" applyFill="1" applyBorder="1" applyAlignment="1">
      <alignment horizontal="center" vertical="center"/>
    </xf>
    <xf numFmtId="170" fontId="22" fillId="25" borderId="7" xfId="0" applyNumberFormat="1" applyFont="1" applyFill="1" applyBorder="1" applyAlignment="1">
      <alignment horizontal="center" vertical="center"/>
    </xf>
    <xf numFmtId="7" fontId="10" fillId="11" borderId="13" xfId="3" applyNumberFormat="1" applyFont="1" applyFill="1" applyBorder="1" applyAlignment="1">
      <alignment horizontal="center" vertical="center"/>
    </xf>
    <xf numFmtId="7" fontId="10" fillId="11" borderId="80" xfId="3" applyNumberFormat="1" applyFont="1" applyFill="1" applyBorder="1" applyAlignment="1">
      <alignment horizontal="center" vertical="center"/>
    </xf>
    <xf numFmtId="7" fontId="10" fillId="11" borderId="56" xfId="3" applyNumberFormat="1" applyFont="1" applyFill="1" applyBorder="1" applyAlignment="1">
      <alignment horizontal="center" vertical="center"/>
    </xf>
    <xf numFmtId="0" fontId="38" fillId="37" borderId="25" xfId="0" applyNumberFormat="1" applyFont="1" applyFill="1" applyBorder="1" applyAlignment="1">
      <alignment horizontal="left" vertical="center"/>
    </xf>
    <xf numFmtId="9" fontId="22" fillId="0" borderId="1" xfId="4" applyNumberFormat="1" applyFont="1" applyBorder="1" applyAlignment="1">
      <alignment horizontal="center" vertical="center"/>
    </xf>
    <xf numFmtId="0" fontId="13" fillId="37" borderId="16" xfId="0" applyFont="1" applyFill="1" applyBorder="1" applyAlignment="1">
      <alignment horizontal="justify" vertical="center"/>
    </xf>
    <xf numFmtId="172" fontId="21" fillId="29" borderId="5" xfId="0" applyNumberFormat="1" applyFont="1" applyFill="1" applyBorder="1" applyAlignment="1">
      <alignment horizontal="center" vertical="center"/>
    </xf>
    <xf numFmtId="172" fontId="2" fillId="1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7" fontId="0" fillId="0" borderId="0" xfId="0" applyNumberFormat="1" applyBorder="1"/>
    <xf numFmtId="7" fontId="10" fillId="11" borderId="32" xfId="3" applyNumberFormat="1" applyFont="1" applyFill="1" applyBorder="1" applyAlignment="1">
      <alignment horizontal="center" vertical="center"/>
    </xf>
    <xf numFmtId="7" fontId="10" fillId="11" borderId="77" xfId="3" applyNumberFormat="1" applyFont="1" applyFill="1" applyBorder="1" applyAlignment="1">
      <alignment horizontal="center" vertical="center"/>
    </xf>
    <xf numFmtId="7" fontId="10" fillId="11" borderId="81" xfId="3" applyNumberFormat="1" applyFont="1" applyFill="1" applyBorder="1" applyAlignment="1">
      <alignment horizontal="center" vertical="center"/>
    </xf>
    <xf numFmtId="7" fontId="10" fillId="11" borderId="58" xfId="3" applyNumberFormat="1" applyFont="1" applyFill="1" applyBorder="1" applyAlignment="1">
      <alignment horizontal="center" vertical="center"/>
    </xf>
    <xf numFmtId="7" fontId="10" fillId="11" borderId="29" xfId="3" applyNumberFormat="1" applyFont="1" applyFill="1" applyBorder="1" applyAlignment="1">
      <alignment horizontal="center" vertical="center"/>
    </xf>
    <xf numFmtId="7" fontId="10" fillId="11" borderId="30" xfId="3" applyNumberFormat="1" applyFont="1" applyFill="1" applyBorder="1" applyAlignment="1">
      <alignment horizontal="center" vertical="center"/>
    </xf>
    <xf numFmtId="0" fontId="0" fillId="0" borderId="47" xfId="0" applyBorder="1"/>
    <xf numFmtId="7" fontId="0" fillId="0" borderId="0" xfId="0" applyNumberFormat="1"/>
    <xf numFmtId="172" fontId="36" fillId="0" borderId="0" xfId="9" applyNumberFormat="1"/>
    <xf numFmtId="0" fontId="37" fillId="31" borderId="10" xfId="9" applyFont="1" applyFill="1" applyBorder="1" applyAlignment="1">
      <alignment horizontal="center" vertical="center" wrapText="1"/>
    </xf>
    <xf numFmtId="172" fontId="14" fillId="36" borderId="1" xfId="3" applyNumberFormat="1" applyFont="1" applyFill="1" applyBorder="1" applyAlignment="1">
      <alignment horizontal="center" vertical="center" wrapText="1"/>
    </xf>
    <xf numFmtId="0" fontId="38" fillId="0" borderId="16" xfId="0" applyFont="1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8" fillId="0" borderId="0" xfId="9" applyFont="1" applyAlignment="1">
      <alignment horizontal="center" vertical="center"/>
    </xf>
    <xf numFmtId="170" fontId="8" fillId="23" borderId="1" xfId="11" applyNumberFormat="1" applyFont="1" applyFill="1" applyBorder="1" applyAlignment="1" applyProtection="1">
      <alignment horizontal="center"/>
    </xf>
    <xf numFmtId="170" fontId="8" fillId="23" borderId="15" xfId="11" applyNumberFormat="1" applyFont="1" applyFill="1" applyBorder="1" applyAlignment="1" applyProtection="1">
      <alignment horizontal="center"/>
    </xf>
    <xf numFmtId="0" fontId="8" fillId="25" borderId="41" xfId="9" applyFont="1" applyFill="1" applyBorder="1" applyAlignment="1">
      <alignment horizontal="center" vertical="center" wrapText="1"/>
    </xf>
    <xf numFmtId="175" fontId="8" fillId="25" borderId="16" xfId="10" applyFont="1" applyFill="1" applyBorder="1" applyAlignment="1" applyProtection="1">
      <alignment horizontal="center" vertical="center" wrapText="1"/>
    </xf>
    <xf numFmtId="10" fontId="8" fillId="23" borderId="16" xfId="10" applyNumberFormat="1" applyFont="1" applyFill="1" applyBorder="1" applyAlignment="1" applyProtection="1">
      <alignment horizontal="center" vertical="center"/>
    </xf>
    <xf numFmtId="0" fontId="38" fillId="0" borderId="17" xfId="0" applyFont="1" applyFill="1" applyBorder="1" applyAlignment="1">
      <alignment horizontal="center" vertical="center"/>
    </xf>
    <xf numFmtId="1" fontId="38" fillId="34" borderId="69" xfId="0" applyNumberFormat="1" applyFont="1" applyFill="1" applyBorder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172" fontId="38" fillId="23" borderId="15" xfId="0" applyNumberFormat="1" applyFont="1" applyFill="1" applyBorder="1" applyAlignment="1">
      <alignment vertical="center"/>
    </xf>
    <xf numFmtId="0" fontId="7" fillId="0" borderId="0" xfId="0" applyNumberFormat="1" applyFont="1" applyAlignment="1">
      <alignment horizontal="center" vertical="center"/>
    </xf>
    <xf numFmtId="0" fontId="38" fillId="0" borderId="16" xfId="0" applyFont="1" applyBorder="1" applyAlignment="1">
      <alignment horizontal="left" vertical="center"/>
    </xf>
    <xf numFmtId="10" fontId="38" fillId="0" borderId="15" xfId="0" applyNumberFormat="1" applyFont="1" applyBorder="1" applyAlignment="1">
      <alignment horizontal="center" vertical="center"/>
    </xf>
    <xf numFmtId="0" fontId="38" fillId="0" borderId="39" xfId="0" applyFont="1" applyBorder="1" applyAlignment="1">
      <alignment horizontal="left" vertical="center"/>
    </xf>
    <xf numFmtId="0" fontId="41" fillId="1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" fontId="38" fillId="0" borderId="1" xfId="0" applyNumberFormat="1" applyFont="1" applyBorder="1" applyAlignment="1">
      <alignment horizontal="center" vertical="center"/>
    </xf>
    <xf numFmtId="166" fontId="38" fillId="0" borderId="1" xfId="0" applyNumberFormat="1" applyFont="1" applyBorder="1" applyAlignment="1">
      <alignment horizontal="center" vertical="center"/>
    </xf>
    <xf numFmtId="166" fontId="38" fillId="0" borderId="1" xfId="0" applyNumberFormat="1" applyFont="1" applyFill="1" applyBorder="1" applyAlignment="1">
      <alignment horizontal="center" vertical="center"/>
    </xf>
    <xf numFmtId="0" fontId="38" fillId="38" borderId="65" xfId="0" applyFont="1" applyFill="1" applyBorder="1" applyAlignment="1">
      <alignment horizontal="center" vertical="center"/>
    </xf>
    <xf numFmtId="0" fontId="41" fillId="36" borderId="71" xfId="0" applyFont="1" applyFill="1" applyBorder="1" applyAlignment="1">
      <alignment horizontal="center" vertical="center" wrapText="1"/>
    </xf>
    <xf numFmtId="0" fontId="50" fillId="25" borderId="0" xfId="0" applyFont="1" applyFill="1" applyBorder="1" applyAlignment="1">
      <alignment horizontal="center" vertical="center" wrapText="1"/>
    </xf>
    <xf numFmtId="0" fontId="36" fillId="25" borderId="0" xfId="9" applyFill="1"/>
    <xf numFmtId="0" fontId="41" fillId="36" borderId="68" xfId="0" applyFont="1" applyFill="1" applyBorder="1" applyAlignment="1">
      <alignment horizontal="center" vertical="center" wrapText="1"/>
    </xf>
    <xf numFmtId="178" fontId="41" fillId="36" borderId="3" xfId="13" applyFont="1" applyFill="1" applyBorder="1" applyAlignment="1">
      <alignment horizontal="center" vertical="center" wrapText="1"/>
    </xf>
    <xf numFmtId="0" fontId="2" fillId="25" borderId="0" xfId="0" applyFont="1" applyFill="1" applyAlignment="1">
      <alignment horizontal="center" vertical="center" wrapText="1"/>
    </xf>
    <xf numFmtId="172" fontId="41" fillId="0" borderId="67" xfId="13" applyNumberFormat="1" applyFont="1" applyBorder="1" applyAlignment="1">
      <alignment horizontal="center" vertical="center" wrapText="1"/>
    </xf>
    <xf numFmtId="0" fontId="36" fillId="0" borderId="0" xfId="9" applyBorder="1"/>
    <xf numFmtId="0" fontId="38" fillId="0" borderId="69" xfId="0" applyFont="1" applyBorder="1" applyAlignment="1">
      <alignment horizontal="center" vertical="center" wrapText="1"/>
    </xf>
    <xf numFmtId="0" fontId="54" fillId="25" borderId="0" xfId="0" applyFont="1" applyFill="1" applyBorder="1" applyAlignment="1">
      <alignment horizontal="right" vertical="center" wrapText="1"/>
    </xf>
    <xf numFmtId="0" fontId="36" fillId="25" borderId="0" xfId="9" applyFill="1" applyBorder="1"/>
    <xf numFmtId="0" fontId="38" fillId="0" borderId="65" xfId="0" applyFont="1" applyBorder="1" applyAlignment="1">
      <alignment horizontal="left" vertical="center" wrapText="1"/>
    </xf>
    <xf numFmtId="0" fontId="38" fillId="0" borderId="67" xfId="0" applyFont="1" applyBorder="1" applyAlignment="1">
      <alignment vertical="center" wrapText="1"/>
    </xf>
    <xf numFmtId="0" fontId="36" fillId="0" borderId="54" xfId="9" applyBorder="1"/>
    <xf numFmtId="0" fontId="38" fillId="0" borderId="85" xfId="0" applyFont="1" applyBorder="1" applyAlignment="1">
      <alignment horizontal="left" vertical="center"/>
    </xf>
    <xf numFmtId="10" fontId="38" fillId="22" borderId="61" xfId="0" applyNumberFormat="1" applyFont="1" applyFill="1" applyBorder="1" applyAlignment="1">
      <alignment horizontal="center" vertical="center"/>
    </xf>
    <xf numFmtId="0" fontId="38" fillId="0" borderId="45" xfId="0" applyFont="1" applyBorder="1" applyAlignment="1">
      <alignment horizontal="left" vertical="center"/>
    </xf>
    <xf numFmtId="10" fontId="38" fillId="34" borderId="9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38" fillId="0" borderId="96" xfId="0" applyFont="1" applyBorder="1" applyAlignment="1">
      <alignment horizontal="left" vertical="center"/>
    </xf>
    <xf numFmtId="1" fontId="38" fillId="22" borderId="61" xfId="0" applyNumberFormat="1" applyFont="1" applyFill="1" applyBorder="1" applyAlignment="1">
      <alignment horizontal="center" vertical="center"/>
    </xf>
    <xf numFmtId="0" fontId="38" fillId="0" borderId="96" xfId="0" applyFont="1" applyBorder="1" applyAlignment="1">
      <alignment horizontal="right" vertical="center"/>
    </xf>
    <xf numFmtId="0" fontId="38" fillId="0" borderId="97" xfId="0" applyFont="1" applyBorder="1" applyAlignment="1">
      <alignment horizontal="left" vertical="center"/>
    </xf>
    <xf numFmtId="0" fontId="38" fillId="0" borderId="100" xfId="0" applyFont="1" applyBorder="1" applyAlignment="1">
      <alignment horizontal="left" vertical="center"/>
    </xf>
    <xf numFmtId="0" fontId="38" fillId="0" borderId="95" xfId="0" applyFont="1" applyBorder="1" applyAlignment="1">
      <alignment horizontal="left" vertical="center"/>
    </xf>
    <xf numFmtId="0" fontId="38" fillId="0" borderId="102" xfId="0" applyFont="1" applyBorder="1" applyAlignment="1">
      <alignment horizontal="left" vertical="center"/>
    </xf>
    <xf numFmtId="2" fontId="0" fillId="0" borderId="0" xfId="0" applyNumberFormat="1" applyBorder="1" applyAlignment="1">
      <alignment horizontal="center" vertical="center" wrapText="1"/>
    </xf>
    <xf numFmtId="2" fontId="8" fillId="0" borderId="41" xfId="9" applyNumberFormat="1" applyFont="1" applyBorder="1" applyAlignment="1">
      <alignment horizontal="center"/>
    </xf>
    <xf numFmtId="2" fontId="52" fillId="0" borderId="0" xfId="0" applyNumberFormat="1" applyFont="1" applyAlignment="1">
      <alignment horizontal="center" vertical="center"/>
    </xf>
    <xf numFmtId="1" fontId="38" fillId="34" borderId="104" xfId="0" applyNumberFormat="1" applyFont="1" applyFill="1" applyBorder="1" applyAlignment="1">
      <alignment horizontal="center" vertical="center"/>
    </xf>
    <xf numFmtId="2" fontId="38" fillId="38" borderId="4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8" fillId="0" borderId="41" xfId="0" applyFont="1" applyBorder="1" applyAlignment="1">
      <alignment horizontal="right" vertical="center"/>
    </xf>
    <xf numFmtId="10" fontId="0" fillId="0" borderId="1" xfId="0" applyNumberFormat="1" applyFont="1" applyBorder="1" applyAlignment="1">
      <alignment horizontal="center" vertical="center"/>
    </xf>
    <xf numFmtId="0" fontId="0" fillId="0" borderId="45" xfId="0" applyFont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38" fillId="0" borderId="45" xfId="0" applyFont="1" applyBorder="1" applyAlignment="1">
      <alignment horizontal="right" vertical="center"/>
    </xf>
    <xf numFmtId="0" fontId="0" fillId="0" borderId="45" xfId="0" applyBorder="1" applyAlignment="1">
      <alignment horizontal="right" vertical="center"/>
    </xf>
    <xf numFmtId="172" fontId="38" fillId="0" borderId="35" xfId="0" applyNumberFormat="1" applyFont="1" applyBorder="1" applyAlignment="1">
      <alignment horizontal="right" vertical="center"/>
    </xf>
    <xf numFmtId="172" fontId="38" fillId="0" borderId="16" xfId="0" applyNumberFormat="1" applyFont="1" applyBorder="1" applyAlignment="1">
      <alignment horizontal="right" vertical="center"/>
    </xf>
    <xf numFmtId="0" fontId="52" fillId="0" borderId="2" xfId="0" applyFont="1" applyBorder="1" applyAlignment="1">
      <alignment horizontal="center" vertical="center"/>
    </xf>
    <xf numFmtId="0" fontId="52" fillId="0" borderId="93" xfId="0" applyFont="1" applyBorder="1" applyAlignment="1">
      <alignment horizontal="center" vertical="center"/>
    </xf>
    <xf numFmtId="0" fontId="52" fillId="0" borderId="3" xfId="0" applyFont="1" applyBorder="1" applyAlignment="1">
      <alignment horizontal="center" vertical="center"/>
    </xf>
    <xf numFmtId="7" fontId="41" fillId="30" borderId="56" xfId="3" applyNumberFormat="1" applyFont="1" applyFill="1" applyBorder="1" applyAlignment="1">
      <alignment horizontal="center" vertical="center"/>
    </xf>
    <xf numFmtId="172" fontId="41" fillId="30" borderId="56" xfId="3" applyNumberFormat="1" applyFont="1" applyFill="1" applyBorder="1" applyAlignment="1">
      <alignment horizontal="center" vertical="center"/>
    </xf>
    <xf numFmtId="0" fontId="38" fillId="30" borderId="38" xfId="0" applyFont="1" applyFill="1" applyBorder="1" applyAlignment="1">
      <alignment horizontal="center" vertical="center"/>
    </xf>
    <xf numFmtId="0" fontId="38" fillId="30" borderId="36" xfId="0" applyFont="1" applyFill="1" applyBorder="1" applyAlignment="1">
      <alignment horizontal="left" vertical="center"/>
    </xf>
    <xf numFmtId="0" fontId="54" fillId="30" borderId="42" xfId="0" applyFont="1" applyFill="1" applyBorder="1" applyAlignment="1">
      <alignment horizontal="right" vertical="center"/>
    </xf>
    <xf numFmtId="172" fontId="54" fillId="30" borderId="15" xfId="0" applyNumberFormat="1" applyFont="1" applyFill="1" applyBorder="1" applyAlignment="1">
      <alignment horizontal="right" vertical="center"/>
    </xf>
    <xf numFmtId="172" fontId="41" fillId="30" borderId="58" xfId="3" applyNumberFormat="1" applyFont="1" applyFill="1" applyBorder="1" applyAlignment="1">
      <alignment horizontal="center" vertical="center"/>
    </xf>
    <xf numFmtId="170" fontId="41" fillId="40" borderId="8" xfId="0" applyNumberFormat="1" applyFont="1" applyFill="1" applyBorder="1" applyAlignment="1">
      <alignment horizontal="center" vertical="center"/>
    </xf>
    <xf numFmtId="170" fontId="41" fillId="40" borderId="1" xfId="0" applyNumberFormat="1" applyFont="1" applyFill="1" applyBorder="1" applyAlignment="1">
      <alignment horizontal="center" vertical="center"/>
    </xf>
    <xf numFmtId="170" fontId="41" fillId="40" borderId="74" xfId="0" applyNumberFormat="1" applyFont="1" applyFill="1" applyBorder="1" applyAlignment="1">
      <alignment horizontal="center" vertical="center"/>
    </xf>
    <xf numFmtId="170" fontId="41" fillId="40" borderId="6" xfId="0" applyNumberFormat="1" applyFont="1" applyFill="1" applyBorder="1" applyAlignment="1">
      <alignment horizontal="center" vertical="center"/>
    </xf>
    <xf numFmtId="170" fontId="26" fillId="11" borderId="76" xfId="0" applyNumberFormat="1" applyFont="1" applyFill="1" applyBorder="1" applyAlignment="1">
      <alignment horizontal="center" vertical="center"/>
    </xf>
    <xf numFmtId="170" fontId="26" fillId="11" borderId="56" xfId="0" applyNumberFormat="1" applyFont="1" applyFill="1" applyBorder="1" applyAlignment="1">
      <alignment horizontal="center" vertical="center"/>
    </xf>
    <xf numFmtId="170" fontId="2" fillId="15" borderId="13" xfId="0" applyNumberFormat="1" applyFont="1" applyFill="1" applyBorder="1" applyAlignment="1">
      <alignment horizontal="center" vertical="center"/>
    </xf>
    <xf numFmtId="172" fontId="57" fillId="41" borderId="65" xfId="0" applyNumberFormat="1" applyFont="1" applyFill="1" applyBorder="1" applyAlignment="1">
      <alignment horizontal="center" vertical="center"/>
    </xf>
    <xf numFmtId="172" fontId="57" fillId="29" borderId="1" xfId="0" applyNumberFormat="1" applyFont="1" applyFill="1" applyBorder="1" applyAlignment="1">
      <alignment horizontal="center" vertical="center"/>
    </xf>
    <xf numFmtId="0" fontId="38" fillId="30" borderId="1" xfId="0" applyFont="1" applyFill="1" applyBorder="1" applyAlignment="1">
      <alignment horizontal="center" vertical="center"/>
    </xf>
    <xf numFmtId="1" fontId="38" fillId="25" borderId="103" xfId="0" applyNumberFormat="1" applyFont="1" applyFill="1" applyBorder="1" applyAlignment="1">
      <alignment horizontal="center" vertical="center" shrinkToFit="1"/>
    </xf>
    <xf numFmtId="1" fontId="38" fillId="38" borderId="65" xfId="0" applyNumberFormat="1" applyFont="1" applyFill="1" applyBorder="1" applyAlignment="1">
      <alignment horizontal="center" vertical="center"/>
    </xf>
    <xf numFmtId="0" fontId="38" fillId="38" borderId="65" xfId="0" applyNumberFormat="1" applyFont="1" applyFill="1" applyBorder="1" applyAlignment="1">
      <alignment horizontal="center" vertical="center"/>
    </xf>
    <xf numFmtId="0" fontId="52" fillId="0" borderId="0" xfId="0" applyFont="1" applyBorder="1" applyAlignment="1">
      <alignment vertical="center" wrapText="1"/>
    </xf>
    <xf numFmtId="10" fontId="38" fillId="0" borderId="70" xfId="0" applyNumberFormat="1" applyFont="1" applyBorder="1" applyAlignment="1">
      <alignment horizontal="center" vertical="center"/>
    </xf>
    <xf numFmtId="164" fontId="38" fillId="0" borderId="71" xfId="0" applyNumberFormat="1" applyFont="1" applyBorder="1" applyAlignment="1">
      <alignment horizontal="right" vertical="center"/>
    </xf>
    <xf numFmtId="164" fontId="38" fillId="0" borderId="1" xfId="0" applyNumberFormat="1" applyFont="1" applyBorder="1" applyAlignment="1">
      <alignment horizontal="right" vertical="center"/>
    </xf>
    <xf numFmtId="0" fontId="52" fillId="0" borderId="1" xfId="0" applyFont="1" applyBorder="1" applyAlignment="1">
      <alignment vertical="center" wrapText="1"/>
    </xf>
    <xf numFmtId="0" fontId="20" fillId="25" borderId="0" xfId="0" applyFont="1" applyFill="1" applyBorder="1" applyAlignment="1">
      <alignment horizontal="center" vertical="center"/>
    </xf>
    <xf numFmtId="0" fontId="0" fillId="25" borderId="0" xfId="0" applyFill="1" applyBorder="1" applyAlignment="1">
      <alignment horizontal="center" vertical="center"/>
    </xf>
    <xf numFmtId="0" fontId="41" fillId="25" borderId="0" xfId="0" applyFont="1" applyFill="1" applyBorder="1" applyAlignment="1">
      <alignment horizontal="center" vertical="center" wrapText="1"/>
    </xf>
    <xf numFmtId="0" fontId="0" fillId="25" borderId="0" xfId="0" applyFill="1" applyAlignment="1"/>
    <xf numFmtId="0" fontId="36" fillId="0" borderId="21" xfId="9" applyBorder="1"/>
    <xf numFmtId="0" fontId="36" fillId="0" borderId="113" xfId="9" applyBorder="1"/>
    <xf numFmtId="0" fontId="20" fillId="25" borderId="54" xfId="0" applyFont="1" applyFill="1" applyBorder="1" applyAlignment="1">
      <alignment horizontal="center" vertical="center"/>
    </xf>
    <xf numFmtId="0" fontId="32" fillId="25" borderId="0" xfId="0" applyFont="1" applyFill="1" applyBorder="1" applyAlignment="1">
      <alignment horizontal="center" vertical="center"/>
    </xf>
    <xf numFmtId="0" fontId="0" fillId="25" borderId="0" xfId="0" applyFill="1" applyAlignment="1">
      <alignment horizontal="center"/>
    </xf>
    <xf numFmtId="3" fontId="38" fillId="23" borderId="15" xfId="0" applyNumberFormat="1" applyFont="1" applyFill="1" applyBorder="1" applyAlignment="1">
      <alignment horizontal="right" vertical="center" wrapText="1"/>
    </xf>
    <xf numFmtId="172" fontId="8" fillId="27" borderId="15" xfId="11" applyNumberFormat="1" applyFont="1" applyFill="1" applyBorder="1" applyAlignment="1" applyProtection="1">
      <alignment horizontal="center" vertical="center"/>
    </xf>
    <xf numFmtId="0" fontId="38" fillId="0" borderId="15" xfId="0" applyFont="1" applyBorder="1" applyAlignment="1">
      <alignment horizontal="center" vertical="center"/>
    </xf>
    <xf numFmtId="172" fontId="38" fillId="23" borderId="16" xfId="0" applyNumberFormat="1" applyFont="1" applyFill="1" applyBorder="1" applyAlignment="1">
      <alignment vertical="center"/>
    </xf>
    <xf numFmtId="0" fontId="61" fillId="0" borderId="1" xfId="0" applyFont="1" applyBorder="1"/>
    <xf numFmtId="0" fontId="0" fillId="0" borderId="25" xfId="0" applyBorder="1" applyAlignment="1">
      <alignment horizontal="left" vertical="center"/>
    </xf>
    <xf numFmtId="0" fontId="52" fillId="0" borderId="1" xfId="0" applyFont="1" applyBorder="1" applyAlignment="1">
      <alignment horizontal="center" vertical="center" wrapText="1"/>
    </xf>
    <xf numFmtId="0" fontId="0" fillId="0" borderId="25" xfId="0" applyBorder="1" applyAlignment="1">
      <alignment horizontal="left" vertical="center"/>
    </xf>
    <xf numFmtId="0" fontId="38" fillId="0" borderId="89" xfId="0" applyFont="1" applyFill="1" applyBorder="1" applyAlignment="1">
      <alignment horizontal="center" vertical="center"/>
    </xf>
    <xf numFmtId="171" fontId="38" fillId="0" borderId="62" xfId="0" applyNumberFormat="1" applyFont="1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172" fontId="38" fillId="0" borderId="117" xfId="0" applyNumberFormat="1" applyFont="1" applyBorder="1" applyAlignment="1">
      <alignment horizontal="right" vertical="center"/>
    </xf>
    <xf numFmtId="0" fontId="38" fillId="0" borderId="61" xfId="0" applyFont="1" applyBorder="1" applyAlignment="1">
      <alignment horizontal="center" vertical="center"/>
    </xf>
    <xf numFmtId="172" fontId="38" fillId="0" borderId="61" xfId="0" applyNumberFormat="1" applyFont="1" applyBorder="1" applyAlignment="1">
      <alignment horizontal="right" vertical="center"/>
    </xf>
    <xf numFmtId="0" fontId="38" fillId="0" borderId="118" xfId="0" applyFont="1" applyBorder="1" applyAlignment="1">
      <alignment horizontal="center" vertical="center"/>
    </xf>
    <xf numFmtId="171" fontId="38" fillId="0" borderId="55" xfId="0" applyNumberFormat="1" applyFont="1" applyBorder="1" applyAlignment="1">
      <alignment horizontal="left" vertical="center"/>
    </xf>
    <xf numFmtId="0" fontId="0" fillId="0" borderId="119" xfId="0" applyBorder="1" applyAlignment="1">
      <alignment horizontal="left" vertical="center"/>
    </xf>
    <xf numFmtId="172" fontId="38" fillId="0" borderId="118" xfId="0" applyNumberFormat="1" applyFont="1" applyBorder="1" applyAlignment="1">
      <alignment horizontal="right" vertical="center"/>
    </xf>
    <xf numFmtId="0" fontId="38" fillId="0" borderId="16" xfId="0" applyFont="1" applyBorder="1" applyAlignment="1">
      <alignment horizontal="justify" vertical="center"/>
    </xf>
    <xf numFmtId="0" fontId="38" fillId="0" borderId="16" xfId="0" applyFont="1" applyBorder="1" applyAlignment="1">
      <alignment vertical="center" wrapText="1"/>
    </xf>
    <xf numFmtId="172" fontId="38" fillId="23" borderId="71" xfId="13" applyNumberFormat="1" applyFont="1" applyFill="1" applyBorder="1" applyAlignment="1">
      <alignment horizontal="center" vertical="center" wrapText="1"/>
    </xf>
    <xf numFmtId="172" fontId="13" fillId="23" borderId="1" xfId="3" applyNumberFormat="1" applyFont="1" applyFill="1" applyBorder="1" applyAlignment="1">
      <alignment horizontal="center" vertical="center"/>
    </xf>
    <xf numFmtId="172" fontId="13" fillId="23" borderId="9" xfId="0" applyNumberFormat="1" applyFont="1" applyFill="1" applyBorder="1" applyAlignment="1">
      <alignment horizontal="center" vertical="center"/>
    </xf>
    <xf numFmtId="172" fontId="13" fillId="23" borderId="4" xfId="0" applyNumberFormat="1" applyFont="1" applyFill="1" applyBorder="1" applyAlignment="1">
      <alignment horizontal="center" vertical="center"/>
    </xf>
    <xf numFmtId="172" fontId="38" fillId="23" borderId="1" xfId="0" applyNumberFormat="1" applyFont="1" applyFill="1" applyBorder="1" applyAlignment="1">
      <alignment horizontal="center" vertical="center"/>
    </xf>
    <xf numFmtId="172" fontId="38" fillId="23" borderId="9" xfId="0" applyNumberFormat="1" applyFont="1" applyFill="1" applyBorder="1" applyAlignment="1">
      <alignment horizontal="center" vertical="center"/>
    </xf>
    <xf numFmtId="172" fontId="38" fillId="23" borderId="4" xfId="0" applyNumberFormat="1" applyFont="1" applyFill="1" applyBorder="1" applyAlignment="1">
      <alignment horizontal="center" vertical="center"/>
    </xf>
    <xf numFmtId="172" fontId="38" fillId="23" borderId="55" xfId="0" applyNumberFormat="1" applyFont="1" applyFill="1" applyBorder="1" applyAlignment="1">
      <alignment horizontal="center" vertical="center"/>
    </xf>
    <xf numFmtId="172" fontId="13" fillId="23" borderId="4" xfId="3" applyNumberFormat="1" applyFont="1" applyFill="1" applyBorder="1" applyAlignment="1">
      <alignment horizontal="center" vertical="center"/>
    </xf>
    <xf numFmtId="166" fontId="13" fillId="23" borderId="1" xfId="0" applyNumberFormat="1" applyFont="1" applyFill="1" applyBorder="1" applyAlignment="1">
      <alignment horizontal="center" vertical="center"/>
    </xf>
    <xf numFmtId="9" fontId="13" fillId="23" borderId="1" xfId="4" applyNumberFormat="1" applyFont="1" applyFill="1" applyBorder="1" applyAlignment="1">
      <alignment horizontal="center" vertical="center"/>
    </xf>
    <xf numFmtId="172" fontId="0" fillId="23" borderId="1" xfId="0" applyNumberFormat="1" applyFill="1" applyBorder="1" applyAlignment="1">
      <alignment horizontal="center"/>
    </xf>
    <xf numFmtId="172" fontId="0" fillId="23" borderId="1" xfId="0" applyNumberFormat="1" applyFill="1" applyBorder="1" applyAlignment="1">
      <alignment horizontal="center" vertical="center"/>
    </xf>
    <xf numFmtId="172" fontId="38" fillId="0" borderId="1" xfId="0" applyNumberFormat="1" applyFont="1" applyFill="1" applyBorder="1" applyAlignment="1">
      <alignment horizontal="center" vertical="center"/>
    </xf>
    <xf numFmtId="172" fontId="0" fillId="0" borderId="1" xfId="0" applyNumberFormat="1" applyFill="1" applyBorder="1" applyAlignment="1">
      <alignment horizontal="center" vertical="center"/>
    </xf>
    <xf numFmtId="172" fontId="13" fillId="0" borderId="1" xfId="3" applyNumberFormat="1" applyFont="1" applyFill="1" applyBorder="1" applyAlignment="1">
      <alignment horizontal="center" vertical="center"/>
    </xf>
    <xf numFmtId="170" fontId="8" fillId="23" borderId="16" xfId="10" applyNumberFormat="1" applyFont="1" applyFill="1" applyBorder="1" applyAlignment="1" applyProtection="1">
      <alignment horizontal="center" vertical="center"/>
    </xf>
    <xf numFmtId="172" fontId="0" fillId="25" borderId="1" xfId="0" applyNumberFormat="1" applyFill="1" applyBorder="1" applyAlignment="1">
      <alignment horizontal="center" vertical="center"/>
    </xf>
    <xf numFmtId="3" fontId="8" fillId="23" borderId="15" xfId="10" applyNumberFormat="1" applyFont="1" applyFill="1" applyBorder="1" applyAlignment="1" applyProtection="1">
      <alignment horizontal="center" vertical="center"/>
    </xf>
    <xf numFmtId="170" fontId="8" fillId="23" borderId="1" xfId="10" applyNumberFormat="1" applyFont="1" applyFill="1" applyBorder="1" applyAlignment="1" applyProtection="1">
      <alignment horizontal="center" vertical="center"/>
    </xf>
    <xf numFmtId="172" fontId="40" fillId="0" borderId="61" xfId="0" applyNumberFormat="1" applyFont="1" applyBorder="1" applyAlignment="1">
      <alignment horizontal="right" vertical="center"/>
    </xf>
    <xf numFmtId="0" fontId="38" fillId="0" borderId="2" xfId="0" applyFont="1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172" fontId="41" fillId="23" borderId="16" xfId="3" applyNumberFormat="1" applyFont="1" applyFill="1" applyBorder="1" applyAlignment="1" applyProtection="1">
      <alignment horizontal="center" vertical="center"/>
    </xf>
    <xf numFmtId="172" fontId="42" fillId="23" borderId="41" xfId="0" applyNumberFormat="1" applyFont="1" applyFill="1" applyBorder="1" applyAlignment="1">
      <alignment horizontal="center" vertical="center"/>
    </xf>
    <xf numFmtId="0" fontId="38" fillId="0" borderId="16" xfId="0" applyFont="1" applyBorder="1" applyAlignment="1">
      <alignment horizontal="left" vertical="center"/>
    </xf>
    <xf numFmtId="0" fontId="38" fillId="0" borderId="39" xfId="0" applyFont="1" applyBorder="1" applyAlignment="1">
      <alignment horizontal="left" vertical="center"/>
    </xf>
    <xf numFmtId="0" fontId="0" fillId="0" borderId="41" xfId="0" applyBorder="1" applyAlignment="1">
      <alignment vertical="center"/>
    </xf>
    <xf numFmtId="0" fontId="38" fillId="0" borderId="15" xfId="0" applyFont="1" applyBorder="1" applyAlignment="1">
      <alignment horizontal="left" vertical="center"/>
    </xf>
    <xf numFmtId="0" fontId="40" fillId="0" borderId="15" xfId="0" applyFont="1" applyBorder="1" applyAlignment="1">
      <alignment horizontal="right" vertical="center"/>
    </xf>
    <xf numFmtId="0" fontId="40" fillId="0" borderId="16" xfId="0" applyFont="1" applyBorder="1" applyAlignment="1">
      <alignment horizontal="right" vertical="center"/>
    </xf>
    <xf numFmtId="0" fontId="40" fillId="0" borderId="22" xfId="0" applyFont="1" applyBorder="1" applyAlignment="1">
      <alignment horizontal="right" vertical="center"/>
    </xf>
    <xf numFmtId="0" fontId="40" fillId="0" borderId="37" xfId="0" applyFont="1" applyBorder="1" applyAlignment="1">
      <alignment horizontal="right" vertical="center"/>
    </xf>
    <xf numFmtId="172" fontId="10" fillId="30" borderId="25" xfId="0" applyNumberFormat="1" applyFont="1" applyFill="1" applyBorder="1" applyAlignment="1">
      <alignment horizontal="left"/>
    </xf>
    <xf numFmtId="0" fontId="48" fillId="30" borderId="25" xfId="0" applyFont="1" applyFill="1" applyBorder="1" applyAlignment="1">
      <alignment horizontal="left"/>
    </xf>
    <xf numFmtId="0" fontId="48" fillId="30" borderId="5" xfId="0" applyFont="1" applyFill="1" applyBorder="1" applyAlignment="1">
      <alignment horizontal="left"/>
    </xf>
    <xf numFmtId="0" fontId="38" fillId="0" borderId="22" xfId="0" applyFont="1" applyBorder="1" applyAlignment="1">
      <alignment horizontal="left" vertical="center"/>
    </xf>
    <xf numFmtId="0" fontId="38" fillId="0" borderId="15" xfId="0" applyFont="1" applyBorder="1" applyAlignment="1">
      <alignment horizontal="center" vertical="center"/>
    </xf>
    <xf numFmtId="0" fontId="38" fillId="0" borderId="38" xfId="0" applyFont="1" applyBorder="1" applyAlignment="1">
      <alignment horizontal="left" vertical="center"/>
    </xf>
    <xf numFmtId="10" fontId="38" fillId="0" borderId="15" xfId="0" applyNumberFormat="1" applyFont="1" applyBorder="1" applyAlignment="1">
      <alignment horizontal="center" vertical="center"/>
    </xf>
    <xf numFmtId="10" fontId="38" fillId="0" borderId="37" xfId="0" applyNumberFormat="1" applyFont="1" applyBorder="1" applyAlignment="1">
      <alignment horizontal="center" vertical="center"/>
    </xf>
    <xf numFmtId="170" fontId="38" fillId="0" borderId="37" xfId="0" applyNumberFormat="1" applyFont="1" applyBorder="1" applyAlignment="1">
      <alignment horizontal="right" vertical="center"/>
    </xf>
    <xf numFmtId="0" fontId="0" fillId="0" borderId="17" xfId="0" applyFont="1" applyBorder="1" applyAlignment="1">
      <alignment horizontal="right" vertical="center"/>
    </xf>
    <xf numFmtId="0" fontId="38" fillId="0" borderId="89" xfId="0" applyFont="1" applyBorder="1" applyAlignment="1">
      <alignment horizontal="left" vertical="center"/>
    </xf>
    <xf numFmtId="170" fontId="38" fillId="0" borderId="15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right" vertical="center"/>
    </xf>
    <xf numFmtId="0" fontId="45" fillId="23" borderId="16" xfId="0" applyFont="1" applyFill="1" applyBorder="1" applyAlignment="1">
      <alignment horizontal="left" vertical="center"/>
    </xf>
    <xf numFmtId="0" fontId="46" fillId="0" borderId="39" xfId="0" applyFont="1" applyBorder="1" applyAlignment="1">
      <alignment horizontal="left" vertical="center"/>
    </xf>
    <xf numFmtId="0" fontId="46" fillId="0" borderId="41" xfId="0" applyFont="1" applyBorder="1" applyAlignment="1">
      <alignment horizontal="left" vertical="center"/>
    </xf>
    <xf numFmtId="0" fontId="38" fillId="0" borderId="17" xfId="0" applyFont="1" applyBorder="1" applyAlignment="1">
      <alignment horizontal="left" vertical="center"/>
    </xf>
    <xf numFmtId="0" fontId="38" fillId="0" borderId="41" xfId="0" applyFont="1" applyBorder="1" applyAlignment="1">
      <alignment horizontal="left" vertical="center"/>
    </xf>
    <xf numFmtId="0" fontId="38" fillId="0" borderId="37" xfId="0" applyFont="1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38" fillId="0" borderId="15" xfId="0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0" fontId="40" fillId="0" borderId="48" xfId="0" applyFont="1" applyBorder="1" applyAlignment="1">
      <alignment horizontal="right" vertical="center"/>
    </xf>
    <xf numFmtId="0" fontId="40" fillId="0" borderId="46" xfId="0" applyFont="1" applyBorder="1" applyAlignment="1">
      <alignment horizontal="right" vertical="center"/>
    </xf>
    <xf numFmtId="0" fontId="40" fillId="0" borderId="49" xfId="0" applyFont="1" applyBorder="1" applyAlignment="1">
      <alignment horizontal="right" vertical="center"/>
    </xf>
    <xf numFmtId="0" fontId="40" fillId="0" borderId="50" xfId="0" applyFont="1" applyBorder="1" applyAlignment="1">
      <alignment horizontal="right" vertical="center"/>
    </xf>
    <xf numFmtId="0" fontId="38" fillId="0" borderId="16" xfId="0" applyNumberFormat="1" applyFont="1" applyBorder="1" applyAlignment="1">
      <alignment horizontal="left" vertical="center"/>
    </xf>
    <xf numFmtId="0" fontId="0" fillId="0" borderId="39" xfId="0" applyNumberFormat="1" applyBorder="1" applyAlignment="1">
      <alignment horizontal="left" vertical="center"/>
    </xf>
    <xf numFmtId="0" fontId="0" fillId="0" borderId="41" xfId="0" applyNumberFormat="1" applyBorder="1" applyAlignment="1">
      <alignment horizontal="left" vertical="center"/>
    </xf>
    <xf numFmtId="0" fontId="38" fillId="23" borderId="16" xfId="0" applyFont="1" applyFill="1" applyBorder="1" applyAlignment="1">
      <alignment horizontal="left" vertical="center"/>
    </xf>
    <xf numFmtId="0" fontId="0" fillId="23" borderId="39" xfId="0" applyFont="1" applyFill="1" applyBorder="1" applyAlignment="1">
      <alignment horizontal="left" vertical="center"/>
    </xf>
    <xf numFmtId="0" fontId="0" fillId="23" borderId="41" xfId="0" applyFont="1" applyFill="1" applyBorder="1" applyAlignment="1">
      <alignment horizontal="left" vertical="center"/>
    </xf>
    <xf numFmtId="0" fontId="38" fillId="0" borderId="16" xfId="0" applyFont="1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38" fillId="0" borderId="61" xfId="0" applyFont="1" applyBorder="1" applyAlignment="1">
      <alignment horizontal="left" vertical="center"/>
    </xf>
    <xf numFmtId="0" fontId="10" fillId="0" borderId="15" xfId="0" applyFont="1" applyBorder="1" applyAlignment="1">
      <alignment horizontal="center" vertical="center"/>
    </xf>
    <xf numFmtId="0" fontId="20" fillId="18" borderId="30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0" fillId="19" borderId="30" xfId="0" applyNumberFormat="1" applyFont="1" applyFill="1" applyBorder="1" applyAlignment="1">
      <alignment horizontal="center" vertical="center"/>
    </xf>
    <xf numFmtId="0" fontId="20" fillId="19" borderId="31" xfId="0" applyNumberFormat="1" applyFont="1" applyFill="1" applyBorder="1" applyAlignment="1">
      <alignment horizontal="center" vertical="center"/>
    </xf>
    <xf numFmtId="172" fontId="10" fillId="30" borderId="25" xfId="0" applyNumberFormat="1" applyFont="1" applyFill="1" applyBorder="1" applyAlignment="1">
      <alignment horizontal="center"/>
    </xf>
    <xf numFmtId="0" fontId="48" fillId="30" borderId="25" xfId="0" applyFont="1" applyFill="1" applyBorder="1" applyAlignment="1">
      <alignment horizontal="center"/>
    </xf>
    <xf numFmtId="0" fontId="48" fillId="30" borderId="5" xfId="0" applyFont="1" applyFill="1" applyBorder="1" applyAlignment="1">
      <alignment horizontal="center"/>
    </xf>
    <xf numFmtId="0" fontId="5" fillId="7" borderId="30" xfId="0" applyFont="1" applyFill="1" applyBorder="1" applyAlignment="1">
      <alignment horizontal="center" vertical="center"/>
    </xf>
    <xf numFmtId="0" fontId="6" fillId="0" borderId="31" xfId="0" applyFont="1" applyBorder="1" applyAlignment="1"/>
    <xf numFmtId="0" fontId="2" fillId="7" borderId="30" xfId="0" applyFont="1" applyFill="1" applyBorder="1" applyAlignment="1">
      <alignment horizontal="center" vertical="center" wrapText="1"/>
    </xf>
    <xf numFmtId="0" fontId="13" fillId="0" borderId="31" xfId="0" applyFont="1" applyBorder="1" applyAlignment="1"/>
    <xf numFmtId="0" fontId="5" fillId="7" borderId="30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23" fillId="14" borderId="30" xfId="0" applyFont="1" applyFill="1" applyBorder="1" applyAlignment="1">
      <alignment horizontal="center" vertical="center" wrapText="1"/>
    </xf>
    <xf numFmtId="0" fontId="24" fillId="14" borderId="31" xfId="0" applyFont="1" applyFill="1" applyBorder="1" applyAlignment="1"/>
    <xf numFmtId="0" fontId="10" fillId="0" borderId="35" xfId="0" applyFont="1" applyBorder="1" applyAlignment="1">
      <alignment horizontal="center" vertical="center"/>
    </xf>
    <xf numFmtId="0" fontId="38" fillId="0" borderId="37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0" fontId="38" fillId="0" borderId="22" xfId="0" applyFont="1" applyBorder="1" applyAlignment="1">
      <alignment horizontal="center" vertical="center" wrapText="1"/>
    </xf>
    <xf numFmtId="0" fontId="40" fillId="0" borderId="39" xfId="0" applyFont="1" applyBorder="1" applyAlignment="1">
      <alignment horizontal="right" vertical="center"/>
    </xf>
    <xf numFmtId="0" fontId="40" fillId="0" borderId="41" xfId="0" applyFont="1" applyBorder="1" applyAlignment="1">
      <alignment horizontal="right" vertical="center"/>
    </xf>
    <xf numFmtId="0" fontId="54" fillId="30" borderId="48" xfId="0" applyFont="1" applyFill="1" applyBorder="1" applyAlignment="1">
      <alignment horizontal="right" vertical="center"/>
    </xf>
    <xf numFmtId="0" fontId="58" fillId="30" borderId="49" xfId="0" applyFont="1" applyFill="1" applyBorder="1" applyAlignment="1">
      <alignment horizontal="right" vertical="center"/>
    </xf>
    <xf numFmtId="0" fontId="58" fillId="30" borderId="50" xfId="0" applyFont="1" applyFill="1" applyBorder="1" applyAlignment="1">
      <alignment horizontal="right" vertical="center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25" xfId="0" applyBorder="1" applyAlignment="1">
      <alignment horizontal="right"/>
    </xf>
    <xf numFmtId="0" fontId="38" fillId="0" borderId="4" xfId="0" applyFont="1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5" xfId="0" applyFont="1" applyBorder="1" applyAlignment="1">
      <alignment horizontal="right" vertical="center"/>
    </xf>
    <xf numFmtId="0" fontId="0" fillId="0" borderId="5" xfId="0" applyFont="1" applyBorder="1" applyAlignment="1">
      <alignment horizontal="right" vertical="center"/>
    </xf>
    <xf numFmtId="0" fontId="0" fillId="0" borderId="62" xfId="0" applyFont="1" applyBorder="1" applyAlignment="1">
      <alignment horizontal="right" vertical="center"/>
    </xf>
    <xf numFmtId="0" fontId="0" fillId="0" borderId="63" xfId="0" applyFont="1" applyBorder="1" applyAlignment="1">
      <alignment horizontal="right" vertical="center"/>
    </xf>
    <xf numFmtId="0" fontId="0" fillId="0" borderId="39" xfId="0" applyFont="1" applyBorder="1" applyAlignment="1">
      <alignment horizontal="right" vertical="center"/>
    </xf>
    <xf numFmtId="0" fontId="0" fillId="0" borderId="41" xfId="0" applyFont="1" applyBorder="1" applyAlignment="1">
      <alignment horizontal="right" vertical="center"/>
    </xf>
    <xf numFmtId="0" fontId="38" fillId="0" borderId="70" xfId="0" applyFont="1" applyBorder="1" applyAlignment="1">
      <alignment horizontal="center" vertical="center"/>
    </xf>
    <xf numFmtId="0" fontId="38" fillId="0" borderId="69" xfId="0" applyFont="1" applyBorder="1" applyAlignment="1">
      <alignment horizontal="center" vertical="center"/>
    </xf>
    <xf numFmtId="0" fontId="38" fillId="0" borderId="44" xfId="0" applyFont="1" applyBorder="1" applyAlignment="1">
      <alignment horizontal="left" vertical="center"/>
    </xf>
    <xf numFmtId="0" fontId="38" fillId="0" borderId="45" xfId="0" applyFont="1" applyBorder="1" applyAlignment="1">
      <alignment horizontal="left" vertical="center"/>
    </xf>
    <xf numFmtId="10" fontId="38" fillId="0" borderId="91" xfId="0" applyNumberFormat="1" applyFont="1" applyBorder="1" applyAlignment="1">
      <alignment horizontal="center" vertical="center"/>
    </xf>
    <xf numFmtId="10" fontId="38" fillId="0" borderId="73" xfId="0" applyNumberFormat="1" applyFont="1" applyBorder="1" applyAlignment="1">
      <alignment horizontal="center" vertical="center"/>
    </xf>
    <xf numFmtId="0" fontId="0" fillId="0" borderId="85" xfId="0" applyFont="1" applyBorder="1" applyAlignment="1">
      <alignment horizontal="right" vertical="center"/>
    </xf>
    <xf numFmtId="0" fontId="0" fillId="0" borderId="90" xfId="0" applyFont="1" applyBorder="1" applyAlignment="1">
      <alignment horizontal="right" vertic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1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2" fontId="0" fillId="0" borderId="1" xfId="0" applyNumberFormat="1" applyBorder="1" applyAlignment="1">
      <alignment horizontal="right" vertical="center"/>
    </xf>
    <xf numFmtId="0" fontId="52" fillId="0" borderId="2" xfId="0" applyFont="1" applyBorder="1" applyAlignment="1">
      <alignment horizontal="center" vertical="center" wrapText="1"/>
    </xf>
    <xf numFmtId="0" fontId="52" fillId="0" borderId="3" xfId="0" applyFont="1" applyBorder="1" applyAlignment="1">
      <alignment horizontal="center" vertical="center" wrapText="1"/>
    </xf>
    <xf numFmtId="10" fontId="38" fillId="0" borderId="2" xfId="0" applyNumberFormat="1" applyFont="1" applyBorder="1" applyAlignment="1">
      <alignment horizontal="center" vertical="center"/>
    </xf>
    <xf numFmtId="0" fontId="38" fillId="0" borderId="93" xfId="0" applyFont="1" applyBorder="1" applyAlignment="1">
      <alignment horizontal="center" vertical="center"/>
    </xf>
    <xf numFmtId="164" fontId="38" fillId="0" borderId="2" xfId="0" applyNumberFormat="1" applyFont="1" applyBorder="1" applyAlignment="1">
      <alignment horizontal="right" vertical="center"/>
    </xf>
    <xf numFmtId="0" fontId="0" fillId="0" borderId="93" xfId="0" applyBorder="1" applyAlignment="1">
      <alignment horizontal="right" vertical="center"/>
    </xf>
    <xf numFmtId="0" fontId="5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0" fontId="38" fillId="0" borderId="105" xfId="0" applyNumberFormat="1" applyFont="1" applyBorder="1" applyAlignment="1">
      <alignment horizontal="right" vertical="center"/>
    </xf>
    <xf numFmtId="0" fontId="0" fillId="0" borderId="106" xfId="0" applyBorder="1" applyAlignment="1">
      <alignment horizontal="right" vertical="center"/>
    </xf>
    <xf numFmtId="10" fontId="38" fillId="0" borderId="107" xfId="0" applyNumberFormat="1" applyFont="1" applyBorder="1" applyAlignment="1">
      <alignment horizontal="center" vertical="center"/>
    </xf>
    <xf numFmtId="0" fontId="0" fillId="0" borderId="108" xfId="0" applyBorder="1" applyAlignment="1">
      <alignment horizontal="center" vertical="center"/>
    </xf>
    <xf numFmtId="0" fontId="38" fillId="0" borderId="0" xfId="0" applyFont="1" applyBorder="1" applyAlignment="1">
      <alignment horizontal="right" vertical="center"/>
    </xf>
    <xf numFmtId="0" fontId="0" fillId="0" borderId="90" xfId="0" applyBorder="1" applyAlignment="1">
      <alignment horizontal="right" vertical="center"/>
    </xf>
    <xf numFmtId="0" fontId="38" fillId="0" borderId="35" xfId="0" applyFont="1" applyBorder="1" applyAlignment="1">
      <alignment horizontal="right" vertical="center"/>
    </xf>
    <xf numFmtId="0" fontId="0" fillId="0" borderId="101" xfId="0" applyBorder="1" applyAlignment="1">
      <alignment horizontal="right" vertical="center"/>
    </xf>
    <xf numFmtId="10" fontId="38" fillId="38" borderId="2" xfId="0" applyNumberFormat="1" applyFont="1" applyFill="1" applyBorder="1" applyAlignment="1">
      <alignment horizontal="center" vertical="center"/>
    </xf>
    <xf numFmtId="10" fontId="38" fillId="0" borderId="99" xfId="0" applyNumberFormat="1" applyFont="1" applyBorder="1" applyAlignment="1">
      <alignment horizontal="center" vertical="center"/>
    </xf>
    <xf numFmtId="10" fontId="38" fillId="0" borderId="94" xfId="0" applyNumberFormat="1" applyFont="1" applyBorder="1" applyAlignment="1">
      <alignment horizontal="center" vertical="center"/>
    </xf>
    <xf numFmtId="172" fontId="38" fillId="0" borderId="98" xfId="0" applyNumberFormat="1" applyFont="1" applyBorder="1" applyAlignment="1">
      <alignment horizontal="right" vertical="center"/>
    </xf>
    <xf numFmtId="172" fontId="0" fillId="0" borderId="110" xfId="0" applyNumberFormat="1" applyBorder="1" applyAlignment="1">
      <alignment horizontal="right" vertical="center"/>
    </xf>
    <xf numFmtId="0" fontId="0" fillId="0" borderId="3" xfId="0" applyBorder="1" applyAlignment="1">
      <alignment horizontal="center" vertical="center" wrapText="1"/>
    </xf>
    <xf numFmtId="164" fontId="38" fillId="0" borderId="72" xfId="0" applyNumberFormat="1" applyFont="1" applyBorder="1" applyAlignment="1">
      <alignment horizontal="right" vertical="center"/>
    </xf>
    <xf numFmtId="164" fontId="38" fillId="0" borderId="73" xfId="0" applyNumberFormat="1" applyFont="1" applyBorder="1" applyAlignment="1">
      <alignment horizontal="right" vertical="center"/>
    </xf>
    <xf numFmtId="0" fontId="0" fillId="0" borderId="47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90" xfId="0" applyFont="1" applyBorder="1" applyAlignment="1">
      <alignment horizontal="right" vertical="center" wrapText="1"/>
    </xf>
    <xf numFmtId="0" fontId="37" fillId="0" borderId="0" xfId="9" applyFont="1" applyBorder="1" applyAlignment="1">
      <alignment horizontal="center" vertical="center" wrapText="1"/>
    </xf>
    <xf numFmtId="0" fontId="20" fillId="18" borderId="26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7" fillId="30" borderId="44" xfId="9" applyFont="1" applyFill="1" applyBorder="1" applyAlignment="1">
      <alignment horizontal="center" vertical="center" wrapText="1"/>
    </xf>
    <xf numFmtId="0" fontId="47" fillId="30" borderId="45" xfId="0" applyFont="1" applyFill="1" applyBorder="1" applyAlignment="1">
      <alignment horizontal="center" vertical="center" wrapText="1"/>
    </xf>
    <xf numFmtId="0" fontId="47" fillId="30" borderId="19" xfId="0" applyFont="1" applyFill="1" applyBorder="1" applyAlignment="1">
      <alignment horizontal="center" vertical="center" wrapText="1"/>
    </xf>
    <xf numFmtId="0" fontId="47" fillId="30" borderId="46" xfId="0" applyFont="1" applyFill="1" applyBorder="1" applyAlignment="1">
      <alignment horizontal="center" vertical="center" wrapText="1"/>
    </xf>
    <xf numFmtId="0" fontId="8" fillId="0" borderId="0" xfId="9" applyFont="1" applyAlignment="1">
      <alignment horizontal="center" vertical="center"/>
    </xf>
    <xf numFmtId="0" fontId="41" fillId="39" borderId="30" xfId="0" applyFont="1" applyFill="1" applyBorder="1" applyAlignment="1">
      <alignment horizontal="center" vertical="center" wrapText="1"/>
    </xf>
    <xf numFmtId="0" fontId="41" fillId="39" borderId="31" xfId="0" applyFont="1" applyFill="1" applyBorder="1" applyAlignment="1">
      <alignment horizontal="center" vertical="center" wrapText="1"/>
    </xf>
    <xf numFmtId="0" fontId="41" fillId="39" borderId="32" xfId="0" applyFont="1" applyFill="1" applyBorder="1" applyAlignment="1">
      <alignment horizontal="center" vertical="center" wrapText="1"/>
    </xf>
    <xf numFmtId="0" fontId="41" fillId="32" borderId="30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36" fillId="0" borderId="0" xfId="9" applyFill="1" applyBorder="1" applyAlignment="1">
      <alignment horizontal="center" vertical="center"/>
    </xf>
    <xf numFmtId="0" fontId="8" fillId="31" borderId="37" xfId="9" applyFont="1" applyFill="1" applyBorder="1" applyAlignment="1">
      <alignment horizontal="center" vertical="center" wrapText="1"/>
    </xf>
    <xf numFmtId="0" fontId="0" fillId="30" borderId="22" xfId="0" applyFill="1" applyBorder="1" applyAlignment="1">
      <alignment horizontal="center" vertical="center" wrapText="1"/>
    </xf>
    <xf numFmtId="49" fontId="8" fillId="28" borderId="38" xfId="9" applyNumberFormat="1" applyFont="1" applyFill="1" applyBorder="1" applyAlignment="1">
      <alignment horizontal="center" vertical="center" wrapText="1"/>
    </xf>
    <xf numFmtId="49" fontId="0" fillId="0" borderId="36" xfId="0" applyNumberFormat="1" applyBorder="1" applyAlignment="1">
      <alignment horizontal="center" vertical="center" wrapText="1"/>
    </xf>
    <xf numFmtId="49" fontId="0" fillId="0" borderId="42" xfId="0" applyNumberFormat="1" applyBorder="1" applyAlignment="1">
      <alignment horizontal="center" vertical="center" wrapText="1"/>
    </xf>
    <xf numFmtId="49" fontId="0" fillId="0" borderId="23" xfId="0" applyNumberFormat="1" applyBorder="1" applyAlignment="1">
      <alignment horizontal="center" vertical="center" wrapText="1"/>
    </xf>
    <xf numFmtId="49" fontId="0" fillId="0" borderId="35" xfId="0" applyNumberFormat="1" applyBorder="1" applyAlignment="1">
      <alignment horizontal="center" vertical="center" wrapText="1"/>
    </xf>
    <xf numFmtId="49" fontId="0" fillId="0" borderId="43" xfId="0" applyNumberFormat="1" applyBorder="1" applyAlignment="1">
      <alignment horizontal="center" vertical="center" wrapText="1"/>
    </xf>
    <xf numFmtId="0" fontId="59" fillId="0" borderId="40" xfId="9" applyFont="1" applyBorder="1" applyAlignment="1">
      <alignment horizontal="center" vertical="center" wrapText="1"/>
    </xf>
    <xf numFmtId="0" fontId="60" fillId="0" borderId="40" xfId="0" applyFont="1" applyBorder="1" applyAlignment="1">
      <alignment horizontal="center" vertical="center" wrapText="1"/>
    </xf>
    <xf numFmtId="0" fontId="44" fillId="0" borderId="40" xfId="9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8" fillId="31" borderId="16" xfId="9" applyFont="1" applyFill="1" applyBorder="1" applyAlignment="1">
      <alignment horizontal="center" vertical="center"/>
    </xf>
    <xf numFmtId="0" fontId="8" fillId="31" borderId="15" xfId="9" applyFont="1" applyFill="1" applyBorder="1" applyAlignment="1">
      <alignment horizontal="center" vertical="center" wrapText="1"/>
    </xf>
    <xf numFmtId="0" fontId="8" fillId="31" borderId="44" xfId="9" applyNumberFormat="1" applyFont="1" applyFill="1" applyBorder="1" applyAlignment="1">
      <alignment horizontal="center" vertical="center" wrapText="1"/>
    </xf>
    <xf numFmtId="0" fontId="47" fillId="30" borderId="45" xfId="0" applyFont="1" applyFill="1" applyBorder="1" applyAlignment="1">
      <alignment horizontal="center"/>
    </xf>
    <xf numFmtId="0" fontId="47" fillId="30" borderId="10" xfId="0" applyFont="1" applyFill="1" applyBorder="1" applyAlignment="1">
      <alignment horizontal="center"/>
    </xf>
    <xf numFmtId="0" fontId="47" fillId="30" borderId="19" xfId="0" applyFont="1" applyFill="1" applyBorder="1" applyAlignment="1">
      <alignment horizontal="center"/>
    </xf>
    <xf numFmtId="0" fontId="47" fillId="30" borderId="46" xfId="0" applyFont="1" applyFill="1" applyBorder="1" applyAlignment="1">
      <alignment horizontal="center"/>
    </xf>
    <xf numFmtId="0" fontId="47" fillId="30" borderId="18" xfId="0" applyFont="1" applyFill="1" applyBorder="1" applyAlignment="1">
      <alignment horizontal="center"/>
    </xf>
    <xf numFmtId="0" fontId="8" fillId="31" borderId="15" xfId="9" applyFont="1" applyFill="1" applyBorder="1" applyAlignment="1">
      <alignment horizontal="center" vertical="center"/>
    </xf>
    <xf numFmtId="0" fontId="8" fillId="31" borderId="38" xfId="9" applyFont="1" applyFill="1" applyBorder="1" applyAlignment="1">
      <alignment horizontal="center" vertical="center"/>
    </xf>
    <xf numFmtId="0" fontId="8" fillId="31" borderId="36" xfId="9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8" fillId="31" borderId="23" xfId="9" applyFont="1" applyFill="1" applyBorder="1" applyAlignment="1">
      <alignment horizontal="center" vertical="center"/>
    </xf>
    <xf numFmtId="0" fontId="8" fillId="31" borderId="35" xfId="9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8" fillId="31" borderId="38" xfId="9" applyFont="1" applyFill="1" applyBorder="1" applyAlignment="1">
      <alignment horizontal="center" vertical="center" wrapText="1"/>
    </xf>
    <xf numFmtId="0" fontId="47" fillId="30" borderId="23" xfId="0" applyFont="1" applyFill="1" applyBorder="1" applyAlignment="1">
      <alignment horizontal="center" vertical="center" wrapText="1"/>
    </xf>
    <xf numFmtId="0" fontId="47" fillId="30" borderId="42" xfId="0" applyFont="1" applyFill="1" applyBorder="1" applyAlignment="1">
      <alignment horizontal="center" vertical="center"/>
    </xf>
    <xf numFmtId="0" fontId="47" fillId="30" borderId="43" xfId="0" applyFont="1" applyFill="1" applyBorder="1" applyAlignment="1">
      <alignment horizontal="center" vertical="center"/>
    </xf>
    <xf numFmtId="172" fontId="8" fillId="31" borderId="16" xfId="9" applyNumberFormat="1" applyFont="1" applyFill="1" applyBorder="1" applyAlignment="1">
      <alignment horizontal="center" vertical="center" wrapText="1"/>
    </xf>
    <xf numFmtId="175" fontId="8" fillId="0" borderId="16" xfId="10" applyFont="1" applyFill="1" applyBorder="1" applyAlignment="1" applyProtection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170" fontId="8" fillId="23" borderId="16" xfId="10" applyNumberFormat="1" applyFont="1" applyFill="1" applyBorder="1" applyAlignment="1" applyProtection="1">
      <alignment horizontal="center" vertical="center"/>
    </xf>
    <xf numFmtId="0" fontId="0" fillId="23" borderId="41" xfId="0" applyFill="1" applyBorder="1" applyAlignment="1">
      <alignment horizontal="center" vertical="center"/>
    </xf>
    <xf numFmtId="0" fontId="8" fillId="0" borderId="16" xfId="9" applyFont="1" applyBorder="1" applyAlignment="1">
      <alignment horizontal="center" vertical="center" wrapText="1"/>
    </xf>
    <xf numFmtId="10" fontId="8" fillId="27" borderId="16" xfId="10" applyNumberFormat="1" applyFont="1" applyFill="1" applyBorder="1" applyAlignment="1" applyProtection="1">
      <alignment horizontal="center" vertical="center"/>
    </xf>
    <xf numFmtId="0" fontId="0" fillId="0" borderId="41" xfId="0" applyBorder="1" applyAlignment="1">
      <alignment horizontal="center" vertical="center"/>
    </xf>
    <xf numFmtId="0" fontId="41" fillId="36" borderId="1" xfId="0" applyFont="1" applyFill="1" applyBorder="1" applyAlignment="1">
      <alignment horizontal="right" vertical="center"/>
    </xf>
    <xf numFmtId="0" fontId="42" fillId="36" borderId="1" xfId="0" applyFont="1" applyFill="1" applyBorder="1" applyAlignment="1">
      <alignment horizontal="right" vertical="center"/>
    </xf>
    <xf numFmtId="0" fontId="2" fillId="16" borderId="1" xfId="0" applyFont="1" applyFill="1" applyBorder="1" applyAlignment="1">
      <alignment vertical="center"/>
    </xf>
    <xf numFmtId="0" fontId="29" fillId="17" borderId="1" xfId="0" applyFont="1" applyFill="1" applyBorder="1" applyAlignment="1">
      <alignment vertical="center"/>
    </xf>
    <xf numFmtId="0" fontId="0" fillId="0" borderId="1" xfId="0" applyBorder="1" applyAlignment="1"/>
    <xf numFmtId="0" fontId="16" fillId="3" borderId="15" xfId="0" applyFont="1" applyFill="1" applyBorder="1" applyAlignment="1">
      <alignment vertical="center"/>
    </xf>
    <xf numFmtId="0" fontId="16" fillId="3" borderId="16" xfId="0" applyFont="1" applyFill="1" applyBorder="1" applyAlignment="1">
      <alignment vertical="center"/>
    </xf>
    <xf numFmtId="0" fontId="41" fillId="30" borderId="30" xfId="0" applyFont="1" applyFill="1" applyBorder="1" applyAlignment="1">
      <alignment horizontal="left" vertical="center" wrapText="1"/>
    </xf>
    <xf numFmtId="0" fontId="0" fillId="30" borderId="31" xfId="0" applyFont="1" applyFill="1" applyBorder="1" applyAlignment="1">
      <alignment horizontal="left" vertical="center" wrapText="1"/>
    </xf>
    <xf numFmtId="0" fontId="0" fillId="30" borderId="32" xfId="0" applyFont="1" applyFill="1" applyBorder="1" applyAlignment="1">
      <alignment horizontal="left" vertical="center" wrapText="1"/>
    </xf>
    <xf numFmtId="0" fontId="10" fillId="11" borderId="30" xfId="0" applyFont="1" applyFill="1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5" borderId="0" xfId="0" applyFont="1" applyFill="1" applyBorder="1" applyAlignment="1">
      <alignment horizontal="center" vertical="center" wrapText="1"/>
    </xf>
    <xf numFmtId="0" fontId="16" fillId="3" borderId="22" xfId="0" applyFont="1" applyFill="1" applyBorder="1" applyAlignment="1">
      <alignment horizontal="left" vertical="center"/>
    </xf>
    <xf numFmtId="0" fontId="16" fillId="3" borderId="23" xfId="0" applyFont="1" applyFill="1" applyBorder="1" applyAlignment="1">
      <alignment horizontal="left" vertical="center"/>
    </xf>
    <xf numFmtId="0" fontId="16" fillId="3" borderId="22" xfId="0" applyFont="1" applyFill="1" applyBorder="1"/>
    <xf numFmtId="0" fontId="16" fillId="3" borderId="23" xfId="0" applyFont="1" applyFill="1" applyBorder="1"/>
    <xf numFmtId="0" fontId="2" fillId="16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0" fillId="18" borderId="27" xfId="0" applyFont="1" applyFill="1" applyBorder="1" applyAlignment="1">
      <alignment horizontal="center" vertical="center"/>
    </xf>
    <xf numFmtId="0" fontId="20" fillId="18" borderId="28" xfId="0" applyFont="1" applyFill="1" applyBorder="1" applyAlignment="1">
      <alignment horizontal="center" vertical="center"/>
    </xf>
    <xf numFmtId="0" fontId="5" fillId="7" borderId="24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10" fillId="11" borderId="26" xfId="0" applyFont="1" applyFill="1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0" fontId="24" fillId="0" borderId="32" xfId="0" applyFont="1" applyBorder="1" applyAlignment="1">
      <alignment horizontal="center" vertical="center" wrapText="1"/>
    </xf>
    <xf numFmtId="0" fontId="2" fillId="7" borderId="24" xfId="0" applyFont="1" applyFill="1" applyBorder="1" applyAlignment="1">
      <alignment horizontal="center" vertical="center" wrapText="1"/>
    </xf>
    <xf numFmtId="0" fontId="38" fillId="0" borderId="2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20" fillId="18" borderId="54" xfId="0" applyFont="1" applyFill="1" applyBorder="1" applyAlignment="1">
      <alignment horizontal="center" vertical="center"/>
    </xf>
    <xf numFmtId="0" fontId="32" fillId="18" borderId="0" xfId="0" applyFont="1" applyFill="1" applyBorder="1" applyAlignment="1">
      <alignment horizontal="center" vertical="center"/>
    </xf>
    <xf numFmtId="0" fontId="10" fillId="11" borderId="82" xfId="0" applyFont="1" applyFill="1" applyBorder="1" applyAlignment="1">
      <alignment horizontal="left" vertical="center" wrapText="1"/>
    </xf>
    <xf numFmtId="0" fontId="13" fillId="0" borderId="79" xfId="0" applyFont="1" applyBorder="1" applyAlignment="1"/>
    <xf numFmtId="0" fontId="13" fillId="0" borderId="83" xfId="0" applyFont="1" applyBorder="1" applyAlignment="1"/>
    <xf numFmtId="0" fontId="13" fillId="0" borderId="32" xfId="0" applyFont="1" applyBorder="1" applyAlignment="1"/>
    <xf numFmtId="0" fontId="10" fillId="11" borderId="78" xfId="0" applyFont="1" applyFill="1" applyBorder="1" applyAlignment="1">
      <alignment horizontal="left" vertical="center" wrapText="1"/>
    </xf>
    <xf numFmtId="0" fontId="13" fillId="0" borderId="12" xfId="0" applyFont="1" applyBorder="1" applyAlignment="1"/>
    <xf numFmtId="0" fontId="13" fillId="0" borderId="13" xfId="0" applyFont="1" applyBorder="1" applyAlignment="1"/>
    <xf numFmtId="0" fontId="23" fillId="14" borderId="54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41" fillId="30" borderId="24" xfId="0" applyFont="1" applyFill="1" applyBorder="1" applyAlignment="1">
      <alignment horizontal="left" vertical="center" wrapText="1"/>
    </xf>
    <xf numFmtId="0" fontId="0" fillId="30" borderId="21" xfId="0" applyFont="1" applyFill="1" applyBorder="1" applyAlignment="1"/>
    <xf numFmtId="0" fontId="2" fillId="30" borderId="7" xfId="0" applyFont="1" applyFill="1" applyBorder="1" applyAlignment="1">
      <alignment horizontal="left" vertical="center"/>
    </xf>
    <xf numFmtId="0" fontId="0" fillId="30" borderId="84" xfId="0" applyFill="1" applyBorder="1" applyAlignment="1">
      <alignment horizontal="left" vertical="center"/>
    </xf>
    <xf numFmtId="0" fontId="0" fillId="30" borderId="84" xfId="0" applyFill="1" applyBorder="1" applyAlignment="1"/>
    <xf numFmtId="0" fontId="0" fillId="0" borderId="20" xfId="0" applyBorder="1" applyAlignment="1"/>
    <xf numFmtId="172" fontId="2" fillId="10" borderId="4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/>
    </xf>
    <xf numFmtId="0" fontId="5" fillId="7" borderId="5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30" borderId="31" xfId="0" applyFont="1" applyFill="1" applyBorder="1" applyAlignment="1"/>
    <xf numFmtId="0" fontId="2" fillId="14" borderId="19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54" fillId="36" borderId="1" xfId="0" applyFont="1" applyFill="1" applyBorder="1" applyAlignment="1">
      <alignment horizontal="right" vertical="center" wrapText="1"/>
    </xf>
    <xf numFmtId="0" fontId="0" fillId="36" borderId="1" xfId="0" applyFill="1" applyBorder="1" applyAlignment="1">
      <alignment horizontal="right" vertical="center" wrapText="1"/>
    </xf>
    <xf numFmtId="0" fontId="28" fillId="32" borderId="114" xfId="9" applyFont="1" applyFill="1" applyBorder="1" applyAlignment="1">
      <alignment horizontal="center" vertical="center" wrapText="1"/>
    </xf>
    <xf numFmtId="0" fontId="50" fillId="32" borderId="112" xfId="0" applyFont="1" applyFill="1" applyBorder="1" applyAlignment="1">
      <alignment horizontal="center" vertical="center" wrapText="1"/>
    </xf>
    <xf numFmtId="0" fontId="0" fillId="32" borderId="112" xfId="0" applyFill="1" applyBorder="1" applyAlignment="1"/>
    <xf numFmtId="0" fontId="50" fillId="32" borderId="115" xfId="0" applyFont="1" applyFill="1" applyBorder="1" applyAlignment="1">
      <alignment horizontal="center" vertical="center" wrapText="1"/>
    </xf>
    <xf numFmtId="0" fontId="50" fillId="32" borderId="111" xfId="0" applyFont="1" applyFill="1" applyBorder="1" applyAlignment="1">
      <alignment horizontal="center" vertical="center" wrapText="1"/>
    </xf>
    <xf numFmtId="0" fontId="0" fillId="32" borderId="111" xfId="0" applyFill="1" applyBorder="1" applyAlignment="1"/>
    <xf numFmtId="0" fontId="0" fillId="0" borderId="0" xfId="0" applyBorder="1" applyAlignment="1">
      <alignment horizontal="center" vertical="center"/>
    </xf>
    <xf numFmtId="0" fontId="20" fillId="19" borderId="54" xfId="0" applyNumberFormat="1" applyFont="1" applyFill="1" applyBorder="1" applyAlignment="1">
      <alignment horizontal="center" vertical="center"/>
    </xf>
    <xf numFmtId="0" fontId="20" fillId="19" borderId="0" xfId="0" applyNumberFormat="1" applyFont="1" applyFill="1" applyBorder="1" applyAlignment="1">
      <alignment horizontal="center" vertical="center"/>
    </xf>
    <xf numFmtId="0" fontId="55" fillId="35" borderId="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/>
    <xf numFmtId="0" fontId="0" fillId="0" borderId="109" xfId="0" applyBorder="1" applyAlignment="1"/>
    <xf numFmtId="0" fontId="0" fillId="0" borderId="13" xfId="0" applyBorder="1" applyAlignment="1"/>
    <xf numFmtId="0" fontId="10" fillId="11" borderId="86" xfId="0" applyFont="1" applyFill="1" applyBorder="1" applyAlignment="1">
      <alignment horizontal="left" vertical="center" wrapText="1"/>
    </xf>
    <xf numFmtId="0" fontId="0" fillId="0" borderId="87" xfId="0" applyBorder="1" applyAlignment="1">
      <alignment horizontal="left" vertical="center" wrapText="1"/>
    </xf>
    <xf numFmtId="0" fontId="0" fillId="0" borderId="87" xfId="0" applyBorder="1" applyAlignment="1"/>
    <xf numFmtId="0" fontId="0" fillId="0" borderId="88" xfId="0" applyBorder="1" applyAlignment="1"/>
    <xf numFmtId="0" fontId="41" fillId="30" borderId="78" xfId="0" applyFont="1" applyFill="1" applyBorder="1" applyAlignment="1">
      <alignment horizontal="left" vertical="center" wrapText="1"/>
    </xf>
    <xf numFmtId="0" fontId="0" fillId="30" borderId="12" xfId="0" applyFont="1" applyFill="1" applyBorder="1" applyAlignment="1">
      <alignment horizontal="left" vertical="center" wrapText="1"/>
    </xf>
    <xf numFmtId="0" fontId="0" fillId="30" borderId="12" xfId="0" applyFont="1" applyFill="1" applyBorder="1" applyAlignment="1"/>
    <xf numFmtId="0" fontId="0" fillId="30" borderId="109" xfId="0" applyFont="1" applyFill="1" applyBorder="1" applyAlignment="1"/>
    <xf numFmtId="0" fontId="0" fillId="30" borderId="13" xfId="0" applyFont="1" applyFill="1" applyBorder="1" applyAlignment="1"/>
    <xf numFmtId="0" fontId="41" fillId="36" borderId="30" xfId="0" applyFont="1" applyFill="1" applyBorder="1" applyAlignment="1">
      <alignment horizontal="center" vertical="center"/>
    </xf>
    <xf numFmtId="0" fontId="38" fillId="36" borderId="31" xfId="0" applyFont="1" applyFill="1" applyBorder="1" applyAlignment="1"/>
    <xf numFmtId="0" fontId="38" fillId="36" borderId="32" xfId="0" applyFont="1" applyFill="1" applyBorder="1" applyAlignment="1"/>
    <xf numFmtId="0" fontId="2" fillId="7" borderId="75" xfId="0" applyNumberFormat="1" applyFont="1" applyFill="1" applyBorder="1" applyAlignment="1">
      <alignment horizontal="center" vertical="center"/>
    </xf>
    <xf numFmtId="0" fontId="2" fillId="7" borderId="45" xfId="0" applyNumberFormat="1" applyFont="1" applyFill="1" applyBorder="1" applyAlignment="1">
      <alignment horizontal="center" vertical="center"/>
    </xf>
    <xf numFmtId="0" fontId="0" fillId="0" borderId="45" xfId="0" applyBorder="1" applyAlignment="1"/>
    <xf numFmtId="0" fontId="0" fillId="0" borderId="76" xfId="0" applyBorder="1" applyAlignment="1"/>
    <xf numFmtId="0" fontId="2" fillId="0" borderId="33" xfId="0" applyNumberFormat="1" applyFont="1" applyFill="1" applyBorder="1" applyAlignment="1">
      <alignment horizontal="center" vertical="center"/>
    </xf>
    <xf numFmtId="0" fontId="2" fillId="0" borderId="25" xfId="0" applyNumberFormat="1" applyFont="1" applyFill="1" applyBorder="1" applyAlignment="1">
      <alignment horizontal="center" vertical="center"/>
    </xf>
    <xf numFmtId="0" fontId="0" fillId="0" borderId="25" xfId="0" applyBorder="1" applyAlignment="1"/>
    <xf numFmtId="0" fontId="0" fillId="0" borderId="34" xfId="0" applyBorder="1" applyAlignment="1"/>
    <xf numFmtId="0" fontId="13" fillId="4" borderId="52" xfId="0" applyNumberFormat="1" applyFont="1" applyFill="1" applyBorder="1" applyAlignment="1">
      <alignment horizontal="center" vertical="center"/>
    </xf>
    <xf numFmtId="0" fontId="13" fillId="4" borderId="53" xfId="0" applyNumberFormat="1" applyFont="1" applyFill="1" applyBorder="1" applyAlignment="1">
      <alignment horizontal="center" vertical="center"/>
    </xf>
    <xf numFmtId="0" fontId="0" fillId="0" borderId="53" xfId="0" applyBorder="1" applyAlignment="1"/>
    <xf numFmtId="0" fontId="0" fillId="0" borderId="74" xfId="0" applyBorder="1" applyAlignment="1"/>
    <xf numFmtId="0" fontId="13" fillId="0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15" borderId="30" xfId="0" applyNumberFormat="1" applyFont="1" applyFill="1" applyBorder="1" applyAlignment="1">
      <alignment horizontal="center" vertical="center"/>
    </xf>
    <xf numFmtId="0" fontId="2" fillId="15" borderId="31" xfId="0" applyNumberFormat="1" applyFont="1" applyFill="1" applyBorder="1" applyAlignment="1">
      <alignment horizontal="center" vertical="center"/>
    </xf>
    <xf numFmtId="0" fontId="2" fillId="15" borderId="51" xfId="0" applyNumberFormat="1" applyFont="1" applyFill="1" applyBorder="1" applyAlignment="1">
      <alignment horizontal="center" vertical="center"/>
    </xf>
    <xf numFmtId="0" fontId="41" fillId="39" borderId="52" xfId="0" applyNumberFormat="1" applyFont="1" applyFill="1" applyBorder="1" applyAlignment="1">
      <alignment horizontal="center" vertical="center"/>
    </xf>
    <xf numFmtId="0" fontId="41" fillId="39" borderId="53" xfId="0" applyNumberFormat="1" applyFont="1" applyFill="1" applyBorder="1" applyAlignment="1">
      <alignment horizontal="center" vertical="center"/>
    </xf>
    <xf numFmtId="0" fontId="41" fillId="39" borderId="1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left" vertical="center"/>
    </xf>
    <xf numFmtId="0" fontId="20" fillId="19" borderId="26" xfId="0" applyNumberFormat="1" applyFont="1" applyFill="1" applyBorder="1" applyAlignment="1">
      <alignment horizontal="center" vertical="center"/>
    </xf>
    <xf numFmtId="0" fontId="20" fillId="19" borderId="27" xfId="0" applyNumberFormat="1" applyFont="1" applyFill="1" applyBorder="1" applyAlignment="1">
      <alignment horizontal="center" vertical="center"/>
    </xf>
    <xf numFmtId="0" fontId="0" fillId="0" borderId="27" xfId="0" applyBorder="1" applyAlignment="1"/>
    <xf numFmtId="0" fontId="0" fillId="0" borderId="28" xfId="0" applyBorder="1" applyAlignment="1"/>
    <xf numFmtId="0" fontId="0" fillId="0" borderId="77" xfId="0" applyBorder="1" applyAlignment="1"/>
    <xf numFmtId="0" fontId="28" fillId="20" borderId="54" xfId="0" applyNumberFormat="1" applyFont="1" applyFill="1" applyBorder="1" applyAlignment="1">
      <alignment horizontal="center" vertical="center"/>
    </xf>
    <xf numFmtId="0" fontId="31" fillId="21" borderId="24" xfId="0" applyNumberFormat="1" applyFont="1" applyFill="1" applyBorder="1" applyAlignment="1">
      <alignment horizontal="center" vertical="center"/>
    </xf>
    <xf numFmtId="0" fontId="6" fillId="7" borderId="21" xfId="0" applyFont="1" applyFill="1" applyBorder="1" applyAlignment="1">
      <alignment horizontal="center" vertical="center"/>
    </xf>
    <xf numFmtId="0" fontId="0" fillId="0" borderId="21" xfId="0" applyBorder="1" applyAlignment="1"/>
    <xf numFmtId="0" fontId="0" fillId="0" borderId="29" xfId="0" applyBorder="1" applyAlignment="1"/>
    <xf numFmtId="168" fontId="25" fillId="11" borderId="4" xfId="0" applyNumberFormat="1" applyFont="1" applyFill="1" applyBorder="1" applyAlignment="1" applyProtection="1">
      <alignment horizontal="center" vertical="center"/>
    </xf>
    <xf numFmtId="168" fontId="25" fillId="11" borderId="2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/>
    <xf numFmtId="0" fontId="19" fillId="14" borderId="1" xfId="0" applyFont="1" applyFill="1" applyBorder="1" applyAlignment="1" applyProtection="1">
      <alignment horizontal="center" vertical="center" wrapText="1"/>
    </xf>
    <xf numFmtId="0" fontId="17" fillId="14" borderId="1" xfId="0" applyFont="1" applyFill="1" applyBorder="1" applyAlignment="1" applyProtection="1">
      <alignment horizontal="center" vertical="center"/>
    </xf>
    <xf numFmtId="3" fontId="13" fillId="4" borderId="1" xfId="0" applyNumberFormat="1" applyFont="1" applyFill="1" applyBorder="1" applyAlignment="1">
      <alignment horizontal="center" vertical="center"/>
    </xf>
    <xf numFmtId="3" fontId="13" fillId="4" borderId="7" xfId="0" applyNumberFormat="1" applyFont="1" applyFill="1" applyBorder="1" applyAlignment="1">
      <alignment horizontal="center" vertical="center"/>
    </xf>
    <xf numFmtId="0" fontId="13" fillId="0" borderId="26" xfId="0" applyNumberFormat="1" applyFont="1" applyFill="1" applyBorder="1" applyAlignment="1">
      <alignment horizontal="center" vertical="center"/>
    </xf>
    <xf numFmtId="0" fontId="13" fillId="0" borderId="27" xfId="0" applyNumberFormat="1" applyFont="1" applyFill="1" applyBorder="1" applyAlignment="1">
      <alignment horizontal="center" vertical="center"/>
    </xf>
    <xf numFmtId="0" fontId="13" fillId="0" borderId="54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/>
    </xf>
    <xf numFmtId="0" fontId="2" fillId="8" borderId="26" xfId="0" applyNumberFormat="1" applyFont="1" applyFill="1" applyBorder="1" applyAlignment="1">
      <alignment horizontal="center" vertical="center"/>
    </xf>
    <xf numFmtId="0" fontId="2" fillId="8" borderId="27" xfId="0" applyNumberFormat="1" applyFont="1" applyFill="1" applyBorder="1" applyAlignment="1">
      <alignment horizontal="center" vertical="center"/>
    </xf>
    <xf numFmtId="14" fontId="10" fillId="10" borderId="1" xfId="3" applyNumberFormat="1" applyFont="1" applyFill="1" applyBorder="1" applyAlignment="1">
      <alignment horizontal="center" vertical="center"/>
    </xf>
    <xf numFmtId="44" fontId="10" fillId="10" borderId="1" xfId="3" applyFont="1" applyFill="1" applyBorder="1" applyAlignment="1">
      <alignment horizontal="center" vertical="center"/>
    </xf>
    <xf numFmtId="44" fontId="10" fillId="10" borderId="7" xfId="3" applyFont="1" applyFill="1" applyBorder="1" applyAlignment="1">
      <alignment horizontal="center" vertical="center"/>
    </xf>
    <xf numFmtId="0" fontId="0" fillId="5" borderId="0" xfId="0" applyNumberFormat="1" applyFill="1" applyBorder="1"/>
    <xf numFmtId="0" fontId="2" fillId="0" borderId="1" xfId="0" applyNumberFormat="1" applyFont="1" applyFill="1" applyBorder="1" applyAlignment="1">
      <alignment horizontal="center" vertical="center"/>
    </xf>
    <xf numFmtId="0" fontId="2" fillId="8" borderId="4" xfId="0" applyNumberFormat="1" applyFont="1" applyFill="1" applyBorder="1" applyAlignment="1">
      <alignment horizontal="center" vertical="center"/>
    </xf>
    <xf numFmtId="0" fontId="2" fillId="8" borderId="25" xfId="0" applyNumberFormat="1" applyFont="1" applyFill="1" applyBorder="1" applyAlignment="1">
      <alignment horizontal="center" vertical="center"/>
    </xf>
    <xf numFmtId="0" fontId="13" fillId="0" borderId="4" xfId="0" applyNumberFormat="1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38" fillId="0" borderId="24" xfId="0" applyNumberFormat="1" applyFont="1" applyFill="1" applyBorder="1" applyAlignment="1">
      <alignment horizontal="center" vertical="center"/>
    </xf>
    <xf numFmtId="0" fontId="38" fillId="0" borderId="21" xfId="0" applyNumberFormat="1" applyFont="1" applyFill="1" applyBorder="1" applyAlignment="1">
      <alignment horizontal="center" vertical="center"/>
    </xf>
    <xf numFmtId="0" fontId="0" fillId="0" borderId="21" xfId="0" applyFont="1" applyBorder="1" applyAlignment="1"/>
    <xf numFmtId="0" fontId="0" fillId="0" borderId="29" xfId="0" applyFont="1" applyBorder="1" applyAlignment="1"/>
  </cellXfs>
  <cellStyles count="14">
    <cellStyle name="Excel_BuiltIn_Currency" xfId="13" xr:uid="{F7F503CA-FC8D-467B-9104-5762F5AAAA93}"/>
    <cellStyle name="Heading" xfId="1" xr:uid="{00000000-0005-0000-0000-000000000000}"/>
    <cellStyle name="Heading1" xfId="2" xr:uid="{00000000-0005-0000-0000-000001000000}"/>
    <cellStyle name="Moeda" xfId="3" builtinId="4"/>
    <cellStyle name="Moeda 2" xfId="10" xr:uid="{00000000-0005-0000-0000-000003000000}"/>
    <cellStyle name="Moeda 3" xfId="12" xr:uid="{60EA630A-3ACE-44F2-A9AE-7EE5F0550532}"/>
    <cellStyle name="Normal" xfId="0" builtinId="0" customBuiltin="1"/>
    <cellStyle name="Normal 2" xfId="9" xr:uid="{00000000-0005-0000-0000-000005000000}"/>
    <cellStyle name="Porcentagem" xfId="4" builtinId="5"/>
    <cellStyle name="Porcentagem 2" xfId="11" xr:uid="{00000000-0005-0000-0000-000007000000}"/>
    <cellStyle name="Result" xfId="5" xr:uid="{00000000-0005-0000-0000-000008000000}"/>
    <cellStyle name="Result2" xfId="6" xr:uid="{00000000-0005-0000-0000-000009000000}"/>
    <cellStyle name="Título 5" xfId="7" xr:uid="{00000000-0005-0000-0000-00000A000000}"/>
    <cellStyle name="Título 6" xfId="8" xr:uid="{00000000-0005-0000-0000-00000B000000}"/>
  </cellStyles>
  <dxfs count="0"/>
  <tableStyles count="0" defaultTableStyle="TableStyleMedium2" defaultPivotStyle="PivotStyleLight16"/>
  <colors>
    <mruColors>
      <color rgb="FF0000FF"/>
      <color rgb="FF66FF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Ursula Moreira de Carvalho" id="{D57D5405-3525-4768-8C74-9480583670BE}" userId="S::Ursula.Carvalho@rfb.gov.br::0cb02a16-14a9-49d5-ab11-5967e4d01429" providerId="AD"/>
</personList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90" dT="2021-06-25T18:57:56.82" personId="{D57D5405-3525-4768-8C74-9480583670BE}" id="{56CC6179-A57F-45A8-A804-4A2C67F37518}">
    <text>Percentual do afastamento paternidade = 5 dias de licença / 365 dias x % de ocorrência anual</text>
  </threadedComment>
  <threadedComment ref="E99" dT="2021-07-23T20:09:20.63" personId="{D57D5405-3525-4768-8C74-9480583670BE}" id="{C4C8FFE1-5EFA-4FD4-BDEE-9A44C467ECDD}">
    <text>Cláusula 29 - Abono correspondente a 1 dia da respectiva remuneração mensal se o empregado autorizar o desconto das contribuições assistenciais laborais.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39"/>
  <sheetViews>
    <sheetView showGridLines="0" zoomScaleNormal="100" workbookViewId="0">
      <selection activeCell="H34" sqref="H34"/>
    </sheetView>
  </sheetViews>
  <sheetFormatPr defaultColWidth="10.625" defaultRowHeight="15" x14ac:dyDescent="0.25"/>
  <cols>
    <col min="1" max="1" width="4.5" customWidth="1"/>
    <col min="2" max="2" width="37.375" style="4" customWidth="1"/>
    <col min="3" max="3" width="18.25" customWidth="1"/>
    <col min="4" max="4" width="16.375" customWidth="1"/>
    <col min="5" max="5" width="18.375" customWidth="1"/>
    <col min="6" max="6" width="16.5" customWidth="1"/>
    <col min="7" max="7" width="10.625" customWidth="1"/>
    <col min="8" max="8" width="19" customWidth="1"/>
    <col min="9" max="9" width="74.75" customWidth="1"/>
  </cols>
  <sheetData>
    <row r="1" spans="1:8" ht="34.5" customHeight="1" thickBot="1" x14ac:dyDescent="0.25">
      <c r="A1" s="472" t="s">
        <v>234</v>
      </c>
      <c r="B1" s="473"/>
      <c r="C1" s="473"/>
      <c r="D1" s="473"/>
      <c r="E1" s="473"/>
      <c r="F1" s="473"/>
      <c r="G1" s="473"/>
      <c r="H1" s="473"/>
    </row>
    <row r="2" spans="1:8" ht="37.5" customHeight="1" thickBot="1" x14ac:dyDescent="0.25">
      <c r="A2" s="470" t="s">
        <v>240</v>
      </c>
      <c r="B2" s="471"/>
      <c r="C2" s="471"/>
      <c r="D2" s="471"/>
      <c r="E2" s="471"/>
      <c r="F2" s="471"/>
      <c r="G2" s="471"/>
      <c r="H2" s="471"/>
    </row>
    <row r="3" spans="1:8" ht="38.25" customHeight="1" thickBot="1" x14ac:dyDescent="0.3">
      <c r="A3" s="477" t="s">
        <v>363</v>
      </c>
      <c r="B3" s="478"/>
      <c r="C3" s="478"/>
      <c r="D3" s="478"/>
      <c r="E3" s="478"/>
      <c r="F3" s="478"/>
      <c r="G3" s="478"/>
      <c r="H3" s="478"/>
    </row>
    <row r="4" spans="1:8" ht="38.25" customHeight="1" thickBot="1" x14ac:dyDescent="0.25">
      <c r="A4" s="479" t="s">
        <v>225</v>
      </c>
      <c r="B4" s="480"/>
      <c r="C4" s="480"/>
      <c r="D4" s="480"/>
      <c r="E4" s="480"/>
      <c r="F4" s="480"/>
      <c r="G4" s="480"/>
      <c r="H4" s="480"/>
    </row>
    <row r="5" spans="1:8" ht="42.75" customHeight="1" thickBot="1" x14ac:dyDescent="0.25">
      <c r="A5" s="481" t="s">
        <v>382</v>
      </c>
      <c r="B5" s="482"/>
      <c r="C5" s="482"/>
      <c r="D5" s="482"/>
      <c r="E5" s="482"/>
      <c r="F5" s="482"/>
      <c r="G5" s="482"/>
      <c r="H5" s="482"/>
    </row>
    <row r="6" spans="1:8" ht="21.75" customHeight="1" thickBot="1" x14ac:dyDescent="0.3">
      <c r="A6" s="61"/>
      <c r="B6" s="69"/>
      <c r="C6" s="60"/>
      <c r="D6" s="60"/>
      <c r="E6" s="60"/>
      <c r="F6" s="60"/>
      <c r="G6" s="60"/>
      <c r="H6" s="60"/>
    </row>
    <row r="7" spans="1:8" ht="23.25" customHeight="1" thickBot="1" x14ac:dyDescent="0.4">
      <c r="A7" s="484" t="s">
        <v>220</v>
      </c>
      <c r="B7" s="485"/>
      <c r="C7" s="485"/>
      <c r="D7" s="485"/>
      <c r="E7" s="485"/>
      <c r="F7" s="485"/>
      <c r="G7" s="485"/>
      <c r="H7" s="485"/>
    </row>
    <row r="8" spans="1:8" ht="26.25" customHeight="1" x14ac:dyDescent="0.25">
      <c r="A8" s="79"/>
      <c r="B8" s="80"/>
      <c r="C8" s="81"/>
      <c r="D8" s="79"/>
      <c r="E8" s="79"/>
      <c r="F8" s="79"/>
      <c r="G8" s="79"/>
      <c r="H8" s="79"/>
    </row>
    <row r="9" spans="1:8" ht="15.75" customHeight="1" x14ac:dyDescent="0.25">
      <c r="A9" s="474" t="s">
        <v>241</v>
      </c>
      <c r="B9" s="475"/>
      <c r="C9" s="475"/>
      <c r="D9" s="475"/>
      <c r="E9" s="475"/>
      <c r="F9" s="475"/>
      <c r="G9" s="475"/>
      <c r="H9" s="476"/>
    </row>
    <row r="10" spans="1:8" ht="15.75" x14ac:dyDescent="0.2">
      <c r="A10" s="109" t="s">
        <v>190</v>
      </c>
      <c r="B10" s="454" t="s">
        <v>191</v>
      </c>
      <c r="C10" s="454"/>
      <c r="D10" s="454"/>
      <c r="E10" s="454"/>
      <c r="F10" s="454"/>
      <c r="G10" s="454"/>
      <c r="H10" s="110"/>
    </row>
    <row r="11" spans="1:8" ht="15.75" x14ac:dyDescent="0.2">
      <c r="A11" s="82" t="s">
        <v>192</v>
      </c>
      <c r="B11" s="453" t="s">
        <v>242</v>
      </c>
      <c r="C11" s="453"/>
      <c r="D11" s="453"/>
      <c r="E11" s="453"/>
      <c r="F11" s="453"/>
      <c r="G11" s="453"/>
      <c r="H11" s="83" t="s">
        <v>243</v>
      </c>
    </row>
    <row r="12" spans="1:8" x14ac:dyDescent="0.2">
      <c r="A12" s="82" t="s">
        <v>202</v>
      </c>
      <c r="B12" s="453" t="s">
        <v>244</v>
      </c>
      <c r="C12" s="453"/>
      <c r="D12" s="453"/>
      <c r="E12" s="453"/>
      <c r="F12" s="453"/>
      <c r="G12" s="453"/>
      <c r="H12" s="203"/>
    </row>
    <row r="13" spans="1:8" ht="15.75" x14ac:dyDescent="0.2">
      <c r="A13" s="111" t="s">
        <v>195</v>
      </c>
      <c r="B13" s="487" t="s">
        <v>196</v>
      </c>
      <c r="C13" s="487"/>
      <c r="D13" s="487"/>
      <c r="E13" s="487"/>
      <c r="F13" s="487"/>
      <c r="G13" s="487"/>
      <c r="H13" s="112">
        <v>12</v>
      </c>
    </row>
    <row r="14" spans="1:8" ht="15.75" x14ac:dyDescent="0.25">
      <c r="A14" s="474" t="s">
        <v>245</v>
      </c>
      <c r="B14" s="475"/>
      <c r="C14" s="475"/>
      <c r="D14" s="475"/>
      <c r="E14" s="475"/>
      <c r="F14" s="475"/>
      <c r="G14" s="475"/>
      <c r="H14" s="476"/>
    </row>
    <row r="15" spans="1:8" ht="29.25" customHeight="1" x14ac:dyDescent="0.2">
      <c r="A15" s="488" t="s">
        <v>198</v>
      </c>
      <c r="B15" s="488"/>
      <c r="C15" s="488"/>
      <c r="D15" s="488" t="s">
        <v>246</v>
      </c>
      <c r="E15" s="488"/>
      <c r="F15" s="489" t="s">
        <v>485</v>
      </c>
      <c r="G15" s="489"/>
      <c r="H15" s="489"/>
    </row>
    <row r="16" spans="1:8" ht="15.75" x14ac:dyDescent="0.2">
      <c r="A16" s="469" t="s">
        <v>306</v>
      </c>
      <c r="B16" s="469"/>
      <c r="C16" s="469"/>
      <c r="D16" s="469" t="s">
        <v>248</v>
      </c>
      <c r="E16" s="469"/>
      <c r="F16" s="469">
        <v>1</v>
      </c>
      <c r="G16" s="469"/>
      <c r="H16" s="469"/>
    </row>
    <row r="17" spans="1:9" ht="30" customHeight="1" x14ac:dyDescent="0.2">
      <c r="A17" s="483" t="s">
        <v>249</v>
      </c>
      <c r="B17" s="483"/>
      <c r="C17" s="483"/>
      <c r="D17" s="483"/>
      <c r="E17" s="483"/>
      <c r="F17" s="483"/>
      <c r="G17" s="483"/>
      <c r="H17" s="483"/>
    </row>
    <row r="18" spans="1:9" ht="15.75" x14ac:dyDescent="0.2">
      <c r="A18" s="486" t="s">
        <v>250</v>
      </c>
      <c r="B18" s="486"/>
      <c r="C18" s="486"/>
      <c r="D18" s="486"/>
      <c r="E18" s="486"/>
      <c r="F18" s="486"/>
      <c r="G18" s="486"/>
      <c r="H18" s="486"/>
    </row>
    <row r="19" spans="1:9" ht="15.75" x14ac:dyDescent="0.25">
      <c r="A19" s="432" t="s">
        <v>251</v>
      </c>
      <c r="B19" s="433"/>
      <c r="C19" s="433"/>
      <c r="D19" s="433"/>
      <c r="E19" s="433"/>
      <c r="F19" s="433"/>
      <c r="G19" s="433"/>
      <c r="H19" s="434"/>
    </row>
    <row r="20" spans="1:9" ht="15.75" x14ac:dyDescent="0.2">
      <c r="A20" s="82"/>
      <c r="B20" s="453" t="s">
        <v>383</v>
      </c>
      <c r="C20" s="453"/>
      <c r="D20" s="453"/>
      <c r="E20" s="453"/>
      <c r="F20" s="453"/>
      <c r="G20" s="453"/>
      <c r="H20" s="86" t="s">
        <v>247</v>
      </c>
    </row>
    <row r="21" spans="1:9" x14ac:dyDescent="0.2">
      <c r="A21" s="82"/>
      <c r="B21" s="453" t="s">
        <v>252</v>
      </c>
      <c r="C21" s="453"/>
      <c r="D21" s="453"/>
      <c r="E21" s="453"/>
      <c r="F21" s="453"/>
      <c r="G21" s="453"/>
      <c r="H21" s="97"/>
    </row>
    <row r="22" spans="1:9" x14ac:dyDescent="0.2">
      <c r="A22" s="82"/>
      <c r="B22" s="453" t="s">
        <v>253</v>
      </c>
      <c r="C22" s="453"/>
      <c r="D22" s="453"/>
      <c r="E22" s="453"/>
      <c r="F22" s="453"/>
      <c r="G22" s="453"/>
      <c r="H22" s="378"/>
    </row>
    <row r="23" spans="1:9" x14ac:dyDescent="0.2">
      <c r="A23" s="111"/>
      <c r="B23" s="487" t="s">
        <v>254</v>
      </c>
      <c r="C23" s="487"/>
      <c r="D23" s="487"/>
      <c r="E23" s="487"/>
      <c r="F23" s="487"/>
      <c r="G23" s="487"/>
      <c r="H23" s="119"/>
    </row>
    <row r="24" spans="1:9" ht="15.75" x14ac:dyDescent="0.25">
      <c r="A24" s="432" t="s">
        <v>255</v>
      </c>
      <c r="B24" s="433"/>
      <c r="C24" s="433"/>
      <c r="D24" s="433"/>
      <c r="E24" s="433"/>
      <c r="F24" s="433"/>
      <c r="G24" s="433"/>
      <c r="H24" s="434"/>
    </row>
    <row r="25" spans="1:9" x14ac:dyDescent="0.2">
      <c r="A25" s="113"/>
      <c r="B25" s="435" t="s">
        <v>200</v>
      </c>
      <c r="C25" s="435"/>
      <c r="D25" s="435"/>
      <c r="E25" s="435"/>
      <c r="F25" s="435"/>
      <c r="G25" s="435"/>
      <c r="H25" s="120" t="s">
        <v>256</v>
      </c>
    </row>
    <row r="26" spans="1:9" x14ac:dyDescent="0.2">
      <c r="A26" s="82" t="s">
        <v>190</v>
      </c>
      <c r="B26" s="427" t="s">
        <v>257</v>
      </c>
      <c r="C26" s="427"/>
      <c r="D26" s="427"/>
      <c r="E26" s="427"/>
      <c r="F26" s="427"/>
      <c r="G26" s="427"/>
      <c r="H26" s="147">
        <f>H21</f>
        <v>0</v>
      </c>
    </row>
    <row r="27" spans="1:9" x14ac:dyDescent="0.2">
      <c r="A27" s="82" t="s">
        <v>192</v>
      </c>
      <c r="B27" s="427" t="s">
        <v>258</v>
      </c>
      <c r="C27" s="427"/>
      <c r="D27" s="427"/>
      <c r="E27" s="427"/>
      <c r="F27" s="427"/>
      <c r="G27" s="427"/>
      <c r="H27" s="147"/>
    </row>
    <row r="28" spans="1:9" ht="15.75" x14ac:dyDescent="0.2">
      <c r="A28" s="82" t="s">
        <v>202</v>
      </c>
      <c r="B28" s="424" t="s">
        <v>500</v>
      </c>
      <c r="C28" s="425"/>
      <c r="D28" s="425"/>
      <c r="E28" s="426"/>
      <c r="F28" s="422">
        <v>0</v>
      </c>
      <c r="G28" s="423"/>
      <c r="H28" s="198">
        <f>0.2*F28</f>
        <v>0</v>
      </c>
      <c r="I28" t="s">
        <v>527</v>
      </c>
    </row>
    <row r="29" spans="1:9" x14ac:dyDescent="0.2">
      <c r="A29" s="82" t="s">
        <v>195</v>
      </c>
      <c r="B29" s="427" t="s">
        <v>259</v>
      </c>
      <c r="C29" s="427"/>
      <c r="D29" s="427"/>
      <c r="E29" s="427"/>
      <c r="F29" s="427"/>
      <c r="G29" s="427"/>
      <c r="H29" s="147"/>
    </row>
    <row r="30" spans="1:9" x14ac:dyDescent="0.2">
      <c r="A30" s="82" t="s">
        <v>226</v>
      </c>
      <c r="B30" s="427" t="s">
        <v>260</v>
      </c>
      <c r="C30" s="427"/>
      <c r="D30" s="427"/>
      <c r="E30" s="427"/>
      <c r="F30" s="427"/>
      <c r="G30" s="427"/>
      <c r="H30" s="147"/>
    </row>
    <row r="31" spans="1:9" x14ac:dyDescent="0.2">
      <c r="A31" s="82" t="s">
        <v>261</v>
      </c>
      <c r="B31" s="427" t="s">
        <v>336</v>
      </c>
      <c r="C31" s="427"/>
      <c r="D31" s="427"/>
      <c r="E31" s="427"/>
      <c r="F31" s="427"/>
      <c r="G31" s="427"/>
      <c r="H31" s="198"/>
    </row>
    <row r="32" spans="1:9" x14ac:dyDescent="0.2">
      <c r="A32" s="82" t="s">
        <v>262</v>
      </c>
      <c r="B32" s="424" t="s">
        <v>518</v>
      </c>
      <c r="C32" s="451"/>
      <c r="D32" s="451"/>
      <c r="E32" s="451"/>
      <c r="F32" s="451"/>
      <c r="G32" s="452"/>
      <c r="H32" s="198">
        <f>H26*0.2</f>
        <v>0</v>
      </c>
      <c r="I32" t="s">
        <v>528</v>
      </c>
    </row>
    <row r="33" spans="1:8" x14ac:dyDescent="0.2">
      <c r="A33" s="286" t="s">
        <v>275</v>
      </c>
      <c r="B33" s="85" t="s">
        <v>335</v>
      </c>
      <c r="C33" s="445" t="s">
        <v>341</v>
      </c>
      <c r="D33" s="446"/>
      <c r="E33" s="446"/>
      <c r="F33" s="446"/>
      <c r="G33" s="447"/>
      <c r="H33" s="198"/>
    </row>
    <row r="34" spans="1:8" ht="15.75" x14ac:dyDescent="0.2">
      <c r="A34" s="111"/>
      <c r="B34" s="431" t="s">
        <v>263</v>
      </c>
      <c r="C34" s="431"/>
      <c r="D34" s="431"/>
      <c r="E34" s="431"/>
      <c r="F34" s="431"/>
      <c r="G34" s="431"/>
      <c r="H34" s="419">
        <f>SUM(H26:H33)</f>
        <v>0</v>
      </c>
    </row>
    <row r="35" spans="1:8" ht="15.75" x14ac:dyDescent="0.25">
      <c r="A35" s="432" t="s">
        <v>362</v>
      </c>
      <c r="B35" s="433"/>
      <c r="C35" s="433"/>
      <c r="D35" s="433"/>
      <c r="E35" s="433"/>
      <c r="F35" s="433"/>
      <c r="G35" s="433"/>
      <c r="H35" s="434"/>
    </row>
    <row r="36" spans="1:8" x14ac:dyDescent="0.2">
      <c r="A36" s="113"/>
      <c r="B36" s="435" t="s">
        <v>264</v>
      </c>
      <c r="C36" s="435"/>
      <c r="D36" s="435"/>
      <c r="E36" s="435"/>
      <c r="F36" s="435"/>
      <c r="G36" s="435"/>
      <c r="H36" s="120" t="s">
        <v>256</v>
      </c>
    </row>
    <row r="37" spans="1:8" x14ac:dyDescent="0.2">
      <c r="A37" s="82" t="s">
        <v>190</v>
      </c>
      <c r="B37" s="427" t="s">
        <v>265</v>
      </c>
      <c r="C37" s="427"/>
      <c r="D37" s="427"/>
      <c r="E37" s="427"/>
      <c r="F37" s="427"/>
      <c r="G37" s="427"/>
      <c r="H37" s="147">
        <f>'Benefícios da Mão de Obra'!G12</f>
        <v>0</v>
      </c>
    </row>
    <row r="38" spans="1:8" x14ac:dyDescent="0.2">
      <c r="A38" s="82" t="s">
        <v>192</v>
      </c>
      <c r="B38" s="427" t="s">
        <v>330</v>
      </c>
      <c r="C38" s="427"/>
      <c r="D38" s="427"/>
      <c r="E38" s="427"/>
      <c r="F38" s="427"/>
      <c r="G38" s="427"/>
      <c r="H38" s="147">
        <f>'Benefícios da Mão de Obra'!G15</f>
        <v>0</v>
      </c>
    </row>
    <row r="39" spans="1:8" x14ac:dyDescent="0.2">
      <c r="A39" s="84" t="s">
        <v>202</v>
      </c>
      <c r="B39" s="186" t="s">
        <v>457</v>
      </c>
      <c r="H39" s="147">
        <f>'Benefícios da Mão de Obra'!G18</f>
        <v>0</v>
      </c>
    </row>
    <row r="40" spans="1:8" x14ac:dyDescent="0.2">
      <c r="A40" s="84" t="s">
        <v>195</v>
      </c>
      <c r="B40" s="424" t="s">
        <v>331</v>
      </c>
      <c r="C40" s="451"/>
      <c r="D40" s="451"/>
      <c r="E40" s="451"/>
      <c r="F40" s="451"/>
      <c r="G40" s="452"/>
      <c r="H40" s="155">
        <f>'Benefícios da Mão de Obra'!G21</f>
        <v>0</v>
      </c>
    </row>
    <row r="41" spans="1:8" x14ac:dyDescent="0.2">
      <c r="A41" s="82" t="s">
        <v>226</v>
      </c>
      <c r="B41" s="277" t="s">
        <v>329</v>
      </c>
      <c r="C41" s="278"/>
      <c r="D41" s="278"/>
      <c r="E41" s="278"/>
      <c r="F41" s="278"/>
      <c r="G41" s="279"/>
      <c r="H41" s="155">
        <f>'Benefícios da Mão de Obra'!G24</f>
        <v>0</v>
      </c>
    </row>
    <row r="42" spans="1:8" x14ac:dyDescent="0.2">
      <c r="A42" s="82" t="s">
        <v>261</v>
      </c>
      <c r="B42" s="427" t="s">
        <v>332</v>
      </c>
      <c r="C42" s="427"/>
      <c r="D42" s="427"/>
      <c r="E42" s="427"/>
      <c r="F42" s="427"/>
      <c r="G42" s="427"/>
      <c r="H42" s="147">
        <f>'Benefícios da Mão de Obra'!G27</f>
        <v>0</v>
      </c>
    </row>
    <row r="43" spans="1:8" x14ac:dyDescent="0.2">
      <c r="A43" s="82" t="s">
        <v>262</v>
      </c>
      <c r="B43" s="427" t="s">
        <v>333</v>
      </c>
      <c r="C43" s="427"/>
      <c r="D43" s="427"/>
      <c r="E43" s="427"/>
      <c r="F43" s="427"/>
      <c r="G43" s="427"/>
      <c r="H43" s="147">
        <f>'Benefícios da Mão de Obra'!G30</f>
        <v>0</v>
      </c>
    </row>
    <row r="44" spans="1:8" x14ac:dyDescent="0.2">
      <c r="A44" s="391" t="s">
        <v>275</v>
      </c>
      <c r="B44" s="468" t="s">
        <v>334</v>
      </c>
      <c r="C44" s="468"/>
      <c r="D44" s="468"/>
      <c r="E44" s="468"/>
      <c r="F44" s="468"/>
      <c r="G44" s="468"/>
      <c r="H44" s="392">
        <f>'Benefícios da Mão de Obra'!G33</f>
        <v>0</v>
      </c>
    </row>
    <row r="45" spans="1:8" x14ac:dyDescent="0.2">
      <c r="A45" s="393" t="s">
        <v>328</v>
      </c>
      <c r="B45" s="394" t="str">
        <f>'Benefícios da Mão de Obra'!A35</f>
        <v>OUTROS :</v>
      </c>
      <c r="C45" s="258" t="str">
        <f>IF('Benefícios da Mão de Obra'!B35="Especifique","",'Benefícios da Mão de Obra'!B35)</f>
        <v/>
      </c>
      <c r="D45" s="385"/>
      <c r="E45" s="385"/>
      <c r="F45" s="385"/>
      <c r="G45" s="395"/>
      <c r="H45" s="396">
        <f>'Benefícios da Mão de Obra'!G36</f>
        <v>0</v>
      </c>
    </row>
    <row r="46" spans="1:8" x14ac:dyDescent="0.2">
      <c r="A46" s="386" t="s">
        <v>456</v>
      </c>
      <c r="B46" s="387" t="str">
        <f>'Benefícios da Mão de Obra'!A38</f>
        <v>OUTROS :</v>
      </c>
      <c r="C46" s="258" t="str">
        <f>IF('Benefícios da Mão de Obra'!B38="Especifique","",'Benefícios da Mão de Obra'!B38)</f>
        <v/>
      </c>
      <c r="D46" s="383"/>
      <c r="E46" s="388"/>
      <c r="F46" s="388"/>
      <c r="G46" s="389"/>
      <c r="H46" s="390">
        <f>'Benefícios da Mão de Obra'!G39</f>
        <v>0</v>
      </c>
    </row>
    <row r="47" spans="1:8" ht="15.75" x14ac:dyDescent="0.2">
      <c r="A47" s="111"/>
      <c r="B47" s="455" t="s">
        <v>376</v>
      </c>
      <c r="C47" s="456"/>
      <c r="D47" s="456"/>
      <c r="E47" s="457"/>
      <c r="F47" s="457"/>
      <c r="G47" s="458"/>
      <c r="H47" s="148">
        <f>SUM(H37:H46)</f>
        <v>0</v>
      </c>
    </row>
    <row r="48" spans="1:8" ht="15.75" x14ac:dyDescent="0.25">
      <c r="A48" s="432" t="s">
        <v>378</v>
      </c>
      <c r="B48" s="433"/>
      <c r="C48" s="433"/>
      <c r="D48" s="433"/>
      <c r="E48" s="433"/>
      <c r="F48" s="433"/>
      <c r="G48" s="433"/>
      <c r="H48" s="434"/>
    </row>
    <row r="49" spans="1:9" x14ac:dyDescent="0.2">
      <c r="A49" s="113"/>
      <c r="B49" s="435" t="s">
        <v>386</v>
      </c>
      <c r="C49" s="435"/>
      <c r="D49" s="435"/>
      <c r="E49" s="435"/>
      <c r="F49" s="435"/>
      <c r="G49" s="435"/>
      <c r="H49" s="120" t="s">
        <v>256</v>
      </c>
    </row>
    <row r="50" spans="1:9" ht="15.75" x14ac:dyDescent="0.2">
      <c r="A50" s="82" t="s">
        <v>190</v>
      </c>
      <c r="B50" s="427" t="s">
        <v>344</v>
      </c>
      <c r="C50" s="427"/>
      <c r="D50" s="427"/>
      <c r="E50" s="427"/>
      <c r="F50" s="427"/>
      <c r="G50" s="427"/>
      <c r="H50" s="289">
        <v>0</v>
      </c>
    </row>
    <row r="51" spans="1:9" ht="15.75" x14ac:dyDescent="0.2">
      <c r="A51" s="84" t="s">
        <v>192</v>
      </c>
      <c r="B51" s="459" t="s">
        <v>345</v>
      </c>
      <c r="C51" s="460"/>
      <c r="D51" s="460"/>
      <c r="E51" s="460"/>
      <c r="F51" s="460"/>
      <c r="G51" s="461"/>
      <c r="H51" s="289">
        <v>0</v>
      </c>
    </row>
    <row r="52" spans="1:9" ht="15.75" x14ac:dyDescent="0.2">
      <c r="A52" s="153" t="s">
        <v>202</v>
      </c>
      <c r="B52" s="427" t="s">
        <v>496</v>
      </c>
      <c r="C52" s="427"/>
      <c r="D52" s="427"/>
      <c r="E52" s="427"/>
      <c r="F52" s="427"/>
      <c r="G52" s="427"/>
      <c r="H52" s="289">
        <v>0</v>
      </c>
    </row>
    <row r="53" spans="1:9" ht="31.5" customHeight="1" x14ac:dyDescent="0.2">
      <c r="A53" s="380" t="s">
        <v>195</v>
      </c>
      <c r="B53" s="465" t="s">
        <v>519</v>
      </c>
      <c r="C53" s="466"/>
      <c r="D53" s="466"/>
      <c r="E53" s="466"/>
      <c r="F53" s="466"/>
      <c r="G53" s="467"/>
      <c r="H53" s="381">
        <v>0</v>
      </c>
      <c r="I53" s="384" t="s">
        <v>520</v>
      </c>
    </row>
    <row r="54" spans="1:9" x14ac:dyDescent="0.2">
      <c r="A54" s="82" t="s">
        <v>226</v>
      </c>
      <c r="B54" s="85" t="s">
        <v>426</v>
      </c>
      <c r="C54" s="462"/>
      <c r="D54" s="463"/>
      <c r="E54" s="463"/>
      <c r="F54" s="463"/>
      <c r="G54" s="464"/>
      <c r="H54" s="289">
        <v>0</v>
      </c>
    </row>
    <row r="55" spans="1:9" ht="15.75" x14ac:dyDescent="0.2">
      <c r="A55" s="111"/>
      <c r="B55" s="431" t="s">
        <v>379</v>
      </c>
      <c r="C55" s="431"/>
      <c r="D55" s="431"/>
      <c r="E55" s="431"/>
      <c r="F55" s="431"/>
      <c r="G55" s="431"/>
      <c r="H55" s="148">
        <f>SUM(H50:H54)</f>
        <v>0</v>
      </c>
    </row>
    <row r="56" spans="1:9" ht="15.75" x14ac:dyDescent="0.25">
      <c r="A56" s="432" t="s">
        <v>266</v>
      </c>
      <c r="B56" s="433"/>
      <c r="C56" s="433"/>
      <c r="D56" s="433"/>
      <c r="E56" s="433"/>
      <c r="F56" s="433"/>
      <c r="G56" s="433"/>
      <c r="H56" s="434"/>
    </row>
    <row r="57" spans="1:9" ht="15.75" x14ac:dyDescent="0.25">
      <c r="A57" s="432" t="s">
        <v>337</v>
      </c>
      <c r="B57" s="433"/>
      <c r="C57" s="433"/>
      <c r="D57" s="433"/>
      <c r="E57" s="433"/>
      <c r="F57" s="433"/>
      <c r="G57" s="433"/>
      <c r="H57" s="434"/>
    </row>
    <row r="58" spans="1:9" x14ac:dyDescent="0.2">
      <c r="A58" s="113" t="s">
        <v>267</v>
      </c>
      <c r="B58" s="454" t="s">
        <v>268</v>
      </c>
      <c r="C58" s="454"/>
      <c r="D58" s="454"/>
      <c r="E58" s="454"/>
      <c r="F58" s="454"/>
      <c r="G58" s="113" t="s">
        <v>205</v>
      </c>
      <c r="H58" s="113" t="s">
        <v>256</v>
      </c>
    </row>
    <row r="59" spans="1:9" x14ac:dyDescent="0.2">
      <c r="A59" s="82" t="s">
        <v>190</v>
      </c>
      <c r="B59" s="453" t="s">
        <v>269</v>
      </c>
      <c r="C59" s="453"/>
      <c r="D59" s="453"/>
      <c r="E59" s="453"/>
      <c r="F59" s="453"/>
      <c r="G59" s="89">
        <v>0</v>
      </c>
      <c r="H59" s="147">
        <f>G59*H34</f>
        <v>0</v>
      </c>
    </row>
    <row r="60" spans="1:9" x14ac:dyDescent="0.2">
      <c r="A60" s="82" t="s">
        <v>192</v>
      </c>
      <c r="B60" s="453" t="s">
        <v>270</v>
      </c>
      <c r="C60" s="453"/>
      <c r="D60" s="453"/>
      <c r="E60" s="453"/>
      <c r="F60" s="453"/>
      <c r="G60" s="89">
        <v>0</v>
      </c>
      <c r="H60" s="147">
        <f>G60*H34</f>
        <v>0</v>
      </c>
    </row>
    <row r="61" spans="1:9" x14ac:dyDescent="0.2">
      <c r="A61" s="82" t="s">
        <v>202</v>
      </c>
      <c r="B61" s="453" t="s">
        <v>271</v>
      </c>
      <c r="C61" s="453"/>
      <c r="D61" s="453"/>
      <c r="E61" s="453"/>
      <c r="F61" s="453"/>
      <c r="G61" s="89">
        <v>0</v>
      </c>
      <c r="H61" s="147">
        <f>G61*H34</f>
        <v>0</v>
      </c>
    </row>
    <row r="62" spans="1:9" x14ac:dyDescent="0.2">
      <c r="A62" s="82" t="s">
        <v>195</v>
      </c>
      <c r="B62" s="453" t="s">
        <v>272</v>
      </c>
      <c r="C62" s="453"/>
      <c r="D62" s="453"/>
      <c r="E62" s="453"/>
      <c r="F62" s="453"/>
      <c r="G62" s="89">
        <v>0</v>
      </c>
      <c r="H62" s="147">
        <f>G62*H34</f>
        <v>0</v>
      </c>
    </row>
    <row r="63" spans="1:9" x14ac:dyDescent="0.2">
      <c r="A63" s="82" t="s">
        <v>226</v>
      </c>
      <c r="B63" s="453" t="s">
        <v>273</v>
      </c>
      <c r="C63" s="453"/>
      <c r="D63" s="453"/>
      <c r="E63" s="453"/>
      <c r="F63" s="453"/>
      <c r="G63" s="89">
        <v>0</v>
      </c>
      <c r="H63" s="147">
        <f>G63*H34</f>
        <v>0</v>
      </c>
    </row>
    <row r="64" spans="1:9" x14ac:dyDescent="0.2">
      <c r="A64" s="82" t="s">
        <v>261</v>
      </c>
      <c r="B64" s="453" t="s">
        <v>274</v>
      </c>
      <c r="C64" s="453"/>
      <c r="D64" s="453"/>
      <c r="E64" s="453"/>
      <c r="F64" s="453"/>
      <c r="G64" s="89">
        <v>0</v>
      </c>
      <c r="H64" s="147">
        <f>G64*H34</f>
        <v>0</v>
      </c>
    </row>
    <row r="65" spans="1:9" x14ac:dyDescent="0.2">
      <c r="A65" s="82" t="s">
        <v>262</v>
      </c>
      <c r="B65" s="151" t="s">
        <v>387</v>
      </c>
      <c r="C65" s="200">
        <v>0</v>
      </c>
      <c r="D65" s="291"/>
      <c r="E65" s="333" t="s">
        <v>388</v>
      </c>
      <c r="F65" s="202">
        <v>0</v>
      </c>
      <c r="G65" s="201">
        <f>C65*F65</f>
        <v>0</v>
      </c>
      <c r="H65" s="147">
        <f>G65*H34</f>
        <v>0</v>
      </c>
    </row>
    <row r="66" spans="1:9" x14ac:dyDescent="0.2">
      <c r="A66" s="82" t="s">
        <v>275</v>
      </c>
      <c r="B66" s="427" t="s">
        <v>276</v>
      </c>
      <c r="C66" s="427"/>
      <c r="D66" s="427"/>
      <c r="E66" s="427"/>
      <c r="F66" s="427"/>
      <c r="G66" s="89">
        <v>0</v>
      </c>
      <c r="H66" s="147">
        <f>G66*H34</f>
        <v>0</v>
      </c>
    </row>
    <row r="67" spans="1:9" ht="15.75" x14ac:dyDescent="0.2">
      <c r="A67" s="431" t="s">
        <v>338</v>
      </c>
      <c r="B67" s="431"/>
      <c r="C67" s="431"/>
      <c r="D67" s="431"/>
      <c r="E67" s="431"/>
      <c r="F67" s="431"/>
      <c r="G67" s="122">
        <f>SUM(G59:G66)</f>
        <v>0</v>
      </c>
      <c r="H67" s="148">
        <f>SUM(H59:H66)</f>
        <v>0</v>
      </c>
    </row>
    <row r="68" spans="1:9" ht="15.75" x14ac:dyDescent="0.25">
      <c r="A68" s="432" t="s">
        <v>389</v>
      </c>
      <c r="B68" s="433"/>
      <c r="C68" s="433"/>
      <c r="D68" s="433"/>
      <c r="E68" s="433"/>
      <c r="F68" s="433"/>
      <c r="G68" s="433"/>
      <c r="H68" s="434"/>
    </row>
    <row r="69" spans="1:9" x14ac:dyDescent="0.2">
      <c r="A69" s="113" t="s">
        <v>278</v>
      </c>
      <c r="B69" s="435" t="s">
        <v>390</v>
      </c>
      <c r="C69" s="435"/>
      <c r="D69" s="435"/>
      <c r="E69" s="435"/>
      <c r="F69" s="435"/>
      <c r="G69" s="435"/>
      <c r="H69" s="113" t="s">
        <v>256</v>
      </c>
    </row>
    <row r="70" spans="1:9" x14ac:dyDescent="0.2">
      <c r="A70" s="82" t="s">
        <v>190</v>
      </c>
      <c r="B70" s="424" t="s">
        <v>279</v>
      </c>
      <c r="C70" s="451"/>
      <c r="D70" s="451"/>
      <c r="E70" s="451"/>
      <c r="F70" s="452"/>
      <c r="G70" s="90">
        <f>1/12</f>
        <v>8.3333333333333329E-2</v>
      </c>
      <c r="H70" s="147">
        <f>G70*H34</f>
        <v>0</v>
      </c>
    </row>
    <row r="71" spans="1:9" x14ac:dyDescent="0.2">
      <c r="A71" s="153" t="s">
        <v>192</v>
      </c>
      <c r="B71" s="424" t="s">
        <v>391</v>
      </c>
      <c r="C71" s="451"/>
      <c r="D71" s="451"/>
      <c r="E71" s="451"/>
      <c r="F71" s="452"/>
      <c r="G71" s="154">
        <f>(1/11)/3</f>
        <v>3.0303030303030304E-2</v>
      </c>
      <c r="H71" s="155">
        <f>G71*H34</f>
        <v>0</v>
      </c>
    </row>
    <row r="72" spans="1:9" ht="15.75" x14ac:dyDescent="0.2">
      <c r="A72" s="428" t="s">
        <v>280</v>
      </c>
      <c r="B72" s="428"/>
      <c r="C72" s="428"/>
      <c r="D72" s="428"/>
      <c r="E72" s="428"/>
      <c r="F72" s="428"/>
      <c r="G72" s="428"/>
      <c r="H72" s="149">
        <f>SUM(H70:H71)</f>
        <v>0</v>
      </c>
    </row>
    <row r="73" spans="1:9" x14ac:dyDescent="0.2">
      <c r="A73" s="82" t="s">
        <v>202</v>
      </c>
      <c r="B73" s="427" t="s">
        <v>392</v>
      </c>
      <c r="C73" s="427"/>
      <c r="D73" s="427"/>
      <c r="E73" s="427"/>
      <c r="F73" s="427"/>
      <c r="G73" s="427"/>
      <c r="H73" s="147">
        <f>G67*H72</f>
        <v>0</v>
      </c>
    </row>
    <row r="74" spans="1:9" ht="15.75" x14ac:dyDescent="0.2">
      <c r="A74" s="431" t="s">
        <v>393</v>
      </c>
      <c r="B74" s="431"/>
      <c r="C74" s="431"/>
      <c r="D74" s="431"/>
      <c r="E74" s="431"/>
      <c r="F74" s="431"/>
      <c r="G74" s="431"/>
      <c r="H74" s="148">
        <f>SUM(H72:H73)</f>
        <v>0</v>
      </c>
    </row>
    <row r="75" spans="1:9" ht="15.75" x14ac:dyDescent="0.25">
      <c r="A75" s="432" t="s">
        <v>394</v>
      </c>
      <c r="B75" s="433"/>
      <c r="C75" s="433"/>
      <c r="D75" s="433"/>
      <c r="E75" s="433"/>
      <c r="F75" s="433"/>
      <c r="G75" s="433"/>
      <c r="H75" s="434"/>
    </row>
    <row r="76" spans="1:9" x14ac:dyDescent="0.2">
      <c r="A76" s="205" t="s">
        <v>281</v>
      </c>
      <c r="B76" s="448" t="s">
        <v>284</v>
      </c>
      <c r="C76" s="448"/>
      <c r="D76" s="448"/>
      <c r="E76" s="448"/>
      <c r="F76" s="448"/>
      <c r="G76" s="448"/>
      <c r="H76" s="113" t="s">
        <v>256</v>
      </c>
    </row>
    <row r="77" spans="1:9" x14ac:dyDescent="0.2">
      <c r="A77" s="206" t="s">
        <v>190</v>
      </c>
      <c r="B77" s="208" t="s">
        <v>285</v>
      </c>
      <c r="C77" s="199"/>
      <c r="D77" s="497" t="s">
        <v>396</v>
      </c>
      <c r="E77" s="496"/>
      <c r="F77" s="211">
        <v>0</v>
      </c>
      <c r="G77" s="209"/>
      <c r="H77" s="339">
        <f>(H34/12)*F77</f>
        <v>0</v>
      </c>
      <c r="I77" s="341" t="s">
        <v>409</v>
      </c>
    </row>
    <row r="78" spans="1:9" x14ac:dyDescent="0.2">
      <c r="A78" s="206" t="s">
        <v>395</v>
      </c>
      <c r="B78" s="208" t="s">
        <v>400</v>
      </c>
      <c r="C78" s="207">
        <v>0</v>
      </c>
      <c r="D78" s="495" t="s">
        <v>396</v>
      </c>
      <c r="E78" s="496"/>
      <c r="F78" s="210">
        <f>C78/30/H13</f>
        <v>0</v>
      </c>
      <c r="G78" s="204"/>
      <c r="H78" s="339">
        <f>F78*H34</f>
        <v>0</v>
      </c>
      <c r="I78" s="342" t="s">
        <v>413</v>
      </c>
    </row>
    <row r="79" spans="1:9" x14ac:dyDescent="0.2">
      <c r="A79" s="82" t="s">
        <v>192</v>
      </c>
      <c r="B79" s="450" t="s">
        <v>397</v>
      </c>
      <c r="C79" s="450"/>
      <c r="D79" s="450"/>
      <c r="E79" s="450"/>
      <c r="F79" s="450"/>
      <c r="G79" s="427"/>
      <c r="H79" s="340">
        <f>SUM(H77:H78)*G64</f>
        <v>0</v>
      </c>
      <c r="I79" s="342" t="s">
        <v>410</v>
      </c>
    </row>
    <row r="80" spans="1:9" x14ac:dyDescent="0.2">
      <c r="A80" s="213" t="s">
        <v>202</v>
      </c>
      <c r="B80" s="498" t="s">
        <v>286</v>
      </c>
      <c r="C80" s="499"/>
      <c r="D80" s="500" t="s">
        <v>396</v>
      </c>
      <c r="E80" s="501"/>
      <c r="F80" s="214">
        <f>100%-F77</f>
        <v>1</v>
      </c>
      <c r="G80" s="212"/>
      <c r="H80" s="340">
        <f>F80*(H34/12)</f>
        <v>0</v>
      </c>
      <c r="I80" s="342" t="s">
        <v>411</v>
      </c>
    </row>
    <row r="81" spans="1:12" x14ac:dyDescent="0.2">
      <c r="A81" s="153" t="s">
        <v>398</v>
      </c>
      <c r="B81" s="152" t="s">
        <v>399</v>
      </c>
      <c r="C81" s="215">
        <v>0</v>
      </c>
      <c r="D81" s="502" t="s">
        <v>396</v>
      </c>
      <c r="E81" s="503"/>
      <c r="F81" s="216">
        <f>C81/30/H13</f>
        <v>0</v>
      </c>
      <c r="G81" s="154"/>
      <c r="H81" s="340">
        <f>H34*F81</f>
        <v>0</v>
      </c>
      <c r="I81" s="342" t="s">
        <v>413</v>
      </c>
    </row>
    <row r="82" spans="1:12" x14ac:dyDescent="0.2">
      <c r="A82" s="82" t="s">
        <v>195</v>
      </c>
      <c r="B82" s="449" t="s">
        <v>287</v>
      </c>
      <c r="C82" s="449"/>
      <c r="D82" s="449"/>
      <c r="E82" s="449"/>
      <c r="F82" s="449"/>
      <c r="G82" s="449"/>
      <c r="H82" s="340">
        <f>G67*(H80+H81)</f>
        <v>0</v>
      </c>
      <c r="I82" s="343" t="s">
        <v>412</v>
      </c>
    </row>
    <row r="83" spans="1:12" x14ac:dyDescent="0.2">
      <c r="A83" s="82" t="s">
        <v>226</v>
      </c>
      <c r="B83" s="293" t="s">
        <v>401</v>
      </c>
      <c r="C83" s="504" t="s">
        <v>402</v>
      </c>
      <c r="D83" s="504"/>
      <c r="E83" s="504"/>
      <c r="F83" s="505"/>
      <c r="G83" s="217">
        <v>0</v>
      </c>
      <c r="H83" s="147">
        <f>H34*G83</f>
        <v>0</v>
      </c>
    </row>
    <row r="84" spans="1:12" ht="15.75" x14ac:dyDescent="0.2">
      <c r="A84" s="431" t="s">
        <v>339</v>
      </c>
      <c r="B84" s="431"/>
      <c r="C84" s="431"/>
      <c r="D84" s="431"/>
      <c r="E84" s="431"/>
      <c r="F84" s="431"/>
      <c r="G84" s="431"/>
      <c r="H84" s="148">
        <f>SUM(H77:H83)</f>
        <v>0</v>
      </c>
    </row>
    <row r="85" spans="1:12" ht="15.75" x14ac:dyDescent="0.25">
      <c r="A85" s="432" t="s">
        <v>288</v>
      </c>
      <c r="B85" s="433"/>
      <c r="C85" s="433"/>
      <c r="D85" s="433"/>
      <c r="E85" s="433"/>
      <c r="F85" s="433"/>
      <c r="G85" s="433"/>
      <c r="H85" s="434"/>
    </row>
    <row r="86" spans="1:12" x14ac:dyDescent="0.2">
      <c r="A86" s="113" t="s">
        <v>289</v>
      </c>
      <c r="B86" s="435" t="s">
        <v>290</v>
      </c>
      <c r="C86" s="435"/>
      <c r="D86" s="435"/>
      <c r="E86" s="435"/>
      <c r="F86" s="435"/>
      <c r="G86" s="435"/>
      <c r="H86" s="113" t="s">
        <v>256</v>
      </c>
      <c r="I86" s="35"/>
    </row>
    <row r="87" spans="1:12" x14ac:dyDescent="0.2">
      <c r="A87" s="82" t="s">
        <v>190</v>
      </c>
      <c r="B87" s="427" t="s">
        <v>506</v>
      </c>
      <c r="C87" s="427"/>
      <c r="D87" s="427"/>
      <c r="E87" s="427"/>
      <c r="F87" s="427"/>
      <c r="G87" s="292">
        <f>1/11*(1+1/3)</f>
        <v>0.12121212121212122</v>
      </c>
      <c r="H87" s="87">
        <f>G87*H34</f>
        <v>0</v>
      </c>
      <c r="I87" s="238"/>
    </row>
    <row r="88" spans="1:12" x14ac:dyDescent="0.2">
      <c r="A88" s="436" t="s">
        <v>192</v>
      </c>
      <c r="B88" s="450" t="s">
        <v>291</v>
      </c>
      <c r="C88" s="450"/>
      <c r="D88" s="450"/>
      <c r="E88" s="450"/>
      <c r="F88" s="450"/>
      <c r="G88" s="438">
        <f>E89/365</f>
        <v>0</v>
      </c>
      <c r="H88" s="443">
        <f>H34*G88</f>
        <v>0</v>
      </c>
    </row>
    <row r="89" spans="1:12" x14ac:dyDescent="0.2">
      <c r="A89" s="436"/>
      <c r="B89" s="444" t="s">
        <v>292</v>
      </c>
      <c r="C89" s="444"/>
      <c r="D89" s="444"/>
      <c r="E89" s="94">
        <v>0</v>
      </c>
      <c r="F89" s="95"/>
      <c r="G89" s="438"/>
      <c r="H89" s="443"/>
    </row>
    <row r="90" spans="1:12" x14ac:dyDescent="0.2">
      <c r="A90" s="436" t="s">
        <v>202</v>
      </c>
      <c r="B90" s="437" t="s">
        <v>293</v>
      </c>
      <c r="C90" s="437"/>
      <c r="D90" s="437"/>
      <c r="E90" s="91"/>
      <c r="F90" s="92"/>
      <c r="G90" s="529">
        <f>(5/365)*E91</f>
        <v>0</v>
      </c>
      <c r="H90" s="527">
        <f>G90*H34</f>
        <v>0</v>
      </c>
      <c r="I90" s="525" t="s">
        <v>488</v>
      </c>
    </row>
    <row r="91" spans="1:12" x14ac:dyDescent="0.2">
      <c r="A91" s="436"/>
      <c r="B91" s="441" t="s">
        <v>487</v>
      </c>
      <c r="C91" s="441"/>
      <c r="D91" s="441"/>
      <c r="E91" s="316">
        <v>0</v>
      </c>
      <c r="F91" s="93"/>
      <c r="G91" s="530"/>
      <c r="H91" s="528"/>
      <c r="I91" s="526"/>
    </row>
    <row r="92" spans="1:12" x14ac:dyDescent="0.2">
      <c r="A92" s="436" t="s">
        <v>195</v>
      </c>
      <c r="B92" s="442" t="s">
        <v>294</v>
      </c>
      <c r="C92" s="442"/>
      <c r="D92" s="442"/>
      <c r="E92" s="442"/>
      <c r="F92" s="442"/>
      <c r="G92" s="438">
        <f>E93/365</f>
        <v>0</v>
      </c>
      <c r="H92" s="443">
        <f>G92*H34</f>
        <v>0</v>
      </c>
    </row>
    <row r="93" spans="1:12" x14ac:dyDescent="0.2">
      <c r="A93" s="436"/>
      <c r="B93" s="444" t="s">
        <v>292</v>
      </c>
      <c r="C93" s="444"/>
      <c r="D93" s="444"/>
      <c r="E93" s="94">
        <v>0</v>
      </c>
      <c r="F93" s="95"/>
      <c r="G93" s="438"/>
      <c r="H93" s="443"/>
    </row>
    <row r="94" spans="1:12" x14ac:dyDescent="0.2">
      <c r="A94" s="436" t="s">
        <v>226</v>
      </c>
      <c r="B94" s="437" t="s">
        <v>295</v>
      </c>
      <c r="C94" s="437"/>
      <c r="D94" s="437"/>
      <c r="E94" s="91"/>
      <c r="F94" s="92"/>
      <c r="G94" s="438">
        <f>E95/365</f>
        <v>0</v>
      </c>
      <c r="H94" s="440">
        <f>G94*H34</f>
        <v>0</v>
      </c>
    </row>
    <row r="95" spans="1:12" x14ac:dyDescent="0.2">
      <c r="A95" s="436"/>
      <c r="B95" s="441" t="s">
        <v>296</v>
      </c>
      <c r="C95" s="441"/>
      <c r="D95" s="441"/>
      <c r="E95" s="321">
        <v>0</v>
      </c>
      <c r="F95" s="218"/>
      <c r="G95" s="439"/>
      <c r="H95" s="440"/>
    </row>
    <row r="96" spans="1:12" x14ac:dyDescent="0.2">
      <c r="A96" s="506" t="s">
        <v>261</v>
      </c>
      <c r="B96" s="508" t="s">
        <v>282</v>
      </c>
      <c r="C96" s="509"/>
      <c r="D96" s="509"/>
      <c r="E96" s="219"/>
      <c r="F96" s="334" t="s">
        <v>403</v>
      </c>
      <c r="G96" s="510">
        <f>E97/365*F97</f>
        <v>0</v>
      </c>
      <c r="H96" s="541">
        <f>G96*H34</f>
        <v>0</v>
      </c>
      <c r="I96" s="519" t="s">
        <v>408</v>
      </c>
      <c r="J96" s="222"/>
      <c r="K96" s="222"/>
      <c r="L96" s="222"/>
    </row>
    <row r="97" spans="1:12" x14ac:dyDescent="0.2">
      <c r="A97" s="507"/>
      <c r="B97" s="315"/>
      <c r="C97" s="512" t="s">
        <v>404</v>
      </c>
      <c r="D97" s="513"/>
      <c r="E97" s="287">
        <v>0</v>
      </c>
      <c r="F97" s="318">
        <v>0</v>
      </c>
      <c r="G97" s="511"/>
      <c r="H97" s="542"/>
      <c r="I97" s="540"/>
      <c r="J97" s="222"/>
      <c r="K97" s="222"/>
      <c r="L97" s="222"/>
    </row>
    <row r="98" spans="1:12" x14ac:dyDescent="0.2">
      <c r="A98" s="420" t="s">
        <v>262</v>
      </c>
      <c r="B98" s="320" t="s">
        <v>458</v>
      </c>
      <c r="C98" s="322"/>
      <c r="D98" s="335" t="s">
        <v>484</v>
      </c>
      <c r="E98" s="331">
        <f>15.21*12</f>
        <v>182.52</v>
      </c>
      <c r="F98" s="535"/>
      <c r="G98" s="521">
        <f>E99/E98</f>
        <v>0</v>
      </c>
      <c r="H98" s="523">
        <f>G98*H34</f>
        <v>0</v>
      </c>
      <c r="I98" s="519" t="s">
        <v>486</v>
      </c>
      <c r="J98" s="222"/>
      <c r="K98" s="222"/>
      <c r="L98" s="222"/>
    </row>
    <row r="99" spans="1:12" ht="15.75" customHeight="1" x14ac:dyDescent="0.2">
      <c r="A99" s="421"/>
      <c r="B99" s="543" t="s">
        <v>482</v>
      </c>
      <c r="C99" s="544"/>
      <c r="D99" s="545"/>
      <c r="E99" s="330">
        <v>0</v>
      </c>
      <c r="F99" s="421"/>
      <c r="G99" s="522"/>
      <c r="H99" s="524"/>
      <c r="I99" s="520"/>
      <c r="J99" s="222"/>
      <c r="K99" s="222"/>
      <c r="L99" s="222"/>
    </row>
    <row r="100" spans="1:12" x14ac:dyDescent="0.2">
      <c r="A100" s="206" t="s">
        <v>275</v>
      </c>
      <c r="B100" s="320" t="s">
        <v>407</v>
      </c>
      <c r="C100" s="337"/>
      <c r="D100" s="338"/>
      <c r="E100" s="336" t="s">
        <v>483</v>
      </c>
      <c r="F100" s="317"/>
      <c r="G100" s="536">
        <f>E101/365</f>
        <v>8.2191780821917804E-2</v>
      </c>
      <c r="H100" s="538">
        <f>(G100*H50)+(G100*H51)</f>
        <v>0</v>
      </c>
      <c r="I100" s="329"/>
    </row>
    <row r="101" spans="1:12" x14ac:dyDescent="0.2">
      <c r="A101" s="221" t="s">
        <v>459</v>
      </c>
      <c r="B101" s="323" t="s">
        <v>501</v>
      </c>
      <c r="E101" s="361">
        <f>30+E99</f>
        <v>30</v>
      </c>
      <c r="F101" s="332"/>
      <c r="G101" s="537"/>
      <c r="H101" s="539"/>
      <c r="I101" s="327"/>
    </row>
    <row r="102" spans="1:12" ht="32.450000000000003" customHeight="1" x14ac:dyDescent="0.2">
      <c r="A102" s="221" t="s">
        <v>460</v>
      </c>
      <c r="B102" s="323" t="s">
        <v>506</v>
      </c>
      <c r="C102" s="531"/>
      <c r="D102" s="532"/>
      <c r="E102" s="362">
        <f>E99</f>
        <v>0</v>
      </c>
      <c r="F102" s="325"/>
      <c r="G102" s="365">
        <f>E102/30</f>
        <v>0</v>
      </c>
      <c r="H102" s="367">
        <f>G102*H87</f>
        <v>0</v>
      </c>
      <c r="I102" s="368" t="s">
        <v>507</v>
      </c>
    </row>
    <row r="103" spans="1:12" x14ac:dyDescent="0.2">
      <c r="A103" s="221" t="s">
        <v>461</v>
      </c>
      <c r="B103" s="323" t="s">
        <v>405</v>
      </c>
      <c r="C103" s="531"/>
      <c r="D103" s="532"/>
      <c r="E103" s="363">
        <f>30+E99</f>
        <v>30</v>
      </c>
      <c r="F103" s="325"/>
      <c r="G103" s="365">
        <f>E103/365</f>
        <v>8.2191780821917804E-2</v>
      </c>
      <c r="H103" s="367">
        <f>G103*H84</f>
        <v>0</v>
      </c>
      <c r="I103" s="364"/>
    </row>
    <row r="104" spans="1:12" x14ac:dyDescent="0.2">
      <c r="A104" s="221" t="s">
        <v>462</v>
      </c>
      <c r="B104" s="324" t="s">
        <v>406</v>
      </c>
      <c r="C104" s="533"/>
      <c r="D104" s="534"/>
      <c r="E104" s="300">
        <f>E103</f>
        <v>30</v>
      </c>
      <c r="F104" s="326"/>
      <c r="G104" s="220">
        <f>E104/365</f>
        <v>8.2191780821917804E-2</v>
      </c>
      <c r="H104" s="366">
        <f>G104*H70</f>
        <v>0</v>
      </c>
    </row>
    <row r="105" spans="1:12" x14ac:dyDescent="0.2">
      <c r="A105" s="96" t="s">
        <v>328</v>
      </c>
      <c r="B105" s="146" t="s">
        <v>335</v>
      </c>
      <c r="C105" s="445" t="s">
        <v>341</v>
      </c>
      <c r="D105" s="446"/>
      <c r="E105" s="446"/>
      <c r="F105" s="446"/>
      <c r="G105" s="447"/>
      <c r="H105" s="145">
        <v>0</v>
      </c>
      <c r="I105" s="319"/>
    </row>
    <row r="106" spans="1:12" ht="15.75" x14ac:dyDescent="0.2">
      <c r="A106" s="428" t="s">
        <v>280</v>
      </c>
      <c r="B106" s="430"/>
      <c r="C106" s="430"/>
      <c r="D106" s="430"/>
      <c r="E106" s="430"/>
      <c r="F106" s="430"/>
      <c r="G106" s="430"/>
      <c r="H106" s="88">
        <f>SUM(H87:H105)</f>
        <v>0</v>
      </c>
    </row>
    <row r="107" spans="1:12" x14ac:dyDescent="0.2">
      <c r="A107" s="82" t="s">
        <v>456</v>
      </c>
      <c r="B107" s="427" t="s">
        <v>297</v>
      </c>
      <c r="C107" s="427"/>
      <c r="D107" s="427"/>
      <c r="E107" s="427"/>
      <c r="F107" s="427"/>
      <c r="G107" s="427"/>
      <c r="H107" s="87">
        <f>SUM(G67)*H106</f>
        <v>0</v>
      </c>
    </row>
    <row r="108" spans="1:12" ht="15.75" x14ac:dyDescent="0.2">
      <c r="A108" s="431" t="s">
        <v>340</v>
      </c>
      <c r="B108" s="431"/>
      <c r="C108" s="431"/>
      <c r="D108" s="431"/>
      <c r="E108" s="431"/>
      <c r="F108" s="431"/>
      <c r="G108" s="431"/>
      <c r="H108" s="121">
        <f>H106+H107</f>
        <v>0</v>
      </c>
    </row>
    <row r="109" spans="1:12" ht="15.75" x14ac:dyDescent="0.25">
      <c r="A109" s="432" t="s">
        <v>298</v>
      </c>
      <c r="B109" s="433"/>
      <c r="C109" s="433"/>
      <c r="D109" s="433"/>
      <c r="E109" s="433"/>
      <c r="F109" s="433"/>
      <c r="G109" s="433"/>
      <c r="H109" s="434"/>
      <c r="I109" s="319"/>
    </row>
    <row r="110" spans="1:12" x14ac:dyDescent="0.2">
      <c r="A110" s="113"/>
      <c r="B110" s="435" t="s">
        <v>299</v>
      </c>
      <c r="C110" s="435"/>
      <c r="D110" s="435"/>
      <c r="E110" s="435"/>
      <c r="F110" s="435"/>
      <c r="G110" s="435"/>
      <c r="H110" s="120" t="s">
        <v>256</v>
      </c>
      <c r="I110" s="319"/>
    </row>
    <row r="111" spans="1:12" x14ac:dyDescent="0.2">
      <c r="A111" s="82" t="s">
        <v>267</v>
      </c>
      <c r="B111" s="427" t="s">
        <v>300</v>
      </c>
      <c r="C111" s="427"/>
      <c r="D111" s="427"/>
      <c r="E111" s="427"/>
      <c r="F111" s="427"/>
      <c r="G111" s="427"/>
      <c r="H111" s="150">
        <f>H67</f>
        <v>0</v>
      </c>
    </row>
    <row r="112" spans="1:12" x14ac:dyDescent="0.2">
      <c r="A112" s="82" t="s">
        <v>278</v>
      </c>
      <c r="B112" s="427" t="s">
        <v>414</v>
      </c>
      <c r="C112" s="427"/>
      <c r="D112" s="427"/>
      <c r="E112" s="427"/>
      <c r="F112" s="427"/>
      <c r="G112" s="427"/>
      <c r="H112" s="150">
        <f>H74</f>
        <v>0</v>
      </c>
    </row>
    <row r="113" spans="1:9" x14ac:dyDescent="0.2">
      <c r="A113" s="82" t="s">
        <v>281</v>
      </c>
      <c r="B113" s="427" t="s">
        <v>415</v>
      </c>
      <c r="C113" s="427"/>
      <c r="D113" s="427"/>
      <c r="E113" s="427"/>
      <c r="F113" s="427"/>
      <c r="G113" s="427"/>
      <c r="H113" s="150">
        <f>H84</f>
        <v>0</v>
      </c>
    </row>
    <row r="114" spans="1:9" x14ac:dyDescent="0.2">
      <c r="A114" s="82" t="s">
        <v>283</v>
      </c>
      <c r="B114" s="427" t="s">
        <v>301</v>
      </c>
      <c r="C114" s="427"/>
      <c r="D114" s="427"/>
      <c r="E114" s="427"/>
      <c r="F114" s="427"/>
      <c r="G114" s="427"/>
      <c r="H114" s="150">
        <f>H108</f>
        <v>0</v>
      </c>
    </row>
    <row r="115" spans="1:9" x14ac:dyDescent="0.2">
      <c r="A115" s="82" t="s">
        <v>302</v>
      </c>
      <c r="B115" s="85" t="s">
        <v>335</v>
      </c>
      <c r="C115" s="445" t="s">
        <v>341</v>
      </c>
      <c r="D115" s="446"/>
      <c r="E115" s="446"/>
      <c r="F115" s="446"/>
      <c r="G115" s="447"/>
      <c r="H115" s="145">
        <v>0</v>
      </c>
    </row>
    <row r="116" spans="1:9" ht="15.75" x14ac:dyDescent="0.2">
      <c r="A116" s="428" t="s">
        <v>277</v>
      </c>
      <c r="B116" s="428"/>
      <c r="C116" s="428"/>
      <c r="D116" s="428"/>
      <c r="E116" s="428"/>
      <c r="F116" s="428"/>
      <c r="G116" s="429"/>
      <c r="H116" s="123">
        <f>SUM(H111:H115)</f>
        <v>0</v>
      </c>
    </row>
    <row r="117" spans="1:9" ht="15.75" x14ac:dyDescent="0.25">
      <c r="A117" s="432" t="s">
        <v>377</v>
      </c>
      <c r="B117" s="433"/>
      <c r="C117" s="433"/>
      <c r="D117" s="433"/>
      <c r="E117" s="433"/>
      <c r="F117" s="433"/>
      <c r="G117" s="433"/>
      <c r="H117" s="434"/>
    </row>
    <row r="118" spans="1:9" ht="14.25" x14ac:dyDescent="0.2">
      <c r="A118" s="174"/>
      <c r="B118" s="188" t="s">
        <v>204</v>
      </c>
      <c r="C118" s="185"/>
      <c r="D118" s="185"/>
      <c r="E118" s="185"/>
      <c r="F118" s="185"/>
      <c r="G118" s="181" t="s">
        <v>205</v>
      </c>
      <c r="H118" s="181" t="s">
        <v>256</v>
      </c>
    </row>
    <row r="119" spans="1:9" ht="14.25" x14ac:dyDescent="0.2">
      <c r="A119" s="181" t="s">
        <v>190</v>
      </c>
      <c r="B119" s="189" t="s">
        <v>365</v>
      </c>
      <c r="C119" s="183"/>
      <c r="D119" s="183"/>
      <c r="E119" s="183"/>
      <c r="F119" s="183"/>
      <c r="G119" s="192">
        <v>0</v>
      </c>
      <c r="H119" s="223">
        <f>G119*(H34+H47+H55+H116)</f>
        <v>0</v>
      </c>
    </row>
    <row r="120" spans="1:9" ht="14.25" x14ac:dyDescent="0.2">
      <c r="A120" s="514" t="s">
        <v>192</v>
      </c>
      <c r="B120" s="194" t="s">
        <v>206</v>
      </c>
      <c r="C120" s="185"/>
      <c r="D120" s="185"/>
      <c r="E120" s="181" t="s">
        <v>374</v>
      </c>
      <c r="F120" s="182"/>
      <c r="G120" s="516">
        <f>SUM(E122:E128)</f>
        <v>0</v>
      </c>
      <c r="H120" s="518">
        <f>H138-H136-H119-H129</f>
        <v>0</v>
      </c>
      <c r="I120" s="382" t="s">
        <v>380</v>
      </c>
    </row>
    <row r="121" spans="1:9" ht="14.25" x14ac:dyDescent="0.2">
      <c r="A121" s="515"/>
      <c r="B121" s="194" t="s">
        <v>366</v>
      </c>
      <c r="C121" s="185"/>
      <c r="D121" s="185"/>
      <c r="E121" s="191"/>
      <c r="F121" s="37"/>
      <c r="G121" s="517"/>
      <c r="H121" s="518"/>
      <c r="I121" s="382" t="s">
        <v>381</v>
      </c>
    </row>
    <row r="122" spans="1:9" ht="14.25" x14ac:dyDescent="0.2">
      <c r="A122" s="515"/>
      <c r="B122" s="186" t="s">
        <v>367</v>
      </c>
      <c r="E122" s="192">
        <v>0</v>
      </c>
      <c r="F122" s="37"/>
      <c r="G122" s="517"/>
      <c r="H122" s="518"/>
    </row>
    <row r="123" spans="1:9" ht="14.25" x14ac:dyDescent="0.2">
      <c r="A123" s="515"/>
      <c r="B123" s="186" t="s">
        <v>368</v>
      </c>
      <c r="E123" s="192">
        <v>0</v>
      </c>
      <c r="F123" s="37"/>
      <c r="G123" s="517"/>
      <c r="H123" s="518"/>
    </row>
    <row r="124" spans="1:9" x14ac:dyDescent="0.2">
      <c r="A124" s="515"/>
      <c r="B124" s="189" t="s">
        <v>369</v>
      </c>
      <c r="C124" s="445" t="s">
        <v>341</v>
      </c>
      <c r="D124" s="451"/>
      <c r="E124" s="193">
        <v>0</v>
      </c>
      <c r="F124" s="195"/>
      <c r="G124" s="517"/>
      <c r="H124" s="518"/>
    </row>
    <row r="125" spans="1:9" ht="14.25" x14ac:dyDescent="0.2">
      <c r="A125" s="515"/>
      <c r="B125" s="187" t="s">
        <v>370</v>
      </c>
      <c r="C125" s="183"/>
      <c r="D125" s="183"/>
      <c r="E125" s="191"/>
      <c r="F125" s="37"/>
      <c r="G125" s="517"/>
      <c r="H125" s="518"/>
    </row>
    <row r="126" spans="1:9" ht="14.25" x14ac:dyDescent="0.2">
      <c r="A126" s="515"/>
      <c r="B126" s="186" t="s">
        <v>371</v>
      </c>
      <c r="E126" s="192">
        <v>0</v>
      </c>
      <c r="F126" s="37"/>
      <c r="G126" s="517"/>
      <c r="H126" s="518"/>
    </row>
    <row r="127" spans="1:9" ht="14.25" x14ac:dyDescent="0.2">
      <c r="A127" s="515"/>
      <c r="B127" s="187" t="s">
        <v>369</v>
      </c>
      <c r="E127" s="192">
        <v>0</v>
      </c>
      <c r="F127" s="37"/>
      <c r="G127" s="517"/>
      <c r="H127" s="518"/>
    </row>
    <row r="128" spans="1:9" x14ac:dyDescent="0.2">
      <c r="A128" s="515"/>
      <c r="B128" s="190" t="s">
        <v>372</v>
      </c>
      <c r="C128" s="445" t="s">
        <v>341</v>
      </c>
      <c r="D128" s="451"/>
      <c r="E128" s="193">
        <v>0</v>
      </c>
      <c r="F128" s="196"/>
      <c r="G128" s="517"/>
      <c r="H128" s="518"/>
    </row>
    <row r="129" spans="1:9" ht="14.25" x14ac:dyDescent="0.2">
      <c r="A129" s="181" t="s">
        <v>202</v>
      </c>
      <c r="B129" s="187" t="s">
        <v>373</v>
      </c>
      <c r="C129" s="183"/>
      <c r="D129" s="183"/>
      <c r="E129" s="183"/>
      <c r="F129" s="184"/>
      <c r="G129" s="192">
        <v>0</v>
      </c>
      <c r="H129" s="224">
        <f>G129*(H34+H47+H55+H116)</f>
        <v>0</v>
      </c>
    </row>
    <row r="130" spans="1:9" ht="15.75" x14ac:dyDescent="0.2">
      <c r="A130" s="174"/>
      <c r="B130" s="429" t="s">
        <v>375</v>
      </c>
      <c r="C130" s="490"/>
      <c r="D130" s="490"/>
      <c r="E130" s="490"/>
      <c r="F130" s="490"/>
      <c r="G130" s="491"/>
      <c r="H130" s="149">
        <f>SUM(H119:H129)</f>
        <v>0</v>
      </c>
    </row>
    <row r="131" spans="1:9" ht="15.75" x14ac:dyDescent="0.25">
      <c r="A131" s="474" t="s">
        <v>416</v>
      </c>
      <c r="B131" s="475"/>
      <c r="C131" s="475"/>
      <c r="D131" s="475"/>
      <c r="E131" s="475"/>
      <c r="F131" s="475"/>
      <c r="G131" s="475"/>
      <c r="H131" s="476"/>
    </row>
    <row r="132" spans="1:9" x14ac:dyDescent="0.2">
      <c r="A132" s="153" t="s">
        <v>190</v>
      </c>
      <c r="B132" s="427" t="s">
        <v>303</v>
      </c>
      <c r="C132" s="427"/>
      <c r="D132" s="427"/>
      <c r="E132" s="427"/>
      <c r="F132" s="427"/>
      <c r="G132" s="427"/>
      <c r="H132" s="155">
        <f>H34</f>
        <v>0</v>
      </c>
    </row>
    <row r="133" spans="1:9" x14ac:dyDescent="0.2">
      <c r="A133" s="153" t="s">
        <v>192</v>
      </c>
      <c r="B133" s="427" t="s">
        <v>304</v>
      </c>
      <c r="C133" s="427"/>
      <c r="D133" s="427"/>
      <c r="E133" s="427"/>
      <c r="F133" s="427"/>
      <c r="G133" s="427"/>
      <c r="H133" s="155">
        <f>H47</f>
        <v>0</v>
      </c>
    </row>
    <row r="134" spans="1:9" x14ac:dyDescent="0.2">
      <c r="A134" s="153" t="s">
        <v>202</v>
      </c>
      <c r="B134" s="427" t="s">
        <v>305</v>
      </c>
      <c r="C134" s="427"/>
      <c r="D134" s="427"/>
      <c r="E134" s="427"/>
      <c r="F134" s="427"/>
      <c r="G134" s="427"/>
      <c r="H134" s="155">
        <f>H55</f>
        <v>0</v>
      </c>
    </row>
    <row r="135" spans="1:9" x14ac:dyDescent="0.2">
      <c r="A135" s="153" t="s">
        <v>195</v>
      </c>
      <c r="B135" s="427" t="s">
        <v>299</v>
      </c>
      <c r="C135" s="427"/>
      <c r="D135" s="427"/>
      <c r="E135" s="427"/>
      <c r="F135" s="427"/>
      <c r="G135" s="427"/>
      <c r="H135" s="155">
        <f>H116</f>
        <v>0</v>
      </c>
    </row>
    <row r="136" spans="1:9" ht="15.75" x14ac:dyDescent="0.2">
      <c r="A136" s="153"/>
      <c r="B136" s="429" t="s">
        <v>417</v>
      </c>
      <c r="C136" s="490"/>
      <c r="D136" s="490"/>
      <c r="E136" s="490"/>
      <c r="F136" s="490"/>
      <c r="G136" s="491"/>
      <c r="H136" s="149">
        <f>SUM(H132:H135)</f>
        <v>0</v>
      </c>
    </row>
    <row r="137" spans="1:9" x14ac:dyDescent="0.2">
      <c r="A137" s="153" t="s">
        <v>226</v>
      </c>
      <c r="B137" s="427" t="s">
        <v>418</v>
      </c>
      <c r="C137" s="427"/>
      <c r="D137" s="427"/>
      <c r="E137" s="427"/>
      <c r="F137" s="427"/>
      <c r="G137" s="427"/>
      <c r="H137" s="155">
        <f>H130</f>
        <v>0</v>
      </c>
      <c r="I137" s="238">
        <f>SUM(H136:H137)</f>
        <v>0</v>
      </c>
    </row>
    <row r="138" spans="1:9" ht="15.75" x14ac:dyDescent="0.2">
      <c r="A138" s="346"/>
      <c r="B138" s="347"/>
      <c r="C138" s="347"/>
      <c r="D138" s="347"/>
      <c r="E138" s="347"/>
      <c r="F138" s="347"/>
      <c r="G138" s="348" t="s">
        <v>419</v>
      </c>
      <c r="H138" s="349">
        <f>(H136+H119+H129)/(1-(G120))</f>
        <v>0</v>
      </c>
      <c r="I138" s="238">
        <f>H138-H136</f>
        <v>0</v>
      </c>
    </row>
    <row r="139" spans="1:9" ht="15.75" x14ac:dyDescent="0.2">
      <c r="A139" s="492" t="s">
        <v>342</v>
      </c>
      <c r="B139" s="493"/>
      <c r="C139" s="493"/>
      <c r="D139" s="493"/>
      <c r="E139" s="493"/>
      <c r="F139" s="493"/>
      <c r="G139" s="494"/>
      <c r="H139" s="349">
        <f>H138*2</f>
        <v>0</v>
      </c>
    </row>
  </sheetData>
  <mergeCells count="151">
    <mergeCell ref="I98:I99"/>
    <mergeCell ref="G98:G99"/>
    <mergeCell ref="H98:H99"/>
    <mergeCell ref="I90:I91"/>
    <mergeCell ref="H90:H91"/>
    <mergeCell ref="G90:G91"/>
    <mergeCell ref="C103:D103"/>
    <mergeCell ref="C102:D102"/>
    <mergeCell ref="C104:D104"/>
    <mergeCell ref="F98:F99"/>
    <mergeCell ref="G100:G101"/>
    <mergeCell ref="H100:H101"/>
    <mergeCell ref="I96:I97"/>
    <mergeCell ref="H96:H97"/>
    <mergeCell ref="B99:D99"/>
    <mergeCell ref="B137:G137"/>
    <mergeCell ref="B134:G134"/>
    <mergeCell ref="B135:G135"/>
    <mergeCell ref="B136:G136"/>
    <mergeCell ref="A139:G139"/>
    <mergeCell ref="B52:G52"/>
    <mergeCell ref="B71:F71"/>
    <mergeCell ref="D78:E78"/>
    <mergeCell ref="D77:E77"/>
    <mergeCell ref="B80:C80"/>
    <mergeCell ref="D80:E80"/>
    <mergeCell ref="D81:E81"/>
    <mergeCell ref="C83:F83"/>
    <mergeCell ref="A96:A97"/>
    <mergeCell ref="B96:D96"/>
    <mergeCell ref="G96:G97"/>
    <mergeCell ref="C97:D97"/>
    <mergeCell ref="B130:G130"/>
    <mergeCell ref="A117:H117"/>
    <mergeCell ref="A120:A128"/>
    <mergeCell ref="C128:D128"/>
    <mergeCell ref="C124:D124"/>
    <mergeCell ref="G120:G128"/>
    <mergeCell ref="H120:H128"/>
    <mergeCell ref="A131:H131"/>
    <mergeCell ref="B132:G132"/>
    <mergeCell ref="B133:G133"/>
    <mergeCell ref="C115:G115"/>
    <mergeCell ref="A17:H17"/>
    <mergeCell ref="A7:H7"/>
    <mergeCell ref="A18:H18"/>
    <mergeCell ref="A19:H19"/>
    <mergeCell ref="B20:G20"/>
    <mergeCell ref="B21:G21"/>
    <mergeCell ref="B22:G22"/>
    <mergeCell ref="B38:G38"/>
    <mergeCell ref="B40:G40"/>
    <mergeCell ref="C33:G33"/>
    <mergeCell ref="B23:G23"/>
    <mergeCell ref="A24:H24"/>
    <mergeCell ref="B25:G25"/>
    <mergeCell ref="B26:G26"/>
    <mergeCell ref="B27:G27"/>
    <mergeCell ref="B13:G13"/>
    <mergeCell ref="A14:H14"/>
    <mergeCell ref="A15:C15"/>
    <mergeCell ref="D15:E15"/>
    <mergeCell ref="F15:H15"/>
    <mergeCell ref="A16:C16"/>
    <mergeCell ref="D16:E16"/>
    <mergeCell ref="F16:H16"/>
    <mergeCell ref="B36:G36"/>
    <mergeCell ref="A2:H2"/>
    <mergeCell ref="A1:H1"/>
    <mergeCell ref="A9:H9"/>
    <mergeCell ref="B10:G10"/>
    <mergeCell ref="B11:G11"/>
    <mergeCell ref="B12:G12"/>
    <mergeCell ref="A3:H3"/>
    <mergeCell ref="A4:H4"/>
    <mergeCell ref="A5:H5"/>
    <mergeCell ref="B37:G37"/>
    <mergeCell ref="B42:G42"/>
    <mergeCell ref="B43:G43"/>
    <mergeCell ref="B44:G44"/>
    <mergeCell ref="B29:G29"/>
    <mergeCell ref="B30:G30"/>
    <mergeCell ref="B31:G31"/>
    <mergeCell ref="B34:G34"/>
    <mergeCell ref="A35:H35"/>
    <mergeCell ref="B32:G32"/>
    <mergeCell ref="B55:G55"/>
    <mergeCell ref="A56:H56"/>
    <mergeCell ref="A57:H57"/>
    <mergeCell ref="B58:F58"/>
    <mergeCell ref="B47:G47"/>
    <mergeCell ref="A48:H48"/>
    <mergeCell ref="B49:G49"/>
    <mergeCell ref="B50:G50"/>
    <mergeCell ref="B51:G51"/>
    <mergeCell ref="C54:G54"/>
    <mergeCell ref="B53:G53"/>
    <mergeCell ref="B66:F66"/>
    <mergeCell ref="A67:F67"/>
    <mergeCell ref="A68:H68"/>
    <mergeCell ref="B69:G69"/>
    <mergeCell ref="B70:F70"/>
    <mergeCell ref="B59:F59"/>
    <mergeCell ref="B60:F60"/>
    <mergeCell ref="B61:F61"/>
    <mergeCell ref="B62:F62"/>
    <mergeCell ref="B63:F63"/>
    <mergeCell ref="B64:F64"/>
    <mergeCell ref="H88:H89"/>
    <mergeCell ref="B89:D89"/>
    <mergeCell ref="A90:A91"/>
    <mergeCell ref="B90:D90"/>
    <mergeCell ref="B91:D91"/>
    <mergeCell ref="A72:G72"/>
    <mergeCell ref="B73:G73"/>
    <mergeCell ref="A74:G74"/>
    <mergeCell ref="A75:H75"/>
    <mergeCell ref="B76:G76"/>
    <mergeCell ref="B82:G82"/>
    <mergeCell ref="A84:G84"/>
    <mergeCell ref="A85:H85"/>
    <mergeCell ref="B86:G86"/>
    <mergeCell ref="B87:F87"/>
    <mergeCell ref="B79:G79"/>
    <mergeCell ref="A88:A89"/>
    <mergeCell ref="B88:F88"/>
    <mergeCell ref="G88:G89"/>
    <mergeCell ref="A98:A99"/>
    <mergeCell ref="F28:G28"/>
    <mergeCell ref="B28:E28"/>
    <mergeCell ref="B112:G112"/>
    <mergeCell ref="B113:G113"/>
    <mergeCell ref="B114:G114"/>
    <mergeCell ref="A116:G116"/>
    <mergeCell ref="A106:G106"/>
    <mergeCell ref="B107:G107"/>
    <mergeCell ref="A108:G108"/>
    <mergeCell ref="A109:H109"/>
    <mergeCell ref="B110:G110"/>
    <mergeCell ref="B111:G111"/>
    <mergeCell ref="A94:A95"/>
    <mergeCell ref="B94:D94"/>
    <mergeCell ref="G94:G95"/>
    <mergeCell ref="H94:H95"/>
    <mergeCell ref="B95:D95"/>
    <mergeCell ref="A92:A93"/>
    <mergeCell ref="B92:F92"/>
    <mergeCell ref="G92:G93"/>
    <mergeCell ref="H92:H93"/>
    <mergeCell ref="B93:D93"/>
    <mergeCell ref="C105:G10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71" fitToHeight="0" orientation="landscape" r:id="rId1"/>
  <headerFooter alignWithMargins="0">
    <oddHeader>&amp;C&amp;"Arial,Negrito"&amp;10Anexo III - Aba
Mão de Obra Tratador&amp;R&amp;D</oddHeader>
    <oddFooter>Página &amp;P de &amp;N</oddFooter>
  </headerFooter>
  <rowBreaks count="1" manualBreakCount="1">
    <brk id="47" max="16383" man="1"/>
  </rowBreaks>
  <ignoredErrors>
    <ignoredError sqref="H73 G90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5"/>
    <pageSetUpPr fitToPage="1"/>
  </sheetPr>
  <dimension ref="A1:H42"/>
  <sheetViews>
    <sheetView topLeftCell="A19" zoomScaleNormal="100" zoomScaleSheetLayoutView="100" workbookViewId="0">
      <selection activeCell="J17" sqref="J17"/>
    </sheetView>
  </sheetViews>
  <sheetFormatPr defaultColWidth="9" defaultRowHeight="12.75" customHeight="1" x14ac:dyDescent="0.2"/>
  <cols>
    <col min="1" max="1" width="19.125" style="98" customWidth="1"/>
    <col min="2" max="2" width="16.875" style="98" customWidth="1"/>
    <col min="3" max="3" width="12.25" style="98" customWidth="1"/>
    <col min="4" max="4" width="19.375" style="98" customWidth="1"/>
    <col min="5" max="5" width="17.875" style="98" customWidth="1"/>
    <col min="6" max="6" width="15.125" style="98" customWidth="1"/>
    <col min="7" max="7" width="14.625" style="98" customWidth="1"/>
    <col min="8" max="8" width="14.625" style="131" customWidth="1"/>
    <col min="9" max="16384" width="9" style="98"/>
  </cols>
  <sheetData>
    <row r="1" spans="1:8" ht="35.25" customHeight="1" thickBot="1" x14ac:dyDescent="0.25">
      <c r="A1" s="472" t="s">
        <v>234</v>
      </c>
      <c r="B1" s="473"/>
      <c r="C1" s="473"/>
      <c r="D1" s="473"/>
      <c r="E1" s="473"/>
      <c r="F1" s="473"/>
      <c r="G1" s="473"/>
      <c r="H1" s="473"/>
    </row>
    <row r="2" spans="1:8" ht="38.25" customHeight="1" x14ac:dyDescent="0.2">
      <c r="A2" s="547" t="s">
        <v>327</v>
      </c>
      <c r="B2" s="548"/>
      <c r="C2" s="548"/>
      <c r="D2" s="548"/>
      <c r="E2" s="548"/>
      <c r="F2" s="548"/>
      <c r="G2" s="548"/>
      <c r="H2" s="548"/>
    </row>
    <row r="3" spans="1:8" ht="9.75" customHeight="1" thickBot="1" x14ac:dyDescent="0.25">
      <c r="A3" s="369"/>
      <c r="B3" s="370"/>
      <c r="C3" s="370"/>
      <c r="D3" s="370"/>
      <c r="E3" s="370"/>
      <c r="F3" s="370"/>
      <c r="G3" s="370"/>
      <c r="H3" s="370"/>
    </row>
    <row r="4" spans="1:8" ht="38.25" customHeight="1" thickBot="1" x14ac:dyDescent="0.25">
      <c r="A4" s="554" t="s">
        <v>510</v>
      </c>
      <c r="B4" s="555"/>
      <c r="C4" s="555"/>
      <c r="D4" s="555"/>
      <c r="E4" s="555"/>
      <c r="F4" s="555"/>
      <c r="G4" s="555"/>
      <c r="H4" s="556"/>
    </row>
    <row r="5" spans="1:8" ht="13.5" customHeight="1" thickBot="1" x14ac:dyDescent="0.25">
      <c r="A5" s="371"/>
      <c r="B5" s="371"/>
      <c r="C5" s="371"/>
      <c r="D5" s="371"/>
      <c r="E5" s="371"/>
      <c r="F5" s="371"/>
      <c r="G5" s="371"/>
      <c r="H5" s="371"/>
    </row>
    <row r="6" spans="1:8" ht="38.25" customHeight="1" thickBot="1" x14ac:dyDescent="0.25">
      <c r="A6" s="557" t="s">
        <v>220</v>
      </c>
      <c r="B6" s="482"/>
      <c r="C6" s="482"/>
      <c r="D6" s="482"/>
      <c r="E6" s="482"/>
      <c r="F6" s="482"/>
      <c r="G6" s="482"/>
      <c r="H6" s="558"/>
    </row>
    <row r="7" spans="1:8" ht="12.95" customHeight="1" x14ac:dyDescent="0.2">
      <c r="A7" s="546"/>
      <c r="B7" s="546"/>
      <c r="C7" s="546"/>
      <c r="D7" s="546"/>
      <c r="E7" s="546"/>
      <c r="F7" s="546"/>
      <c r="G7" s="546"/>
      <c r="H7" s="546"/>
    </row>
    <row r="8" spans="1:8" ht="30.75" customHeight="1" x14ac:dyDescent="0.2">
      <c r="A8" s="549" t="s">
        <v>512</v>
      </c>
      <c r="B8" s="550"/>
      <c r="C8" s="550"/>
      <c r="D8" s="550"/>
      <c r="E8" s="550"/>
      <c r="F8" s="550"/>
      <c r="G8" s="550"/>
      <c r="H8" s="275" t="s">
        <v>211</v>
      </c>
    </row>
    <row r="9" spans="1:8" ht="21" customHeight="1" x14ac:dyDescent="0.2">
      <c r="A9" s="551"/>
      <c r="B9" s="552"/>
      <c r="C9" s="552"/>
      <c r="D9" s="552"/>
      <c r="E9" s="552"/>
      <c r="F9" s="552"/>
      <c r="G9" s="552"/>
      <c r="H9" s="167">
        <f>'Mão de Obra Tratador'!H21</f>
        <v>0</v>
      </c>
    </row>
    <row r="10" spans="1:8" ht="13.5" customHeight="1" x14ac:dyDescent="0.2">
      <c r="A10" s="553"/>
      <c r="B10" s="553"/>
      <c r="C10" s="553"/>
      <c r="D10" s="553"/>
      <c r="E10" s="553"/>
      <c r="F10" s="553"/>
      <c r="G10" s="553"/>
    </row>
    <row r="11" spans="1:8" ht="30" customHeight="1" x14ac:dyDescent="0.2">
      <c r="A11" s="580" t="s">
        <v>315</v>
      </c>
      <c r="B11" s="580"/>
      <c r="C11" s="580"/>
      <c r="D11" s="580"/>
      <c r="E11" s="580"/>
      <c r="F11" s="106" t="s">
        <v>314</v>
      </c>
      <c r="G11" s="101" t="s">
        <v>307</v>
      </c>
      <c r="H11" s="568" t="s">
        <v>516</v>
      </c>
    </row>
    <row r="12" spans="1:8" ht="13.5" customHeight="1" x14ac:dyDescent="0.2">
      <c r="A12" s="580"/>
      <c r="B12" s="580"/>
      <c r="C12" s="580"/>
      <c r="D12" s="580"/>
      <c r="E12" s="580"/>
      <c r="F12" s="134">
        <v>0</v>
      </c>
      <c r="G12" s="99">
        <f>F12</f>
        <v>0</v>
      </c>
      <c r="H12" s="569"/>
    </row>
    <row r="13" spans="1:8" ht="13.5" customHeight="1" x14ac:dyDescent="0.2">
      <c r="A13" s="553"/>
      <c r="B13" s="553"/>
      <c r="C13" s="553"/>
      <c r="D13" s="553"/>
      <c r="E13" s="553"/>
      <c r="F13" s="553"/>
      <c r="G13" s="553"/>
    </row>
    <row r="14" spans="1:8" ht="30" customHeight="1" x14ac:dyDescent="0.2">
      <c r="A14" s="573" t="s">
        <v>313</v>
      </c>
      <c r="B14" s="573"/>
      <c r="C14" s="105" t="s">
        <v>312</v>
      </c>
      <c r="D14" s="104" t="s">
        <v>311</v>
      </c>
      <c r="E14" s="103" t="s">
        <v>310</v>
      </c>
      <c r="F14" s="102" t="s">
        <v>309</v>
      </c>
      <c r="G14" s="101" t="s">
        <v>308</v>
      </c>
      <c r="H14" s="568"/>
    </row>
    <row r="15" spans="1:8" ht="13.5" customHeight="1" x14ac:dyDescent="0.2">
      <c r="A15" s="573"/>
      <c r="B15" s="573"/>
      <c r="C15" s="328">
        <f>365/12/2</f>
        <v>15.208333333333334</v>
      </c>
      <c r="D15" s="132">
        <v>2</v>
      </c>
      <c r="E15" s="133">
        <v>0</v>
      </c>
      <c r="F15" s="415">
        <f>H9*0.06</f>
        <v>0</v>
      </c>
      <c r="G15" s="99">
        <f>(C15*D15*E15)-F15</f>
        <v>0</v>
      </c>
      <c r="H15" s="569"/>
    </row>
    <row r="16" spans="1:8" ht="13.5" customHeight="1" x14ac:dyDescent="0.2">
      <c r="A16" s="114"/>
      <c r="B16" s="114"/>
      <c r="C16" s="115"/>
      <c r="D16" s="116"/>
      <c r="E16" s="117"/>
      <c r="F16" s="118"/>
      <c r="G16" s="118"/>
    </row>
    <row r="17" spans="1:8" ht="28.5" customHeight="1" x14ac:dyDescent="0.2">
      <c r="A17" s="591" t="s">
        <v>455</v>
      </c>
      <c r="B17" s="592" t="s">
        <v>320</v>
      </c>
      <c r="C17" s="593"/>
      <c r="D17" s="103" t="s">
        <v>318</v>
      </c>
      <c r="E17" s="596" t="s">
        <v>317</v>
      </c>
      <c r="F17" s="593"/>
      <c r="G17" s="101" t="s">
        <v>307</v>
      </c>
      <c r="H17" s="568"/>
    </row>
    <row r="18" spans="1:8" ht="13.5" customHeight="1" x14ac:dyDescent="0.2">
      <c r="A18" s="591"/>
      <c r="B18" s="594">
        <f>H9</f>
        <v>0</v>
      </c>
      <c r="C18" s="595"/>
      <c r="D18" s="282">
        <f>B18*2</f>
        <v>0</v>
      </c>
      <c r="E18" s="597">
        <v>0</v>
      </c>
      <c r="F18" s="598"/>
      <c r="G18" s="99">
        <f>D18*E18</f>
        <v>0</v>
      </c>
      <c r="H18" s="569"/>
    </row>
    <row r="19" spans="1:8" ht="13.5" customHeight="1" x14ac:dyDescent="0.2">
      <c r="A19" s="114"/>
      <c r="B19" s="114"/>
      <c r="C19" s="115"/>
      <c r="D19" s="116"/>
      <c r="E19" s="117"/>
      <c r="F19" s="118"/>
      <c r="G19" s="118"/>
    </row>
    <row r="20" spans="1:8" ht="30" customHeight="1" x14ac:dyDescent="0.2">
      <c r="A20" s="572" t="s">
        <v>321</v>
      </c>
      <c r="B20" s="101" t="s">
        <v>320</v>
      </c>
      <c r="C20" s="101" t="s">
        <v>319</v>
      </c>
      <c r="D20" s="103" t="s">
        <v>318</v>
      </c>
      <c r="E20" s="103" t="s">
        <v>317</v>
      </c>
      <c r="F20" s="102" t="s">
        <v>316</v>
      </c>
      <c r="G20" s="101" t="s">
        <v>307</v>
      </c>
      <c r="H20" s="568" t="s">
        <v>515</v>
      </c>
    </row>
    <row r="21" spans="1:8" ht="13.5" customHeight="1" x14ac:dyDescent="0.2">
      <c r="A21" s="572"/>
      <c r="B21" s="138">
        <f>H9</f>
        <v>0</v>
      </c>
      <c r="C21" s="135">
        <v>0</v>
      </c>
      <c r="D21" s="282">
        <f>B21*C21</f>
        <v>0</v>
      </c>
      <c r="E21" s="135">
        <v>0</v>
      </c>
      <c r="F21" s="136">
        <v>0</v>
      </c>
      <c r="G21" s="99">
        <f>D21*E21*F21</f>
        <v>0</v>
      </c>
      <c r="H21" s="569"/>
    </row>
    <row r="22" spans="1:8" ht="13.5" customHeight="1" x14ac:dyDescent="0.2">
      <c r="A22" s="553"/>
      <c r="B22" s="553"/>
      <c r="C22" s="553"/>
      <c r="D22" s="553"/>
      <c r="E22" s="553"/>
      <c r="F22" s="553"/>
      <c r="G22" s="553"/>
    </row>
    <row r="23" spans="1:8" ht="24.75" customHeight="1" x14ac:dyDescent="0.2">
      <c r="A23" s="574" t="s">
        <v>322</v>
      </c>
      <c r="B23" s="575"/>
      <c r="C23" s="576"/>
      <c r="D23" s="105" t="s">
        <v>312</v>
      </c>
      <c r="E23" s="102" t="s">
        <v>314</v>
      </c>
      <c r="F23" s="102" t="s">
        <v>309</v>
      </c>
      <c r="G23" s="101" t="s">
        <v>308</v>
      </c>
      <c r="H23" s="570"/>
    </row>
    <row r="24" spans="1:8" ht="13.5" customHeight="1" x14ac:dyDescent="0.2">
      <c r="A24" s="577"/>
      <c r="B24" s="578"/>
      <c r="C24" s="579"/>
      <c r="D24" s="100">
        <v>15.208500000000001</v>
      </c>
      <c r="E24" s="130">
        <v>0</v>
      </c>
      <c r="F24" s="130">
        <f>0</f>
        <v>0</v>
      </c>
      <c r="G24" s="99">
        <f>(E24-F24)*D24</f>
        <v>0</v>
      </c>
      <c r="H24" s="571"/>
    </row>
    <row r="25" spans="1:8" ht="13.5" customHeight="1" x14ac:dyDescent="0.2">
      <c r="A25" s="280"/>
      <c r="B25" s="280"/>
      <c r="C25" s="280"/>
      <c r="D25" s="280"/>
      <c r="E25" s="280"/>
      <c r="F25" s="280"/>
      <c r="G25" s="280"/>
    </row>
    <row r="26" spans="1:8" ht="30" customHeight="1" x14ac:dyDescent="0.2">
      <c r="A26" s="581" t="s">
        <v>323</v>
      </c>
      <c r="B26" s="582"/>
      <c r="C26" s="582"/>
      <c r="D26" s="583"/>
      <c r="E26" s="103" t="s">
        <v>324</v>
      </c>
      <c r="F26" s="103" t="s">
        <v>309</v>
      </c>
      <c r="G26" s="108" t="s">
        <v>307</v>
      </c>
      <c r="H26" s="568" t="s">
        <v>517</v>
      </c>
    </row>
    <row r="27" spans="1:8" ht="15" customHeight="1" x14ac:dyDescent="0.2">
      <c r="A27" s="584"/>
      <c r="B27" s="585"/>
      <c r="C27" s="585"/>
      <c r="D27" s="586"/>
      <c r="E27" s="379">
        <v>0</v>
      </c>
      <c r="F27" s="138">
        <v>0</v>
      </c>
      <c r="G27" s="107">
        <f>E27-F27</f>
        <v>0</v>
      </c>
      <c r="H27" s="569"/>
    </row>
    <row r="28" spans="1:8" ht="12.75" customHeight="1" x14ac:dyDescent="0.2">
      <c r="A28" s="559"/>
      <c r="B28" s="559"/>
      <c r="C28" s="559"/>
      <c r="D28" s="126"/>
      <c r="E28" s="127"/>
      <c r="F28" s="127"/>
      <c r="G28" s="124"/>
    </row>
    <row r="29" spans="1:8" ht="30" customHeight="1" x14ac:dyDescent="0.2">
      <c r="A29" s="581" t="s">
        <v>325</v>
      </c>
      <c r="B29" s="582"/>
      <c r="C29" s="582"/>
      <c r="D29" s="589"/>
      <c r="E29" s="103" t="s">
        <v>314</v>
      </c>
      <c r="F29" s="103" t="s">
        <v>309</v>
      </c>
      <c r="G29" s="108" t="s">
        <v>307</v>
      </c>
      <c r="H29" s="570"/>
    </row>
    <row r="30" spans="1:8" ht="15" customHeight="1" x14ac:dyDescent="0.2">
      <c r="A30" s="584"/>
      <c r="B30" s="585"/>
      <c r="C30" s="585"/>
      <c r="D30" s="590"/>
      <c r="E30" s="139">
        <v>0</v>
      </c>
      <c r="F30" s="417">
        <v>0</v>
      </c>
      <c r="G30" s="107">
        <f>E30-F30</f>
        <v>0</v>
      </c>
      <c r="H30" s="571"/>
    </row>
    <row r="31" spans="1:8" ht="15" customHeight="1" x14ac:dyDescent="0.2">
      <c r="A31" s="559"/>
      <c r="B31" s="559"/>
      <c r="C31" s="559"/>
      <c r="D31" s="126"/>
      <c r="E31" s="127"/>
      <c r="F31" s="127"/>
      <c r="G31" s="124"/>
    </row>
    <row r="32" spans="1:8" ht="30" customHeight="1" x14ac:dyDescent="0.2">
      <c r="A32" s="587" t="s">
        <v>326</v>
      </c>
      <c r="B32" s="140" t="s">
        <v>320</v>
      </c>
      <c r="C32" s="140" t="s">
        <v>319</v>
      </c>
      <c r="D32" s="140" t="s">
        <v>318</v>
      </c>
      <c r="E32" s="141" t="s">
        <v>317</v>
      </c>
      <c r="F32" s="141" t="s">
        <v>316</v>
      </c>
      <c r="G32" s="142" t="s">
        <v>307</v>
      </c>
      <c r="H32" s="570"/>
    </row>
    <row r="33" spans="1:8" ht="15" customHeight="1" x14ac:dyDescent="0.2">
      <c r="A33" s="588"/>
      <c r="B33" s="418">
        <f>H9</f>
        <v>0</v>
      </c>
      <c r="C33" s="143"/>
      <c r="D33" s="281">
        <f>B33*C33</f>
        <v>0</v>
      </c>
      <c r="E33" s="143">
        <v>0</v>
      </c>
      <c r="F33" s="144">
        <v>0</v>
      </c>
      <c r="G33" s="99">
        <f>D33*E33*F33</f>
        <v>0</v>
      </c>
      <c r="H33" s="571"/>
    </row>
    <row r="34" spans="1:8" ht="15" customHeight="1" x14ac:dyDescent="0.2">
      <c r="A34" s="559"/>
      <c r="B34" s="559"/>
      <c r="C34" s="559"/>
      <c r="D34" s="126"/>
      <c r="E34" s="127"/>
      <c r="F34" s="127"/>
      <c r="G34" s="124"/>
    </row>
    <row r="35" spans="1:8" ht="28.5" customHeight="1" x14ac:dyDescent="0.2">
      <c r="A35" s="560" t="s">
        <v>384</v>
      </c>
      <c r="B35" s="562" t="s">
        <v>385</v>
      </c>
      <c r="C35" s="563"/>
      <c r="D35" s="564"/>
      <c r="E35" s="103" t="s">
        <v>314</v>
      </c>
      <c r="F35" s="103" t="s">
        <v>309</v>
      </c>
      <c r="G35" s="101" t="s">
        <v>308</v>
      </c>
    </row>
    <row r="36" spans="1:8" ht="15" customHeight="1" x14ac:dyDescent="0.2">
      <c r="A36" s="561"/>
      <c r="B36" s="565"/>
      <c r="C36" s="566"/>
      <c r="D36" s="567"/>
      <c r="E36" s="137">
        <v>0</v>
      </c>
      <c r="F36" s="130">
        <v>0</v>
      </c>
      <c r="G36" s="138">
        <v>0</v>
      </c>
    </row>
    <row r="37" spans="1:8" ht="15" customHeight="1" x14ac:dyDescent="0.2">
      <c r="A37" s="559"/>
      <c r="B37" s="559"/>
      <c r="C37" s="559"/>
      <c r="D37" s="126"/>
      <c r="E37" s="127"/>
      <c r="F37" s="127"/>
      <c r="G37" s="124"/>
    </row>
    <row r="38" spans="1:8" ht="30" customHeight="1" x14ac:dyDescent="0.2">
      <c r="A38" s="560" t="s">
        <v>384</v>
      </c>
      <c r="B38" s="562" t="s">
        <v>385</v>
      </c>
      <c r="C38" s="563"/>
      <c r="D38" s="564"/>
      <c r="E38" s="283" t="s">
        <v>318</v>
      </c>
      <c r="F38" s="284" t="s">
        <v>317</v>
      </c>
      <c r="G38" s="101" t="s">
        <v>308</v>
      </c>
    </row>
    <row r="39" spans="1:8" ht="15" customHeight="1" x14ac:dyDescent="0.2">
      <c r="A39" s="561"/>
      <c r="B39" s="565"/>
      <c r="C39" s="566"/>
      <c r="D39" s="567"/>
      <c r="E39" s="137">
        <v>0</v>
      </c>
      <c r="F39" s="285">
        <v>0</v>
      </c>
      <c r="G39" s="138">
        <v>0</v>
      </c>
    </row>
    <row r="40" spans="1:8" ht="15" customHeight="1" x14ac:dyDescent="0.2">
      <c r="A40" s="559"/>
      <c r="B40" s="559"/>
      <c r="C40" s="559"/>
      <c r="D40" s="126"/>
      <c r="E40" s="127"/>
      <c r="F40" s="127"/>
      <c r="G40" s="124"/>
    </row>
    <row r="41" spans="1:8" ht="15" customHeight="1" x14ac:dyDescent="0.2">
      <c r="A41" s="129"/>
      <c r="B41" s="129"/>
      <c r="C41" s="129"/>
      <c r="D41" s="129"/>
      <c r="E41" s="129"/>
      <c r="F41" s="129"/>
      <c r="G41" s="125"/>
    </row>
    <row r="42" spans="1:8" ht="12.75" customHeight="1" x14ac:dyDescent="0.2">
      <c r="A42" s="128"/>
      <c r="B42" s="128"/>
      <c r="C42" s="128"/>
      <c r="D42" s="128"/>
      <c r="E42" s="128"/>
      <c r="F42" s="128"/>
      <c r="G42" s="128"/>
    </row>
  </sheetData>
  <sheetProtection selectLockedCells="1" selectUnlockedCells="1"/>
  <mergeCells count="38">
    <mergeCell ref="H29:H30"/>
    <mergeCell ref="H32:H33"/>
    <mergeCell ref="A32:A33"/>
    <mergeCell ref="A29:D30"/>
    <mergeCell ref="H14:H15"/>
    <mergeCell ref="A28:C28"/>
    <mergeCell ref="A31:C31"/>
    <mergeCell ref="A17:A18"/>
    <mergeCell ref="H17:H18"/>
    <mergeCell ref="B17:C17"/>
    <mergeCell ref="B18:C18"/>
    <mergeCell ref="E17:F17"/>
    <mergeCell ref="E18:F18"/>
    <mergeCell ref="H11:H12"/>
    <mergeCell ref="H23:H24"/>
    <mergeCell ref="A20:A21"/>
    <mergeCell ref="H20:H21"/>
    <mergeCell ref="H26:H27"/>
    <mergeCell ref="A13:G13"/>
    <mergeCell ref="A14:B15"/>
    <mergeCell ref="A22:G22"/>
    <mergeCell ref="A23:C24"/>
    <mergeCell ref="A11:E12"/>
    <mergeCell ref="A26:D27"/>
    <mergeCell ref="A37:C37"/>
    <mergeCell ref="A40:C40"/>
    <mergeCell ref="A34:C34"/>
    <mergeCell ref="A35:A36"/>
    <mergeCell ref="B35:D36"/>
    <mergeCell ref="A38:A39"/>
    <mergeCell ref="B38:D39"/>
    <mergeCell ref="A7:H7"/>
    <mergeCell ref="A1:H1"/>
    <mergeCell ref="A2:H2"/>
    <mergeCell ref="A8:G9"/>
    <mergeCell ref="A10:G10"/>
    <mergeCell ref="A4:H4"/>
    <mergeCell ref="A6:H6"/>
  </mergeCells>
  <pageMargins left="0.70866141732283472" right="0.70866141732283472" top="0.74803149606299213" bottom="0.74803149606299213" header="0.31496062992125984" footer="0.31496062992125984"/>
  <pageSetup paperSize="8" firstPageNumber="0" fitToHeight="0" orientation="landscape" horizontalDpi="300" verticalDpi="300" r:id="rId1"/>
  <headerFooter alignWithMargins="0">
    <oddHeader>&amp;CAnexo III - Aba
Benefícios da Mão de Obra&amp;R&amp;D</oddHeader>
    <oddFooter>Página &amp;P de &amp;N</oddFooter>
  </headerFooter>
  <rowBreaks count="1" manualBreakCount="1">
    <brk id="2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236"/>
  <sheetViews>
    <sheetView showGridLines="0" zoomScale="63" zoomScaleNormal="63" workbookViewId="0">
      <selection activeCell="D235" sqref="D235"/>
    </sheetView>
  </sheetViews>
  <sheetFormatPr defaultRowHeight="14.25" x14ac:dyDescent="0.2"/>
  <cols>
    <col min="1" max="1" width="7.875" customWidth="1"/>
    <col min="2" max="2" width="63.125" customWidth="1"/>
    <col min="3" max="3" width="20.5" customWidth="1"/>
    <col min="4" max="7" width="18.625" customWidth="1"/>
    <col min="8" max="8" width="21.125" customWidth="1"/>
    <col min="9" max="9" width="18.125" customWidth="1"/>
    <col min="10" max="10" width="19.125" customWidth="1"/>
    <col min="11" max="11" width="18.75" customWidth="1"/>
    <col min="12" max="12" width="22.5" customWidth="1"/>
    <col min="13" max="13" width="16.875" customWidth="1"/>
    <col min="14" max="14" width="17.5" customWidth="1"/>
    <col min="15" max="15" width="16.75" customWidth="1"/>
    <col min="16" max="16" width="20.875" bestFit="1" customWidth="1"/>
    <col min="17" max="17" width="13.25" bestFit="1" customWidth="1"/>
    <col min="18" max="18" width="11.75" bestFit="1" customWidth="1"/>
  </cols>
  <sheetData>
    <row r="1" spans="1:16" ht="35.25" customHeight="1" thickBot="1" x14ac:dyDescent="0.25">
      <c r="A1" s="547" t="s">
        <v>234</v>
      </c>
      <c r="B1" s="620"/>
      <c r="C1" s="620"/>
      <c r="D1" s="620"/>
      <c r="E1" s="620"/>
      <c r="F1" s="620"/>
      <c r="G1" s="620"/>
      <c r="H1" s="620"/>
      <c r="I1" s="621"/>
    </row>
    <row r="2" spans="1:16" ht="35.25" customHeight="1" x14ac:dyDescent="0.2">
      <c r="A2" s="547" t="s">
        <v>503</v>
      </c>
      <c r="B2" s="620"/>
      <c r="C2" s="620"/>
      <c r="D2" s="620"/>
      <c r="E2" s="620"/>
      <c r="F2" s="620"/>
      <c r="G2" s="620"/>
      <c r="H2" s="620"/>
      <c r="I2" s="621"/>
    </row>
    <row r="3" spans="1:16" ht="48.75" customHeight="1" thickBot="1" x14ac:dyDescent="0.3">
      <c r="A3" s="622" t="s">
        <v>465</v>
      </c>
      <c r="B3" s="623"/>
      <c r="C3" s="623"/>
      <c r="D3" s="623"/>
      <c r="E3" s="623"/>
      <c r="F3" s="623"/>
      <c r="G3" s="623"/>
      <c r="H3" s="623"/>
      <c r="I3" s="624"/>
      <c r="J3" s="34"/>
      <c r="K3" s="34"/>
      <c r="L3" s="34"/>
      <c r="M3" s="34"/>
      <c r="N3" s="34"/>
      <c r="O3" s="34"/>
      <c r="P3" s="34"/>
    </row>
    <row r="4" spans="1:16" ht="63" customHeight="1" thickBot="1" x14ac:dyDescent="0.25">
      <c r="A4" s="479" t="s">
        <v>508</v>
      </c>
      <c r="B4" s="628"/>
      <c r="C4" s="628"/>
      <c r="D4" s="628"/>
      <c r="E4" s="628"/>
      <c r="F4" s="628"/>
      <c r="G4" s="628"/>
      <c r="H4" s="628"/>
      <c r="I4" s="629"/>
      <c r="J4" s="25"/>
      <c r="K4" s="25"/>
      <c r="L4" s="25"/>
      <c r="M4" s="25"/>
      <c r="N4" s="25"/>
      <c r="O4" s="25"/>
      <c r="P4" s="25"/>
    </row>
    <row r="5" spans="1:16" ht="45" customHeight="1" thickBot="1" x14ac:dyDescent="0.25">
      <c r="A5" s="632" t="s">
        <v>509</v>
      </c>
      <c r="B5" s="633"/>
      <c r="C5" s="633"/>
      <c r="D5" s="633"/>
      <c r="E5" s="633"/>
      <c r="F5" s="633"/>
      <c r="G5" s="633"/>
      <c r="H5" s="633"/>
      <c r="I5" s="634"/>
      <c r="J5" s="25"/>
      <c r="K5" s="25"/>
      <c r="L5" s="25"/>
      <c r="M5" s="25"/>
      <c r="N5" s="25"/>
      <c r="O5" s="25"/>
      <c r="P5" s="25"/>
    </row>
    <row r="6" spans="1:16" ht="21.75" customHeight="1" thickBot="1" x14ac:dyDescent="0.25">
      <c r="A6" s="54"/>
      <c r="B6" s="53"/>
      <c r="C6" s="53"/>
      <c r="D6" s="53"/>
      <c r="E6" s="53"/>
      <c r="F6" s="53"/>
      <c r="G6" s="53"/>
      <c r="H6" s="53"/>
      <c r="I6" s="53"/>
      <c r="J6" s="25"/>
      <c r="K6" s="25"/>
      <c r="L6" s="25"/>
      <c r="M6" s="25"/>
      <c r="N6" s="25"/>
      <c r="O6" s="25"/>
      <c r="P6" s="25"/>
    </row>
    <row r="7" spans="1:16" ht="45" customHeight="1" thickBot="1" x14ac:dyDescent="0.25">
      <c r="A7" s="484" t="s">
        <v>220</v>
      </c>
      <c r="B7" s="630"/>
      <c r="C7" s="630"/>
      <c r="D7" s="630"/>
      <c r="E7" s="630"/>
      <c r="F7" s="630"/>
      <c r="G7" s="630"/>
      <c r="H7" s="630"/>
      <c r="I7" s="631"/>
      <c r="J7" s="25"/>
      <c r="K7" s="25"/>
      <c r="L7" s="25"/>
      <c r="M7" s="25"/>
      <c r="N7" s="25"/>
      <c r="O7" s="25"/>
      <c r="P7" s="25"/>
    </row>
    <row r="8" spans="1:16" s="6" customFormat="1" ht="15" customHeight="1" thickBot="1" x14ac:dyDescent="0.25">
      <c r="A8" s="24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</row>
    <row r="9" spans="1:16" s="6" customFormat="1" ht="30" customHeight="1" thickBot="1" x14ac:dyDescent="0.25">
      <c r="A9" s="5"/>
      <c r="B9" s="5"/>
      <c r="C9" s="5"/>
      <c r="D9" s="162" t="s">
        <v>207</v>
      </c>
      <c r="E9" s="166" t="s">
        <v>208</v>
      </c>
      <c r="F9" s="166" t="s">
        <v>209</v>
      </c>
      <c r="G9" s="42" t="s">
        <v>346</v>
      </c>
      <c r="H9" s="166" t="s">
        <v>353</v>
      </c>
      <c r="I9" s="42" t="s">
        <v>354</v>
      </c>
      <c r="J9" s="5"/>
      <c r="K9" s="5"/>
      <c r="L9" s="5"/>
      <c r="M9" s="5"/>
      <c r="N9" s="5"/>
      <c r="O9" s="5"/>
      <c r="P9" s="5"/>
    </row>
    <row r="10" spans="1:16" s="6" customFormat="1" ht="79.5" customHeight="1" thickBot="1" x14ac:dyDescent="0.25">
      <c r="A10" s="609" t="s">
        <v>447</v>
      </c>
      <c r="B10" s="610"/>
      <c r="C10" s="611"/>
      <c r="D10" s="158">
        <f t="shared" ref="D10:I10" si="0">SUM(E27:E220)</f>
        <v>0</v>
      </c>
      <c r="E10" s="157">
        <f t="shared" si="0"/>
        <v>0</v>
      </c>
      <c r="F10" s="157">
        <f t="shared" si="0"/>
        <v>0</v>
      </c>
      <c r="G10" s="157">
        <f t="shared" si="0"/>
        <v>0</v>
      </c>
      <c r="H10" s="157">
        <f t="shared" si="0"/>
        <v>0</v>
      </c>
      <c r="I10" s="157">
        <f t="shared" si="0"/>
        <v>0</v>
      </c>
      <c r="J10" s="5"/>
      <c r="K10" s="5"/>
      <c r="L10" s="5"/>
      <c r="M10" s="5"/>
      <c r="N10" s="5"/>
      <c r="O10" s="5"/>
      <c r="P10" s="5"/>
    </row>
    <row r="11" spans="1:16" s="6" customFormat="1" ht="45" customHeight="1" thickBot="1" x14ac:dyDescent="0.25">
      <c r="A11" s="625" t="s">
        <v>448</v>
      </c>
      <c r="B11" s="626"/>
      <c r="C11" s="627"/>
      <c r="D11" s="248">
        <f t="shared" ref="D11:I11" si="1">D10/12</f>
        <v>0</v>
      </c>
      <c r="E11" s="249">
        <f t="shared" si="1"/>
        <v>0</v>
      </c>
      <c r="F11" s="250">
        <f t="shared" si="1"/>
        <v>0</v>
      </c>
      <c r="G11" s="250">
        <f t="shared" si="1"/>
        <v>0</v>
      </c>
      <c r="H11" s="250">
        <f t="shared" si="1"/>
        <v>0</v>
      </c>
      <c r="I11" s="250">
        <f t="shared" si="1"/>
        <v>0</v>
      </c>
      <c r="J11" s="5"/>
      <c r="K11" s="5"/>
      <c r="L11" s="5"/>
      <c r="M11" s="5"/>
      <c r="N11" s="5"/>
      <c r="O11" s="5"/>
      <c r="P11" s="5"/>
    </row>
    <row r="12" spans="1:16" s="6" customFormat="1" ht="54" customHeight="1" thickBot="1" x14ac:dyDescent="0.25">
      <c r="A12" s="606" t="s">
        <v>449</v>
      </c>
      <c r="B12" s="607"/>
      <c r="C12" s="608"/>
      <c r="D12" s="345">
        <f>(D11+('Mão de Obra Tratador'!G119*D11)+('Mão de Obra Tratador'!G129*D11))/(1-'Mão de Obra Tratador'!G120)</f>
        <v>0</v>
      </c>
      <c r="E12" s="345">
        <f>(E11+('Mão de Obra Tratador'!G119*E11)+('Mão de Obra Tratador'!G129*E11))/(1-'Mão de Obra Tratador'!G120)</f>
        <v>0</v>
      </c>
      <c r="F12" s="345">
        <f>(F11+('Mão de Obra Tratador'!G119*F11)+('Mão de Obra Tratador'!G129*F11))/(1-'Mão de Obra Tratador'!G120)</f>
        <v>0</v>
      </c>
      <c r="G12" s="345">
        <f>(G11+('Mão de Obra Tratador'!G119*G11)+('Mão de Obra Tratador'!G129*G11))/(1-'Mão de Obra Tratador'!G120)</f>
        <v>0</v>
      </c>
      <c r="H12" s="345">
        <f>(H11+('Mão de Obra Tratador'!G119*H11)+('Mão de Obra Tratador'!G129*H11))/(1-'Mão de Obra Tratador'!G120)</f>
        <v>0</v>
      </c>
      <c r="I12" s="345">
        <f>(I11+('Mão de Obra Tratador'!G119*I11)+('Mão de Obra Tratador'!G129*I11))/(1-'Mão de Obra Tratador'!G120)</f>
        <v>0</v>
      </c>
      <c r="J12" s="251"/>
      <c r="K12" s="251"/>
      <c r="L12" s="251"/>
      <c r="M12" s="251"/>
      <c r="N12" s="251"/>
      <c r="O12" s="251"/>
      <c r="P12" s="5"/>
    </row>
    <row r="13" spans="1:16" s="6" customFormat="1" ht="15.75" customHeight="1" thickBot="1" x14ac:dyDescent="0.25">
      <c r="A13" s="62"/>
      <c r="B13" s="62"/>
      <c r="C13" s="62"/>
      <c r="D13" s="62"/>
      <c r="E13" s="63"/>
      <c r="F13" s="63"/>
      <c r="G13" s="63"/>
      <c r="H13" s="63"/>
      <c r="I13" s="63"/>
      <c r="J13" s="5"/>
      <c r="K13" s="5"/>
      <c r="L13" s="5"/>
      <c r="M13" s="5"/>
      <c r="N13" s="5"/>
      <c r="O13" s="5"/>
      <c r="P13" s="5"/>
    </row>
    <row r="14" spans="1:16" s="6" customFormat="1" ht="30" customHeight="1" thickBot="1" x14ac:dyDescent="0.25">
      <c r="A14" s="5"/>
      <c r="B14" s="5"/>
      <c r="C14" s="5"/>
      <c r="D14" s="162" t="s">
        <v>207</v>
      </c>
      <c r="E14" s="164" t="s">
        <v>208</v>
      </c>
      <c r="F14" s="161" t="s">
        <v>209</v>
      </c>
      <c r="G14" s="42" t="s">
        <v>346</v>
      </c>
      <c r="H14" s="166" t="s">
        <v>353</v>
      </c>
      <c r="I14" s="42" t="s">
        <v>354</v>
      </c>
      <c r="J14" s="5"/>
      <c r="K14" s="5"/>
      <c r="L14" s="5"/>
      <c r="M14" s="5"/>
      <c r="N14" s="5"/>
      <c r="O14" s="5"/>
      <c r="P14" s="5"/>
    </row>
    <row r="15" spans="1:16" s="6" customFormat="1" ht="36" customHeight="1" thickBot="1" x14ac:dyDescent="0.25">
      <c r="A15" s="609" t="s">
        <v>221</v>
      </c>
      <c r="B15" s="610"/>
      <c r="C15" s="611"/>
      <c r="D15" s="163">
        <f t="shared" ref="D15:I15" si="2">E227</f>
        <v>0</v>
      </c>
      <c r="E15" s="158">
        <f t="shared" si="2"/>
        <v>0</v>
      </c>
      <c r="F15" s="157">
        <f t="shared" si="2"/>
        <v>0</v>
      </c>
      <c r="G15" s="41">
        <f t="shared" si="2"/>
        <v>0</v>
      </c>
      <c r="H15" s="157">
        <f t="shared" si="2"/>
        <v>0</v>
      </c>
      <c r="I15" s="41">
        <f t="shared" si="2"/>
        <v>0</v>
      </c>
      <c r="J15" s="251"/>
      <c r="K15" s="5"/>
      <c r="L15" s="5"/>
      <c r="M15" s="5"/>
      <c r="N15" s="5"/>
      <c r="O15" s="5"/>
      <c r="P15" s="5"/>
    </row>
    <row r="16" spans="1:16" s="6" customFormat="1" ht="45" customHeight="1" thickBot="1" x14ac:dyDescent="0.25">
      <c r="A16" s="609" t="s">
        <v>235</v>
      </c>
      <c r="B16" s="610"/>
      <c r="C16" s="611"/>
      <c r="D16" s="159">
        <f t="shared" ref="D16:I16" si="3">D15/12</f>
        <v>0</v>
      </c>
      <c r="E16" s="165">
        <f t="shared" si="3"/>
        <v>0</v>
      </c>
      <c r="F16" s="160">
        <f t="shared" si="3"/>
        <v>0</v>
      </c>
      <c r="G16" s="160">
        <f t="shared" si="3"/>
        <v>0</v>
      </c>
      <c r="H16" s="160">
        <f t="shared" si="3"/>
        <v>0</v>
      </c>
      <c r="I16" s="160">
        <f t="shared" si="3"/>
        <v>0</v>
      </c>
      <c r="J16" s="5"/>
      <c r="K16" s="5"/>
      <c r="L16" s="5"/>
      <c r="M16" s="5"/>
      <c r="N16" s="5"/>
      <c r="O16" s="5"/>
      <c r="P16" s="5"/>
    </row>
    <row r="17" spans="1:16" s="6" customFormat="1" ht="55.5" customHeight="1" thickBot="1" x14ac:dyDescent="0.25">
      <c r="A17" s="606" t="s">
        <v>450</v>
      </c>
      <c r="B17" s="607"/>
      <c r="C17" s="608"/>
      <c r="D17" s="345">
        <f>(D16+('Mão de Obra Tratador'!G119*D16)+('Mão de Obra Tratador'!G129*D16))/(1-'Mão de Obra Tratador'!G120)</f>
        <v>0</v>
      </c>
      <c r="E17" s="345">
        <f>(E16+('Mão de Obra Tratador'!G119*E16)+('Mão de Obra Tratador'!G129*E16))/(1-'Mão de Obra Tratador'!G120)</f>
        <v>0</v>
      </c>
      <c r="F17" s="345">
        <f>(F16+('Mão de Obra Tratador'!G119*F16)+('Mão de Obra Tratador'!G129*F16))/(1-'Mão de Obra Tratador'!G120)</f>
        <v>0</v>
      </c>
      <c r="G17" s="345">
        <f>(G16+('Mão de Obra Tratador'!G119*G16)+('Mão de Obra Tratador'!G129*G16))/(1-'Mão de Obra Tratador'!G120)</f>
        <v>0</v>
      </c>
      <c r="H17" s="345">
        <f>(H16+('Mão de Obra Tratador'!G119*H16)+('Mão de Obra Tratador'!G129*H16))/(1-'Mão de Obra Tratador'!G120)</f>
        <v>0</v>
      </c>
      <c r="I17" s="345">
        <f>(I16+('Mão de Obra Tratador'!G119*I16)+('Mão de Obra Tratador'!G129*I16))/(1-'Mão de Obra Tratador'!G120)</f>
        <v>0</v>
      </c>
      <c r="J17" s="251"/>
      <c r="K17" s="251"/>
      <c r="L17" s="251"/>
      <c r="M17" s="251"/>
      <c r="N17" s="251"/>
      <c r="O17" s="251"/>
      <c r="P17" s="5"/>
    </row>
    <row r="18" spans="1:16" s="6" customFormat="1" ht="17.25" customHeight="1" thickBot="1" x14ac:dyDescent="0.25">
      <c r="A18" s="1"/>
      <c r="B18" s="1"/>
      <c r="C18" s="1"/>
      <c r="D18" s="1"/>
      <c r="E18" s="1"/>
      <c r="F18" s="1"/>
      <c r="G18" s="1"/>
      <c r="H18" s="613"/>
      <c r="I18" s="613"/>
      <c r="J18"/>
      <c r="K18"/>
      <c r="L18"/>
      <c r="M18"/>
      <c r="N18" s="251"/>
      <c r="O18" s="251"/>
      <c r="P18" s="5"/>
    </row>
    <row r="19" spans="1:16" s="6" customFormat="1" ht="55.5" customHeight="1" thickBot="1" x14ac:dyDescent="0.25">
      <c r="A19" s="5"/>
      <c r="B19" s="5"/>
      <c r="C19" s="5"/>
      <c r="D19" s="162" t="s">
        <v>207</v>
      </c>
      <c r="E19" s="164" t="s">
        <v>208</v>
      </c>
      <c r="F19" s="161" t="s">
        <v>209</v>
      </c>
      <c r="G19" s="42" t="s">
        <v>346</v>
      </c>
      <c r="H19" s="166" t="s">
        <v>353</v>
      </c>
      <c r="I19" s="42" t="s">
        <v>354</v>
      </c>
      <c r="J19" s="5"/>
      <c r="K19" s="5"/>
      <c r="L19" s="5"/>
      <c r="M19" s="5"/>
      <c r="N19" s="5"/>
      <c r="O19" s="5"/>
      <c r="P19" s="5"/>
    </row>
    <row r="20" spans="1:16" s="6" customFormat="1" ht="55.5" customHeight="1" thickBot="1" x14ac:dyDescent="0.25">
      <c r="A20" s="609" t="s">
        <v>466</v>
      </c>
      <c r="B20" s="610"/>
      <c r="C20" s="611"/>
      <c r="D20" s="163">
        <f t="shared" ref="D20:I20" si="4">E236</f>
        <v>0</v>
      </c>
      <c r="E20" s="158">
        <f t="shared" si="4"/>
        <v>0</v>
      </c>
      <c r="F20" s="157">
        <f t="shared" si="4"/>
        <v>0</v>
      </c>
      <c r="G20" s="41">
        <f t="shared" si="4"/>
        <v>0</v>
      </c>
      <c r="H20" s="157">
        <f t="shared" si="4"/>
        <v>0</v>
      </c>
      <c r="I20" s="41">
        <f t="shared" si="4"/>
        <v>0</v>
      </c>
      <c r="J20" s="5"/>
      <c r="K20" s="5"/>
      <c r="L20" s="5"/>
      <c r="M20" s="5"/>
      <c r="N20" s="5"/>
      <c r="O20" s="5"/>
      <c r="P20" s="5"/>
    </row>
    <row r="21" spans="1:16" s="6" customFormat="1" ht="55.5" customHeight="1" thickBot="1" x14ac:dyDescent="0.25">
      <c r="A21" s="609" t="s">
        <v>467</v>
      </c>
      <c r="B21" s="610"/>
      <c r="C21" s="611"/>
      <c r="D21" s="159">
        <f t="shared" ref="D21:I21" si="5">D20/12</f>
        <v>0</v>
      </c>
      <c r="E21" s="165">
        <f t="shared" si="5"/>
        <v>0</v>
      </c>
      <c r="F21" s="160">
        <f t="shared" si="5"/>
        <v>0</v>
      </c>
      <c r="G21" s="160">
        <f t="shared" si="5"/>
        <v>0</v>
      </c>
      <c r="H21" s="160">
        <f t="shared" si="5"/>
        <v>0</v>
      </c>
      <c r="I21" s="160">
        <f t="shared" si="5"/>
        <v>0</v>
      </c>
      <c r="J21" s="5"/>
      <c r="K21" s="5"/>
      <c r="L21" s="5"/>
      <c r="M21" s="5"/>
      <c r="N21" s="5"/>
      <c r="O21" s="5"/>
      <c r="P21" s="5"/>
    </row>
    <row r="22" spans="1:16" s="6" customFormat="1" ht="55.5" customHeight="1" thickBot="1" x14ac:dyDescent="0.25">
      <c r="A22" s="606" t="s">
        <v>468</v>
      </c>
      <c r="B22" s="607"/>
      <c r="C22" s="608"/>
      <c r="D22" s="345">
        <f>(D21+('Mão de Obra Tratador'!G119*D21)+('Mão de Obra Tratador'!G129*D21))/(1-'Mão de Obra Tratador'!G120)</f>
        <v>0</v>
      </c>
      <c r="E22" s="345">
        <f>(E21+('Mão de Obra Tratador'!G119*E21)+('Mão de Obra Tratador'!G129*E21))/(1-'Mão de Obra Tratador'!G120)</f>
        <v>0</v>
      </c>
      <c r="F22" s="345">
        <f>(F21+('Mão de Obra Tratador'!G119*F21)+('Mão de Obra Tratador'!G129*F21))/(1-'Mão de Obra Tratador'!G120)</f>
        <v>0</v>
      </c>
      <c r="G22" s="345">
        <f>(G21+('Mão de Obra Tratador'!G119*G21)+('Mão de Obra Tratador'!G129*G21))/(1-'Mão de Obra Tratador'!G120)</f>
        <v>0</v>
      </c>
      <c r="H22" s="345">
        <f>(H21+('Mão de Obra Tratador'!G119*H21)+('Mão de Obra Tratador'!G129*H21))/(1-'Mão de Obra Tratador'!G120)</f>
        <v>0</v>
      </c>
      <c r="I22" s="345">
        <f>(I21+('Mão de Obra Tratador'!G119*I21)+('Mão de Obra Tratador'!G129*I21))/(1-'Mão de Obra Tratador'!G120)</f>
        <v>0</v>
      </c>
      <c r="J22" s="251"/>
      <c r="K22" s="251"/>
      <c r="L22" s="251"/>
      <c r="M22" s="251"/>
      <c r="N22" s="251"/>
      <c r="O22" s="251"/>
      <c r="P22" s="5"/>
    </row>
    <row r="23" spans="1:16" ht="29.25" customHeight="1" x14ac:dyDescent="0.2">
      <c r="A23" s="1"/>
      <c r="B23" s="1"/>
      <c r="C23" s="1"/>
      <c r="D23" s="1"/>
      <c r="E23" s="1"/>
      <c r="F23" s="1"/>
      <c r="G23" s="1"/>
      <c r="H23" s="613"/>
      <c r="I23" s="613"/>
    </row>
    <row r="24" spans="1:16" ht="29.25" customHeight="1" x14ac:dyDescent="0.2">
      <c r="A24" s="618" t="s">
        <v>223</v>
      </c>
      <c r="B24" s="619"/>
      <c r="C24" s="619"/>
      <c r="D24" s="619"/>
      <c r="E24" s="619"/>
      <c r="F24" s="619"/>
      <c r="G24" s="619"/>
      <c r="H24" s="603"/>
      <c r="I24" s="603"/>
      <c r="J24" s="603"/>
      <c r="K24" s="603"/>
      <c r="L24" s="603"/>
    </row>
    <row r="25" spans="1:16" ht="160.5" customHeight="1" thickBot="1" x14ac:dyDescent="0.25">
      <c r="A25" s="168" t="s">
        <v>0</v>
      </c>
      <c r="B25" s="169" t="s">
        <v>1</v>
      </c>
      <c r="C25" s="170" t="s">
        <v>218</v>
      </c>
      <c r="D25" s="171" t="s">
        <v>186</v>
      </c>
      <c r="E25" s="67" t="s">
        <v>357</v>
      </c>
      <c r="F25" s="67" t="s">
        <v>358</v>
      </c>
      <c r="G25" s="67" t="s">
        <v>364</v>
      </c>
      <c r="H25" s="67" t="s">
        <v>523</v>
      </c>
      <c r="I25" s="67" t="s">
        <v>433</v>
      </c>
      <c r="J25" s="67" t="s">
        <v>436</v>
      </c>
      <c r="K25" s="67" t="s">
        <v>359</v>
      </c>
      <c r="L25" s="178" t="s">
        <v>360</v>
      </c>
    </row>
    <row r="26" spans="1:16" ht="16.5" customHeight="1" x14ac:dyDescent="0.2">
      <c r="A26" s="614" t="s">
        <v>229</v>
      </c>
      <c r="B26" s="615"/>
      <c r="C26" s="55"/>
      <c r="D26" s="56"/>
      <c r="E26" s="57"/>
      <c r="F26" s="58"/>
      <c r="G26" s="58"/>
      <c r="H26" s="58"/>
      <c r="I26" s="58"/>
      <c r="J26" s="58"/>
      <c r="K26" s="58"/>
      <c r="L26" s="172"/>
    </row>
    <row r="27" spans="1:16" ht="54.75" customHeight="1" x14ac:dyDescent="0.2">
      <c r="A27" s="46">
        <v>1</v>
      </c>
      <c r="B27" s="398" t="s">
        <v>522</v>
      </c>
      <c r="C27" s="43">
        <v>3613.0657533833328</v>
      </c>
      <c r="D27" s="50"/>
      <c r="E27" s="407">
        <f>D27*K27*L27</f>
        <v>0</v>
      </c>
      <c r="F27" s="407">
        <f>D27*K27*L27</f>
        <v>0</v>
      </c>
      <c r="G27" s="403">
        <f>D27*K27*L27</f>
        <v>0</v>
      </c>
      <c r="H27" s="403">
        <f>D27*K27*L27</f>
        <v>0</v>
      </c>
      <c r="I27" s="412">
        <f>H27</f>
        <v>0</v>
      </c>
      <c r="J27" s="412">
        <f>I27</f>
        <v>0</v>
      </c>
      <c r="K27" s="408">
        <v>12</v>
      </c>
      <c r="L27" s="409">
        <v>1</v>
      </c>
    </row>
    <row r="28" spans="1:16" ht="15.75" x14ac:dyDescent="0.25">
      <c r="A28" s="616" t="s">
        <v>2</v>
      </c>
      <c r="B28" s="617"/>
      <c r="C28" s="44"/>
      <c r="D28" s="288"/>
      <c r="E28" s="9"/>
      <c r="F28" s="175"/>
      <c r="G28" s="175"/>
      <c r="H28" s="175"/>
      <c r="I28" s="175"/>
      <c r="J28" s="175"/>
      <c r="K28" s="7"/>
      <c r="L28" s="8"/>
    </row>
    <row r="29" spans="1:16" ht="15" x14ac:dyDescent="0.2">
      <c r="A29" s="46">
        <v>2</v>
      </c>
      <c r="B29" s="48" t="s">
        <v>219</v>
      </c>
      <c r="C29" s="43">
        <v>164.28497431390625</v>
      </c>
      <c r="D29" s="50"/>
      <c r="E29" s="407">
        <f>D29*K29*L29</f>
        <v>0</v>
      </c>
      <c r="F29" s="410">
        <f>E29</f>
        <v>0</v>
      </c>
      <c r="G29" s="410">
        <f t="shared" ref="G29:J29" si="6">F29</f>
        <v>0</v>
      </c>
      <c r="H29" s="410">
        <f t="shared" si="6"/>
        <v>0</v>
      </c>
      <c r="I29" s="413">
        <f t="shared" si="6"/>
        <v>0</v>
      </c>
      <c r="J29" s="413">
        <f t="shared" si="6"/>
        <v>0</v>
      </c>
      <c r="K29" s="408">
        <v>0.9</v>
      </c>
      <c r="L29" s="409">
        <v>0.13500000000000001</v>
      </c>
    </row>
    <row r="30" spans="1:16" ht="15" x14ac:dyDescent="0.2">
      <c r="A30" s="46">
        <v>3</v>
      </c>
      <c r="B30" s="48" t="s">
        <v>3</v>
      </c>
      <c r="C30" s="43">
        <v>364.87478594921873</v>
      </c>
      <c r="D30" s="50"/>
      <c r="E30" s="407">
        <f>D30*K30*L30</f>
        <v>0</v>
      </c>
      <c r="F30" s="410">
        <f>E30*2</f>
        <v>0</v>
      </c>
      <c r="G30" s="410">
        <f>E30*3</f>
        <v>0</v>
      </c>
      <c r="H30" s="410">
        <f t="shared" ref="H30:J30" si="7">G30</f>
        <v>0</v>
      </c>
      <c r="I30" s="413">
        <f t="shared" si="7"/>
        <v>0</v>
      </c>
      <c r="J30" s="413">
        <f t="shared" si="7"/>
        <v>0</v>
      </c>
      <c r="K30" s="408">
        <v>2.7</v>
      </c>
      <c r="L30" s="409">
        <v>0.39</v>
      </c>
    </row>
    <row r="31" spans="1:16" ht="15.75" x14ac:dyDescent="0.2">
      <c r="A31" s="604" t="s">
        <v>4</v>
      </c>
      <c r="B31" s="605"/>
      <c r="C31" s="45"/>
      <c r="D31" s="51"/>
      <c r="E31" s="177"/>
      <c r="F31" s="31"/>
      <c r="G31" s="45"/>
      <c r="H31" s="45"/>
      <c r="I31" s="176"/>
      <c r="J31" s="31"/>
      <c r="K31" s="32">
        <v>0</v>
      </c>
      <c r="L31" s="33">
        <v>0</v>
      </c>
    </row>
    <row r="32" spans="1:16" ht="15" x14ac:dyDescent="0.2">
      <c r="A32" s="46">
        <v>4</v>
      </c>
      <c r="B32" s="48" t="s">
        <v>5</v>
      </c>
      <c r="C32" s="43">
        <v>114.58160673244791</v>
      </c>
      <c r="D32" s="50"/>
      <c r="E32" s="407">
        <f t="shared" ref="E32:E37" si="8">D32*K32*L32</f>
        <v>0</v>
      </c>
      <c r="F32" s="410">
        <f t="shared" ref="F32:F37" si="9">E32*2</f>
        <v>0</v>
      </c>
      <c r="G32" s="410">
        <f t="shared" ref="G32:G37" si="10">E32*3</f>
        <v>0</v>
      </c>
      <c r="H32" s="410">
        <f t="shared" ref="H32:H37" si="11">E32*4</f>
        <v>0</v>
      </c>
      <c r="I32" s="413">
        <f>H32</f>
        <v>0</v>
      </c>
      <c r="J32" s="413">
        <f>I32</f>
        <v>0</v>
      </c>
      <c r="K32" s="408">
        <v>1.2</v>
      </c>
      <c r="L32" s="409">
        <v>1</v>
      </c>
    </row>
    <row r="33" spans="1:12" ht="15" x14ac:dyDescent="0.2">
      <c r="A33" s="46">
        <f>A32+1</f>
        <v>5</v>
      </c>
      <c r="B33" s="48" t="s">
        <v>6</v>
      </c>
      <c r="C33" s="43">
        <v>86.704951481822917</v>
      </c>
      <c r="D33" s="50"/>
      <c r="E33" s="407">
        <f t="shared" si="8"/>
        <v>0</v>
      </c>
      <c r="F33" s="410">
        <f t="shared" si="9"/>
        <v>0</v>
      </c>
      <c r="G33" s="410">
        <f t="shared" si="10"/>
        <v>0</v>
      </c>
      <c r="H33" s="410">
        <f t="shared" si="11"/>
        <v>0</v>
      </c>
      <c r="I33" s="413">
        <f t="shared" ref="I33:J33" si="12">H33</f>
        <v>0</v>
      </c>
      <c r="J33" s="413">
        <f t="shared" si="12"/>
        <v>0</v>
      </c>
      <c r="K33" s="408">
        <v>1.2</v>
      </c>
      <c r="L33" s="409">
        <v>1</v>
      </c>
    </row>
    <row r="34" spans="1:12" ht="15" x14ac:dyDescent="0.2">
      <c r="A34" s="46">
        <f>A33+1</f>
        <v>6</v>
      </c>
      <c r="B34" s="48" t="s">
        <v>7</v>
      </c>
      <c r="C34" s="43">
        <v>114.99585615787501</v>
      </c>
      <c r="D34" s="50"/>
      <c r="E34" s="407">
        <f t="shared" si="8"/>
        <v>0</v>
      </c>
      <c r="F34" s="410">
        <f t="shared" si="9"/>
        <v>0</v>
      </c>
      <c r="G34" s="410">
        <f t="shared" si="10"/>
        <v>0</v>
      </c>
      <c r="H34" s="410">
        <f t="shared" si="11"/>
        <v>0</v>
      </c>
      <c r="I34" s="413">
        <f t="shared" ref="I34:J34" si="13">H34</f>
        <v>0</v>
      </c>
      <c r="J34" s="413">
        <f t="shared" si="13"/>
        <v>0</v>
      </c>
      <c r="K34" s="408">
        <v>1.2</v>
      </c>
      <c r="L34" s="409">
        <v>1</v>
      </c>
    </row>
    <row r="35" spans="1:12" ht="15" x14ac:dyDescent="0.2">
      <c r="A35" s="46">
        <f>A34+1</f>
        <v>7</v>
      </c>
      <c r="B35" s="48" t="s">
        <v>8</v>
      </c>
      <c r="C35" s="43">
        <v>164.27979451125</v>
      </c>
      <c r="D35" s="50"/>
      <c r="E35" s="407">
        <f t="shared" si="8"/>
        <v>0</v>
      </c>
      <c r="F35" s="410">
        <f t="shared" si="9"/>
        <v>0</v>
      </c>
      <c r="G35" s="410">
        <f t="shared" si="10"/>
        <v>0</v>
      </c>
      <c r="H35" s="410">
        <f t="shared" si="11"/>
        <v>0</v>
      </c>
      <c r="I35" s="413">
        <f t="shared" ref="I35:J35" si="14">H35</f>
        <v>0</v>
      </c>
      <c r="J35" s="413">
        <f t="shared" si="14"/>
        <v>0</v>
      </c>
      <c r="K35" s="408">
        <v>1.2</v>
      </c>
      <c r="L35" s="409">
        <v>1</v>
      </c>
    </row>
    <row r="36" spans="1:12" ht="15" x14ac:dyDescent="0.2">
      <c r="A36" s="46">
        <f>A35+1</f>
        <v>8</v>
      </c>
      <c r="B36" s="47" t="s">
        <v>9</v>
      </c>
      <c r="C36" s="43">
        <v>145.53324771302081</v>
      </c>
      <c r="D36" s="50"/>
      <c r="E36" s="407">
        <f>D36*K36*L36</f>
        <v>0</v>
      </c>
      <c r="F36" s="410">
        <f>E36</f>
        <v>0</v>
      </c>
      <c r="G36" s="410">
        <f>F36</f>
        <v>0</v>
      </c>
      <c r="H36" s="410">
        <f>G36</f>
        <v>0</v>
      </c>
      <c r="I36" s="413">
        <f>H36</f>
        <v>0</v>
      </c>
      <c r="J36" s="413">
        <f>I36</f>
        <v>0</v>
      </c>
      <c r="K36" s="408">
        <v>0.6</v>
      </c>
      <c r="L36" s="409">
        <v>6.0000000000000001E-3</v>
      </c>
    </row>
    <row r="37" spans="1:12" ht="15" x14ac:dyDescent="0.2">
      <c r="A37" s="46">
        <f>A36+1</f>
        <v>9</v>
      </c>
      <c r="B37" s="48" t="s">
        <v>10</v>
      </c>
      <c r="C37" s="43">
        <v>114.99585615787501</v>
      </c>
      <c r="D37" s="50"/>
      <c r="E37" s="407">
        <f t="shared" si="8"/>
        <v>0</v>
      </c>
      <c r="F37" s="410">
        <f t="shared" si="9"/>
        <v>0</v>
      </c>
      <c r="G37" s="410">
        <f t="shared" si="10"/>
        <v>0</v>
      </c>
      <c r="H37" s="410">
        <f t="shared" si="11"/>
        <v>0</v>
      </c>
      <c r="I37" s="413">
        <f>H37</f>
        <v>0</v>
      </c>
      <c r="J37" s="413">
        <f>I37</f>
        <v>0</v>
      </c>
      <c r="K37" s="408">
        <v>1.2</v>
      </c>
      <c r="L37" s="409">
        <v>1</v>
      </c>
    </row>
    <row r="38" spans="1:12" ht="15.75" x14ac:dyDescent="0.2">
      <c r="A38" s="604" t="s">
        <v>11</v>
      </c>
      <c r="B38" s="605"/>
      <c r="C38" s="45"/>
      <c r="D38" s="51"/>
      <c r="E38" s="177"/>
      <c r="F38" s="31"/>
      <c r="G38" s="45"/>
      <c r="H38" s="45"/>
      <c r="I38" s="31"/>
      <c r="J38" s="176"/>
      <c r="K38" s="31"/>
      <c r="L38" s="33">
        <v>0</v>
      </c>
    </row>
    <row r="39" spans="1:12" ht="15" x14ac:dyDescent="0.2">
      <c r="A39" s="46">
        <v>10</v>
      </c>
      <c r="B39" s="48" t="s">
        <v>12</v>
      </c>
      <c r="C39" s="43">
        <v>675.67775396921877</v>
      </c>
      <c r="D39" s="50"/>
      <c r="E39" s="407">
        <f t="shared" ref="E39:E44" si="15">D39*K39*L39</f>
        <v>0</v>
      </c>
      <c r="F39" s="410">
        <f t="shared" ref="F39:J44" si="16">E39</f>
        <v>0</v>
      </c>
      <c r="G39" s="410">
        <f t="shared" si="16"/>
        <v>0</v>
      </c>
      <c r="H39" s="410">
        <f t="shared" si="16"/>
        <v>0</v>
      </c>
      <c r="I39" s="416">
        <f t="shared" si="16"/>
        <v>0</v>
      </c>
      <c r="J39" s="416">
        <f t="shared" si="16"/>
        <v>0</v>
      </c>
      <c r="K39" s="408">
        <v>0.9</v>
      </c>
      <c r="L39" s="409">
        <v>4.4999999999999998E-2</v>
      </c>
    </row>
    <row r="40" spans="1:12" ht="15" x14ac:dyDescent="0.2">
      <c r="A40" s="46">
        <v>11</v>
      </c>
      <c r="B40" s="48" t="s">
        <v>13</v>
      </c>
      <c r="C40" s="43">
        <v>914.66609586458333</v>
      </c>
      <c r="D40" s="50"/>
      <c r="E40" s="407">
        <f t="shared" si="15"/>
        <v>0</v>
      </c>
      <c r="F40" s="410">
        <f t="shared" si="16"/>
        <v>0</v>
      </c>
      <c r="G40" s="410">
        <f t="shared" si="16"/>
        <v>0</v>
      </c>
      <c r="H40" s="410">
        <f t="shared" si="16"/>
        <v>0</v>
      </c>
      <c r="I40" s="416">
        <f t="shared" si="16"/>
        <v>0</v>
      </c>
      <c r="J40" s="416">
        <f t="shared" si="16"/>
        <v>0</v>
      </c>
      <c r="K40" s="408">
        <v>0.9</v>
      </c>
      <c r="L40" s="409">
        <v>3.3000000000000002E-2</v>
      </c>
    </row>
    <row r="41" spans="1:12" ht="15" x14ac:dyDescent="0.2">
      <c r="A41" s="46">
        <v>12</v>
      </c>
      <c r="B41" s="48" t="s">
        <v>14</v>
      </c>
      <c r="C41" s="43">
        <v>727.16609586458333</v>
      </c>
      <c r="D41" s="50"/>
      <c r="E41" s="407">
        <f t="shared" si="15"/>
        <v>0</v>
      </c>
      <c r="F41" s="410">
        <f t="shared" si="16"/>
        <v>0</v>
      </c>
      <c r="G41" s="410">
        <f t="shared" si="16"/>
        <v>0</v>
      </c>
      <c r="H41" s="410">
        <f t="shared" si="16"/>
        <v>0</v>
      </c>
      <c r="I41" s="416">
        <f t="shared" si="16"/>
        <v>0</v>
      </c>
      <c r="J41" s="416">
        <f t="shared" si="16"/>
        <v>0</v>
      </c>
      <c r="K41" s="408">
        <v>0.9</v>
      </c>
      <c r="L41" s="409">
        <v>3.3000000000000002E-2</v>
      </c>
    </row>
    <row r="42" spans="1:12" ht="15" x14ac:dyDescent="0.2">
      <c r="A42" s="46">
        <v>13</v>
      </c>
      <c r="B42" s="48" t="s">
        <v>15</v>
      </c>
      <c r="C42" s="43">
        <v>727.16609586458333</v>
      </c>
      <c r="D42" s="50"/>
      <c r="E42" s="407">
        <f t="shared" si="15"/>
        <v>0</v>
      </c>
      <c r="F42" s="410">
        <f t="shared" si="16"/>
        <v>0</v>
      </c>
      <c r="G42" s="410">
        <f t="shared" si="16"/>
        <v>0</v>
      </c>
      <c r="H42" s="410">
        <f t="shared" si="16"/>
        <v>0</v>
      </c>
      <c r="I42" s="416">
        <f t="shared" si="16"/>
        <v>0</v>
      </c>
      <c r="J42" s="416">
        <f t="shared" si="16"/>
        <v>0</v>
      </c>
      <c r="K42" s="408">
        <v>0.6</v>
      </c>
      <c r="L42" s="409">
        <v>3.3000000000000002E-2</v>
      </c>
    </row>
    <row r="43" spans="1:12" ht="15" x14ac:dyDescent="0.2">
      <c r="A43" s="46">
        <v>14</v>
      </c>
      <c r="B43" s="48" t="s">
        <v>16</v>
      </c>
      <c r="C43" s="43">
        <v>213.563732864625</v>
      </c>
      <c r="D43" s="50"/>
      <c r="E43" s="407">
        <f t="shared" si="15"/>
        <v>0</v>
      </c>
      <c r="F43" s="410">
        <f t="shared" si="16"/>
        <v>0</v>
      </c>
      <c r="G43" s="410">
        <f t="shared" si="16"/>
        <v>0</v>
      </c>
      <c r="H43" s="410">
        <f t="shared" si="16"/>
        <v>0</v>
      </c>
      <c r="I43" s="416">
        <f t="shared" si="16"/>
        <v>0</v>
      </c>
      <c r="J43" s="416">
        <f t="shared" si="16"/>
        <v>0</v>
      </c>
      <c r="K43" s="408">
        <v>0.9</v>
      </c>
      <c r="L43" s="409">
        <v>3.3000000000000002E-2</v>
      </c>
    </row>
    <row r="44" spans="1:12" ht="15" x14ac:dyDescent="0.2">
      <c r="A44" s="46">
        <v>15</v>
      </c>
      <c r="B44" s="48" t="s">
        <v>17</v>
      </c>
      <c r="C44" s="43">
        <v>706.33276253125007</v>
      </c>
      <c r="D44" s="50"/>
      <c r="E44" s="407">
        <f t="shared" si="15"/>
        <v>0</v>
      </c>
      <c r="F44" s="410">
        <f t="shared" si="16"/>
        <v>0</v>
      </c>
      <c r="G44" s="410">
        <f t="shared" si="16"/>
        <v>0</v>
      </c>
      <c r="H44" s="410">
        <f t="shared" si="16"/>
        <v>0</v>
      </c>
      <c r="I44" s="416">
        <f t="shared" si="16"/>
        <v>0</v>
      </c>
      <c r="J44" s="416">
        <f t="shared" si="16"/>
        <v>0</v>
      </c>
      <c r="K44" s="408">
        <v>0.6</v>
      </c>
      <c r="L44" s="409">
        <v>3.3000000000000002E-2</v>
      </c>
    </row>
    <row r="45" spans="1:12" ht="15.75" x14ac:dyDescent="0.2">
      <c r="A45" s="604" t="s">
        <v>18</v>
      </c>
      <c r="B45" s="605"/>
      <c r="C45" s="45"/>
      <c r="D45" s="51"/>
      <c r="E45" s="177"/>
      <c r="F45" s="31"/>
      <c r="G45" s="45"/>
      <c r="H45" s="45"/>
      <c r="I45" s="176"/>
      <c r="J45" s="31"/>
      <c r="K45" s="32">
        <v>0</v>
      </c>
      <c r="L45" s="33">
        <v>0</v>
      </c>
    </row>
    <row r="46" spans="1:12" ht="15" x14ac:dyDescent="0.2">
      <c r="A46" s="46">
        <v>16</v>
      </c>
      <c r="B46" s="48" t="s">
        <v>19</v>
      </c>
      <c r="C46" s="43">
        <v>65.434945773802085</v>
      </c>
      <c r="D46" s="50"/>
      <c r="E46" s="407">
        <f t="shared" ref="E46:E53" si="17">D46*K46*L46</f>
        <v>0</v>
      </c>
      <c r="F46" s="410">
        <f t="shared" ref="F46:J53" si="18">E46</f>
        <v>0</v>
      </c>
      <c r="G46" s="410">
        <f t="shared" si="18"/>
        <v>0</v>
      </c>
      <c r="H46" s="410">
        <f t="shared" si="18"/>
        <v>0</v>
      </c>
      <c r="I46" s="416">
        <f t="shared" si="18"/>
        <v>0</v>
      </c>
      <c r="J46" s="416">
        <f t="shared" si="18"/>
        <v>0</v>
      </c>
      <c r="K46" s="408">
        <v>0.9</v>
      </c>
      <c r="L46" s="409">
        <v>0.15</v>
      </c>
    </row>
    <row r="47" spans="1:12" ht="15" x14ac:dyDescent="0.2">
      <c r="A47" s="46">
        <v>17</v>
      </c>
      <c r="B47" s="48" t="s">
        <v>20</v>
      </c>
      <c r="C47" s="43">
        <v>747.99942919791658</v>
      </c>
      <c r="D47" s="50"/>
      <c r="E47" s="407">
        <f t="shared" si="17"/>
        <v>0</v>
      </c>
      <c r="F47" s="410">
        <f t="shared" si="18"/>
        <v>0</v>
      </c>
      <c r="G47" s="410">
        <f t="shared" si="18"/>
        <v>0</v>
      </c>
      <c r="H47" s="410">
        <f t="shared" si="18"/>
        <v>0</v>
      </c>
      <c r="I47" s="416">
        <f t="shared" si="18"/>
        <v>0</v>
      </c>
      <c r="J47" s="416">
        <f t="shared" si="18"/>
        <v>0</v>
      </c>
      <c r="K47" s="408">
        <v>0.6</v>
      </c>
      <c r="L47" s="409">
        <v>4.4999999999999998E-2</v>
      </c>
    </row>
    <row r="48" spans="1:12" ht="15" x14ac:dyDescent="0.2">
      <c r="A48" s="46">
        <v>18</v>
      </c>
      <c r="B48" s="48" t="s">
        <v>21</v>
      </c>
      <c r="C48" s="43">
        <v>1095.198630075</v>
      </c>
      <c r="D48" s="50"/>
      <c r="E48" s="407">
        <f t="shared" si="17"/>
        <v>0</v>
      </c>
      <c r="F48" s="410">
        <f t="shared" si="18"/>
        <v>0</v>
      </c>
      <c r="G48" s="410">
        <f t="shared" si="18"/>
        <v>0</v>
      </c>
      <c r="H48" s="410">
        <f t="shared" si="18"/>
        <v>0</v>
      </c>
      <c r="I48" s="416">
        <f t="shared" si="18"/>
        <v>0</v>
      </c>
      <c r="J48" s="416">
        <f t="shared" si="18"/>
        <v>0</v>
      </c>
      <c r="K48" s="408">
        <v>0.6</v>
      </c>
      <c r="L48" s="409">
        <v>3.3000000000000002E-2</v>
      </c>
    </row>
    <row r="49" spans="1:12" ht="15" x14ac:dyDescent="0.2">
      <c r="A49" s="46">
        <v>19</v>
      </c>
      <c r="B49" s="48" t="s">
        <v>22</v>
      </c>
      <c r="C49" s="43">
        <v>956.33276253125007</v>
      </c>
      <c r="D49" s="50"/>
      <c r="E49" s="407">
        <f t="shared" si="17"/>
        <v>0</v>
      </c>
      <c r="F49" s="410">
        <f t="shared" si="18"/>
        <v>0</v>
      </c>
      <c r="G49" s="410">
        <f t="shared" si="18"/>
        <v>0</v>
      </c>
      <c r="H49" s="410">
        <f t="shared" si="18"/>
        <v>0</v>
      </c>
      <c r="I49" s="416">
        <f t="shared" si="18"/>
        <v>0</v>
      </c>
      <c r="J49" s="416">
        <f t="shared" si="18"/>
        <v>0</v>
      </c>
      <c r="K49" s="408">
        <v>0.6</v>
      </c>
      <c r="L49" s="409">
        <v>3.3000000000000002E-2</v>
      </c>
    </row>
    <row r="50" spans="1:12" ht="15" x14ac:dyDescent="0.2">
      <c r="A50" s="46">
        <v>20</v>
      </c>
      <c r="B50" s="48" t="s">
        <v>23</v>
      </c>
      <c r="C50" s="43">
        <v>879.24942919791658</v>
      </c>
      <c r="D50" s="50"/>
      <c r="E50" s="407">
        <f t="shared" si="17"/>
        <v>0</v>
      </c>
      <c r="F50" s="410">
        <f t="shared" si="18"/>
        <v>0</v>
      </c>
      <c r="G50" s="410">
        <f t="shared" si="18"/>
        <v>0</v>
      </c>
      <c r="H50" s="410">
        <f t="shared" si="18"/>
        <v>0</v>
      </c>
      <c r="I50" s="416">
        <f t="shared" si="18"/>
        <v>0</v>
      </c>
      <c r="J50" s="416">
        <f t="shared" si="18"/>
        <v>0</v>
      </c>
      <c r="K50" s="408">
        <v>0.6</v>
      </c>
      <c r="L50" s="409">
        <v>3.3000000000000002E-2</v>
      </c>
    </row>
    <row r="51" spans="1:12" ht="15" x14ac:dyDescent="0.2">
      <c r="A51" s="46">
        <v>21</v>
      </c>
      <c r="B51" s="48" t="s">
        <v>24</v>
      </c>
      <c r="C51" s="43">
        <v>997.99942919791658</v>
      </c>
      <c r="D51" s="50"/>
      <c r="E51" s="407">
        <f t="shared" si="17"/>
        <v>0</v>
      </c>
      <c r="F51" s="410">
        <f t="shared" si="18"/>
        <v>0</v>
      </c>
      <c r="G51" s="410">
        <f t="shared" si="18"/>
        <v>0</v>
      </c>
      <c r="H51" s="410">
        <f t="shared" si="18"/>
        <v>0</v>
      </c>
      <c r="I51" s="416">
        <f t="shared" si="18"/>
        <v>0</v>
      </c>
      <c r="J51" s="416">
        <f t="shared" si="18"/>
        <v>0</v>
      </c>
      <c r="K51" s="408">
        <v>0.6</v>
      </c>
      <c r="L51" s="409">
        <v>1.7999999999999999E-2</v>
      </c>
    </row>
    <row r="52" spans="1:12" ht="15" x14ac:dyDescent="0.2">
      <c r="A52" s="46">
        <v>22</v>
      </c>
      <c r="B52" s="48" t="s">
        <v>25</v>
      </c>
      <c r="C52" s="43">
        <v>1116.7494291979167</v>
      </c>
      <c r="D52" s="50"/>
      <c r="E52" s="407">
        <f t="shared" si="17"/>
        <v>0</v>
      </c>
      <c r="F52" s="410">
        <f t="shared" si="18"/>
        <v>0</v>
      </c>
      <c r="G52" s="410">
        <f t="shared" si="18"/>
        <v>0</v>
      </c>
      <c r="H52" s="410">
        <f t="shared" si="18"/>
        <v>0</v>
      </c>
      <c r="I52" s="416">
        <f t="shared" si="18"/>
        <v>0</v>
      </c>
      <c r="J52" s="416">
        <f t="shared" si="18"/>
        <v>0</v>
      </c>
      <c r="K52" s="408">
        <v>0.6</v>
      </c>
      <c r="L52" s="409">
        <v>3.3000000000000002E-2</v>
      </c>
    </row>
    <row r="53" spans="1:12" ht="15" x14ac:dyDescent="0.2">
      <c r="A53" s="46">
        <v>23</v>
      </c>
      <c r="B53" s="48" t="s">
        <v>26</v>
      </c>
      <c r="C53" s="43">
        <v>1378.2491437968749</v>
      </c>
      <c r="D53" s="50"/>
      <c r="E53" s="407">
        <f t="shared" si="17"/>
        <v>0</v>
      </c>
      <c r="F53" s="410">
        <f t="shared" si="18"/>
        <v>0</v>
      </c>
      <c r="G53" s="410">
        <f t="shared" si="18"/>
        <v>0</v>
      </c>
      <c r="H53" s="410">
        <f t="shared" si="18"/>
        <v>0</v>
      </c>
      <c r="I53" s="416">
        <f t="shared" si="18"/>
        <v>0</v>
      </c>
      <c r="J53" s="416">
        <f t="shared" si="18"/>
        <v>0</v>
      </c>
      <c r="K53" s="408">
        <v>0.6</v>
      </c>
      <c r="L53" s="409">
        <v>3.3000000000000002E-2</v>
      </c>
    </row>
    <row r="54" spans="1:12" ht="15.75" x14ac:dyDescent="0.2">
      <c r="A54" s="604" t="s">
        <v>27</v>
      </c>
      <c r="B54" s="605"/>
      <c r="C54" s="45"/>
      <c r="D54" s="51"/>
      <c r="E54" s="177"/>
      <c r="F54" s="31"/>
      <c r="G54" s="45"/>
      <c r="H54" s="45"/>
      <c r="I54" s="176"/>
      <c r="J54" s="31"/>
      <c r="K54" s="32">
        <v>0</v>
      </c>
      <c r="L54" s="33">
        <v>0</v>
      </c>
    </row>
    <row r="55" spans="1:12" ht="15" x14ac:dyDescent="0.2">
      <c r="A55" s="46">
        <v>24</v>
      </c>
      <c r="B55" s="48" t="s">
        <v>28</v>
      </c>
      <c r="C55" s="43">
        <v>352.07642692979169</v>
      </c>
      <c r="D55" s="50"/>
      <c r="E55" s="407">
        <f t="shared" ref="E55:E59" si="19">D55*K55*L55</f>
        <v>0</v>
      </c>
      <c r="F55" s="410">
        <f t="shared" ref="F55:J55" si="20">E55</f>
        <v>0</v>
      </c>
      <c r="G55" s="410">
        <f t="shared" si="20"/>
        <v>0</v>
      </c>
      <c r="H55" s="410">
        <f t="shared" si="20"/>
        <v>0</v>
      </c>
      <c r="I55" s="416">
        <f t="shared" si="20"/>
        <v>0</v>
      </c>
      <c r="J55" s="416">
        <f t="shared" si="20"/>
        <v>0</v>
      </c>
      <c r="K55" s="408">
        <v>0.9</v>
      </c>
      <c r="L55" s="409">
        <v>0.15</v>
      </c>
    </row>
    <row r="56" spans="1:12" ht="15" x14ac:dyDescent="0.2">
      <c r="A56" s="46">
        <v>25</v>
      </c>
      <c r="B56" s="48" t="s">
        <v>29</v>
      </c>
      <c r="C56" s="43">
        <v>430.5480736183855</v>
      </c>
      <c r="D56" s="50"/>
      <c r="E56" s="407">
        <f t="shared" si="19"/>
        <v>0</v>
      </c>
      <c r="F56" s="410">
        <f t="shared" ref="F56:J56" si="21">E56</f>
        <v>0</v>
      </c>
      <c r="G56" s="410">
        <f t="shared" si="21"/>
        <v>0</v>
      </c>
      <c r="H56" s="410">
        <f t="shared" si="21"/>
        <v>0</v>
      </c>
      <c r="I56" s="416">
        <f t="shared" si="21"/>
        <v>0</v>
      </c>
      <c r="J56" s="416">
        <f t="shared" si="21"/>
        <v>0</v>
      </c>
      <c r="K56" s="408">
        <v>0.6</v>
      </c>
      <c r="L56" s="409">
        <v>3.3000000000000002E-2</v>
      </c>
    </row>
    <row r="57" spans="1:12" ht="15" x14ac:dyDescent="0.2">
      <c r="A57" s="46">
        <v>26</v>
      </c>
      <c r="B57" s="48" t="s">
        <v>30</v>
      </c>
      <c r="C57" s="43">
        <v>745.93610157260412</v>
      </c>
      <c r="D57" s="50"/>
      <c r="E57" s="407">
        <f t="shared" si="19"/>
        <v>0</v>
      </c>
      <c r="F57" s="410">
        <f t="shared" ref="F57:J57" si="22">E57</f>
        <v>0</v>
      </c>
      <c r="G57" s="410">
        <f t="shared" si="22"/>
        <v>0</v>
      </c>
      <c r="H57" s="410">
        <f t="shared" si="22"/>
        <v>0</v>
      </c>
      <c r="I57" s="416">
        <f t="shared" si="22"/>
        <v>0</v>
      </c>
      <c r="J57" s="416">
        <f t="shared" si="22"/>
        <v>0</v>
      </c>
      <c r="K57" s="408">
        <v>0.6</v>
      </c>
      <c r="L57" s="409">
        <v>3.3000000000000002E-2</v>
      </c>
    </row>
    <row r="58" spans="1:12" ht="15" x14ac:dyDescent="0.2">
      <c r="A58" s="46">
        <v>27</v>
      </c>
      <c r="B58" s="47" t="s">
        <v>31</v>
      </c>
      <c r="C58" s="43">
        <v>704.86615294479168</v>
      </c>
      <c r="D58" s="50"/>
      <c r="E58" s="407">
        <f t="shared" si="19"/>
        <v>0</v>
      </c>
      <c r="F58" s="410">
        <f t="shared" ref="F58:J58" si="23">E58</f>
        <v>0</v>
      </c>
      <c r="G58" s="410">
        <f t="shared" si="23"/>
        <v>0</v>
      </c>
      <c r="H58" s="410">
        <f t="shared" si="23"/>
        <v>0</v>
      </c>
      <c r="I58" s="416">
        <f t="shared" si="23"/>
        <v>0</v>
      </c>
      <c r="J58" s="416">
        <f t="shared" si="23"/>
        <v>0</v>
      </c>
      <c r="K58" s="408">
        <v>0.6</v>
      </c>
      <c r="L58" s="409">
        <v>3.3000000000000002E-2</v>
      </c>
    </row>
    <row r="59" spans="1:12" ht="15" x14ac:dyDescent="0.2">
      <c r="A59" s="46">
        <v>28</v>
      </c>
      <c r="B59" s="47" t="s">
        <v>32</v>
      </c>
      <c r="C59" s="43">
        <v>1660.5821917291667</v>
      </c>
      <c r="D59" s="50"/>
      <c r="E59" s="407">
        <f t="shared" si="19"/>
        <v>0</v>
      </c>
      <c r="F59" s="410">
        <f t="shared" ref="F59:J59" si="24">E59</f>
        <v>0</v>
      </c>
      <c r="G59" s="410">
        <f t="shared" si="24"/>
        <v>0</v>
      </c>
      <c r="H59" s="410">
        <f t="shared" si="24"/>
        <v>0</v>
      </c>
      <c r="I59" s="416">
        <f t="shared" si="24"/>
        <v>0</v>
      </c>
      <c r="J59" s="416">
        <f t="shared" si="24"/>
        <v>0</v>
      </c>
      <c r="K59" s="408">
        <v>0.6</v>
      </c>
      <c r="L59" s="409">
        <v>3.3000000000000002E-2</v>
      </c>
    </row>
    <row r="60" spans="1:12" ht="15.75" x14ac:dyDescent="0.2">
      <c r="A60" s="604" t="s">
        <v>33</v>
      </c>
      <c r="B60" s="605"/>
      <c r="C60" s="45"/>
      <c r="D60" s="51"/>
      <c r="E60" s="177"/>
      <c r="F60" s="31"/>
      <c r="G60" s="45"/>
      <c r="H60" s="45"/>
      <c r="I60" s="176"/>
      <c r="J60" s="31"/>
      <c r="K60" s="32">
        <v>0</v>
      </c>
      <c r="L60" s="33">
        <v>0</v>
      </c>
    </row>
    <row r="61" spans="1:12" ht="15" x14ac:dyDescent="0.2">
      <c r="A61" s="46">
        <v>29</v>
      </c>
      <c r="B61" s="48" t="s">
        <v>34</v>
      </c>
      <c r="C61" s="43">
        <v>694.03281961145831</v>
      </c>
      <c r="D61" s="50"/>
      <c r="E61" s="407">
        <f t="shared" ref="E61:E65" si="25">D61*K61*L61</f>
        <v>0</v>
      </c>
      <c r="F61" s="410">
        <f t="shared" ref="F61:J61" si="26">E61</f>
        <v>0</v>
      </c>
      <c r="G61" s="410">
        <f t="shared" si="26"/>
        <v>0</v>
      </c>
      <c r="H61" s="410">
        <f t="shared" si="26"/>
        <v>0</v>
      </c>
      <c r="I61" s="416">
        <f t="shared" si="26"/>
        <v>0</v>
      </c>
      <c r="J61" s="416">
        <f t="shared" si="26"/>
        <v>0</v>
      </c>
      <c r="K61" s="408">
        <v>0.6</v>
      </c>
      <c r="L61" s="409">
        <v>0.41699999999999998</v>
      </c>
    </row>
    <row r="62" spans="1:12" ht="15" x14ac:dyDescent="0.2">
      <c r="A62" s="46">
        <v>30</v>
      </c>
      <c r="B62" s="48" t="s">
        <v>35</v>
      </c>
      <c r="C62" s="43">
        <v>1132.9159531640626</v>
      </c>
      <c r="D62" s="50"/>
      <c r="E62" s="407">
        <f t="shared" si="25"/>
        <v>0</v>
      </c>
      <c r="F62" s="410">
        <f t="shared" ref="F62:J62" si="27">E62</f>
        <v>0</v>
      </c>
      <c r="G62" s="410">
        <f t="shared" si="27"/>
        <v>0</v>
      </c>
      <c r="H62" s="410">
        <f t="shared" si="27"/>
        <v>0</v>
      </c>
      <c r="I62" s="416">
        <f t="shared" si="27"/>
        <v>0</v>
      </c>
      <c r="J62" s="416">
        <f t="shared" si="27"/>
        <v>0</v>
      </c>
      <c r="K62" s="408">
        <v>0.6</v>
      </c>
      <c r="L62" s="409">
        <v>0.41699999999999998</v>
      </c>
    </row>
    <row r="63" spans="1:12" ht="15" x14ac:dyDescent="0.2">
      <c r="A63" s="46">
        <v>31</v>
      </c>
      <c r="B63" s="48" t="s">
        <v>36</v>
      </c>
      <c r="C63" s="43">
        <v>1390.4490581765626</v>
      </c>
      <c r="D63" s="50"/>
      <c r="E63" s="407">
        <f t="shared" si="25"/>
        <v>0</v>
      </c>
      <c r="F63" s="410">
        <f t="shared" ref="F63:J63" si="28">E63</f>
        <v>0</v>
      </c>
      <c r="G63" s="410">
        <f t="shared" si="28"/>
        <v>0</v>
      </c>
      <c r="H63" s="410">
        <f t="shared" si="28"/>
        <v>0</v>
      </c>
      <c r="I63" s="416">
        <f t="shared" si="28"/>
        <v>0</v>
      </c>
      <c r="J63" s="416">
        <f t="shared" si="28"/>
        <v>0</v>
      </c>
      <c r="K63" s="408">
        <v>0.6</v>
      </c>
      <c r="L63" s="409">
        <v>6.3E-2</v>
      </c>
    </row>
    <row r="64" spans="1:12" ht="15" x14ac:dyDescent="0.2">
      <c r="A64" s="46">
        <v>32</v>
      </c>
      <c r="B64" s="48" t="s">
        <v>37</v>
      </c>
      <c r="C64" s="43">
        <v>1273.7823915098959</v>
      </c>
      <c r="D64" s="50"/>
      <c r="E64" s="407">
        <f t="shared" si="25"/>
        <v>0</v>
      </c>
      <c r="F64" s="410">
        <f t="shared" ref="F64:J64" si="29">E64</f>
        <v>0</v>
      </c>
      <c r="G64" s="410">
        <f t="shared" si="29"/>
        <v>0</v>
      </c>
      <c r="H64" s="410">
        <f t="shared" si="29"/>
        <v>0</v>
      </c>
      <c r="I64" s="416">
        <f t="shared" si="29"/>
        <v>0</v>
      </c>
      <c r="J64" s="416">
        <f t="shared" si="29"/>
        <v>0</v>
      </c>
      <c r="K64" s="408">
        <v>0.6</v>
      </c>
      <c r="L64" s="409">
        <v>3.3000000000000002E-2</v>
      </c>
    </row>
    <row r="65" spans="1:12" ht="15" x14ac:dyDescent="0.2">
      <c r="A65" s="46">
        <v>33</v>
      </c>
      <c r="B65" s="48" t="s">
        <v>38</v>
      </c>
      <c r="C65" s="43">
        <v>1888.848601534896</v>
      </c>
      <c r="D65" s="50"/>
      <c r="E65" s="407">
        <f t="shared" si="25"/>
        <v>0</v>
      </c>
      <c r="F65" s="410">
        <f t="shared" ref="F65:J65" si="30">E65</f>
        <v>0</v>
      </c>
      <c r="G65" s="410">
        <f t="shared" si="30"/>
        <v>0</v>
      </c>
      <c r="H65" s="410">
        <f t="shared" si="30"/>
        <v>0</v>
      </c>
      <c r="I65" s="416">
        <f t="shared" si="30"/>
        <v>0</v>
      </c>
      <c r="J65" s="416">
        <f t="shared" si="30"/>
        <v>0</v>
      </c>
      <c r="K65" s="408">
        <v>0.6</v>
      </c>
      <c r="L65" s="409">
        <v>1.7999999999999999E-2</v>
      </c>
    </row>
    <row r="66" spans="1:12" ht="15.75" x14ac:dyDescent="0.2">
      <c r="A66" s="604" t="s">
        <v>39</v>
      </c>
      <c r="B66" s="605"/>
      <c r="C66" s="45"/>
      <c r="D66" s="51"/>
      <c r="E66" s="177"/>
      <c r="F66" s="31"/>
      <c r="G66" s="45"/>
      <c r="H66" s="45"/>
      <c r="I66" s="176"/>
      <c r="J66" s="31"/>
      <c r="K66" s="32">
        <v>0</v>
      </c>
      <c r="L66" s="33">
        <v>0</v>
      </c>
    </row>
    <row r="67" spans="1:12" ht="15" x14ac:dyDescent="0.2">
      <c r="A67" s="46">
        <v>34</v>
      </c>
      <c r="B67" s="48" t="s">
        <v>40</v>
      </c>
      <c r="C67" s="43">
        <v>504.95308218041663</v>
      </c>
      <c r="D67" s="50"/>
      <c r="E67" s="407">
        <f t="shared" ref="E67:E68" si="31">D67*K67*L67</f>
        <v>0</v>
      </c>
      <c r="F67" s="410">
        <f>E67*2</f>
        <v>0</v>
      </c>
      <c r="G67" s="410">
        <f>E67*3</f>
        <v>0</v>
      </c>
      <c r="H67" s="410">
        <f t="shared" ref="H67:J67" si="32">G67</f>
        <v>0</v>
      </c>
      <c r="I67" s="416">
        <f t="shared" si="32"/>
        <v>0</v>
      </c>
      <c r="J67" s="416">
        <f t="shared" si="32"/>
        <v>0</v>
      </c>
      <c r="K67" s="408">
        <v>2.1</v>
      </c>
      <c r="L67" s="409">
        <v>0.28499999999999998</v>
      </c>
    </row>
    <row r="68" spans="1:12" ht="15" x14ac:dyDescent="0.2">
      <c r="A68" s="46">
        <v>35</v>
      </c>
      <c r="B68" s="48" t="s">
        <v>41</v>
      </c>
      <c r="C68" s="43">
        <v>271.71977738718749</v>
      </c>
      <c r="D68" s="50"/>
      <c r="E68" s="407">
        <f t="shared" si="31"/>
        <v>0</v>
      </c>
      <c r="F68" s="410">
        <f t="shared" ref="F68:J68" si="33">E68</f>
        <v>0</v>
      </c>
      <c r="G68" s="410">
        <f t="shared" si="33"/>
        <v>0</v>
      </c>
      <c r="H68" s="410">
        <f t="shared" si="33"/>
        <v>0</v>
      </c>
      <c r="I68" s="416">
        <f t="shared" si="33"/>
        <v>0</v>
      </c>
      <c r="J68" s="416">
        <f t="shared" si="33"/>
        <v>0</v>
      </c>
      <c r="K68" s="408">
        <v>0.9</v>
      </c>
      <c r="L68" s="409">
        <v>9.2999999999999999E-2</v>
      </c>
    </row>
    <row r="69" spans="1:12" ht="15.75" x14ac:dyDescent="0.2">
      <c r="A69" s="604" t="s">
        <v>42</v>
      </c>
      <c r="B69" s="605"/>
      <c r="C69" s="45"/>
      <c r="D69" s="51"/>
      <c r="E69" s="177"/>
      <c r="F69" s="31"/>
      <c r="G69" s="45"/>
      <c r="H69" s="45"/>
      <c r="I69" s="176"/>
      <c r="J69" s="31"/>
      <c r="K69" s="32">
        <v>0</v>
      </c>
      <c r="L69" s="33">
        <v>0</v>
      </c>
    </row>
    <row r="70" spans="1:12" ht="15" x14ac:dyDescent="0.2">
      <c r="A70" s="46">
        <v>36</v>
      </c>
      <c r="B70" s="48" t="s">
        <v>43</v>
      </c>
      <c r="C70" s="43">
        <v>154.46157248432291</v>
      </c>
      <c r="D70" s="50"/>
      <c r="E70" s="407">
        <f t="shared" ref="E70:E74" si="34">D70*K70*L70</f>
        <v>0</v>
      </c>
      <c r="F70" s="410">
        <f t="shared" ref="F70:J70" si="35">E70</f>
        <v>0</v>
      </c>
      <c r="G70" s="410">
        <f t="shared" si="35"/>
        <v>0</v>
      </c>
      <c r="H70" s="410">
        <f t="shared" si="35"/>
        <v>0</v>
      </c>
      <c r="I70" s="416">
        <f t="shared" si="35"/>
        <v>0</v>
      </c>
      <c r="J70" s="416">
        <f t="shared" si="35"/>
        <v>0</v>
      </c>
      <c r="K70" s="408">
        <v>0.9</v>
      </c>
      <c r="L70" s="409">
        <v>0.19500000000000001</v>
      </c>
    </row>
    <row r="71" spans="1:12" ht="15" x14ac:dyDescent="0.2">
      <c r="A71" s="46">
        <v>37</v>
      </c>
      <c r="B71" s="48" t="s">
        <v>44</v>
      </c>
      <c r="C71" s="43">
        <v>106.4466038784375</v>
      </c>
      <c r="D71" s="50"/>
      <c r="E71" s="407">
        <f t="shared" si="34"/>
        <v>0</v>
      </c>
      <c r="F71" s="410">
        <f t="shared" ref="F71:J71" si="36">E71</f>
        <v>0</v>
      </c>
      <c r="G71" s="410">
        <f t="shared" si="36"/>
        <v>0</v>
      </c>
      <c r="H71" s="410">
        <f t="shared" si="36"/>
        <v>0</v>
      </c>
      <c r="I71" s="416">
        <f t="shared" si="36"/>
        <v>0</v>
      </c>
      <c r="J71" s="416">
        <f t="shared" si="36"/>
        <v>0</v>
      </c>
      <c r="K71" s="408">
        <v>0.9</v>
      </c>
      <c r="L71" s="409">
        <v>0.16500000000000001</v>
      </c>
    </row>
    <row r="72" spans="1:12" ht="15" x14ac:dyDescent="0.2">
      <c r="A72" s="46">
        <v>38</v>
      </c>
      <c r="B72" s="48" t="s">
        <v>45</v>
      </c>
      <c r="C72" s="43">
        <v>413.48301939218749</v>
      </c>
      <c r="D72" s="50"/>
      <c r="E72" s="407">
        <f t="shared" si="34"/>
        <v>0</v>
      </c>
      <c r="F72" s="410">
        <f>E72*2</f>
        <v>0</v>
      </c>
      <c r="G72" s="410">
        <f>F72</f>
        <v>0</v>
      </c>
      <c r="H72" s="410">
        <f t="shared" ref="H72:J72" si="37">G72</f>
        <v>0</v>
      </c>
      <c r="I72" s="416">
        <f t="shared" si="37"/>
        <v>0</v>
      </c>
      <c r="J72" s="416">
        <f t="shared" si="37"/>
        <v>0</v>
      </c>
      <c r="K72" s="408">
        <v>1.8</v>
      </c>
      <c r="L72" s="409">
        <v>6.0000000000000012E-2</v>
      </c>
    </row>
    <row r="73" spans="1:12" ht="15" x14ac:dyDescent="0.2">
      <c r="A73" s="46">
        <v>39</v>
      </c>
      <c r="B73" s="49" t="s">
        <v>184</v>
      </c>
      <c r="C73" s="43">
        <v>1550.1827910713541</v>
      </c>
      <c r="D73" s="52"/>
      <c r="E73" s="407">
        <f t="shared" si="34"/>
        <v>0</v>
      </c>
      <c r="F73" s="410">
        <f>E73*2</f>
        <v>0</v>
      </c>
      <c r="G73" s="410">
        <f>F73</f>
        <v>0</v>
      </c>
      <c r="H73" s="410">
        <f t="shared" ref="H73:J73" si="38">G73</f>
        <v>0</v>
      </c>
      <c r="I73" s="416">
        <f t="shared" si="38"/>
        <v>0</v>
      </c>
      <c r="J73" s="416">
        <f t="shared" si="38"/>
        <v>0</v>
      </c>
      <c r="K73" s="408">
        <v>1.8</v>
      </c>
      <c r="L73" s="409">
        <v>6.0000000000000012E-2</v>
      </c>
    </row>
    <row r="74" spans="1:12" ht="15" x14ac:dyDescent="0.2">
      <c r="A74" s="46">
        <v>40</v>
      </c>
      <c r="B74" s="48" t="s">
        <v>46</v>
      </c>
      <c r="C74" s="43">
        <v>876.15890406000005</v>
      </c>
      <c r="D74" s="50"/>
      <c r="E74" s="407">
        <f t="shared" si="34"/>
        <v>0</v>
      </c>
      <c r="F74" s="410">
        <f t="shared" ref="F74:J74" si="39">E74</f>
        <v>0</v>
      </c>
      <c r="G74" s="410">
        <f t="shared" si="39"/>
        <v>0</v>
      </c>
      <c r="H74" s="410">
        <f t="shared" si="39"/>
        <v>0</v>
      </c>
      <c r="I74" s="416">
        <f t="shared" si="39"/>
        <v>0</v>
      </c>
      <c r="J74" s="416">
        <f t="shared" si="39"/>
        <v>0</v>
      </c>
      <c r="K74" s="408">
        <v>0.6</v>
      </c>
      <c r="L74" s="409">
        <v>3.3000000000000002E-2</v>
      </c>
    </row>
    <row r="75" spans="1:12" ht="15.75" x14ac:dyDescent="0.2">
      <c r="A75" s="604" t="s">
        <v>47</v>
      </c>
      <c r="B75" s="605"/>
      <c r="C75" s="45"/>
      <c r="D75" s="51"/>
      <c r="E75" s="177"/>
      <c r="F75" s="31"/>
      <c r="G75" s="45"/>
      <c r="H75" s="45"/>
      <c r="I75" s="176"/>
      <c r="J75" s="31"/>
      <c r="K75" s="32">
        <v>0</v>
      </c>
      <c r="L75" s="33">
        <v>0</v>
      </c>
    </row>
    <row r="76" spans="1:12" ht="15" x14ac:dyDescent="0.2">
      <c r="A76" s="46">
        <v>41</v>
      </c>
      <c r="B76" s="47" t="s">
        <v>48</v>
      </c>
      <c r="C76" s="43">
        <v>175.23178081200001</v>
      </c>
      <c r="D76" s="50"/>
      <c r="E76" s="407">
        <f t="shared" ref="E76:E79" si="40">D76*K76*L76</f>
        <v>0</v>
      </c>
      <c r="F76" s="410">
        <f t="shared" ref="F76:J76" si="41">E76</f>
        <v>0</v>
      </c>
      <c r="G76" s="410">
        <f t="shared" si="41"/>
        <v>0</v>
      </c>
      <c r="H76" s="410">
        <f t="shared" si="41"/>
        <v>0</v>
      </c>
      <c r="I76" s="416">
        <f t="shared" si="41"/>
        <v>0</v>
      </c>
      <c r="J76" s="416">
        <f t="shared" si="41"/>
        <v>0</v>
      </c>
      <c r="K76" s="408">
        <v>0.6</v>
      </c>
      <c r="L76" s="409">
        <v>0.12000000000000002</v>
      </c>
    </row>
    <row r="77" spans="1:12" ht="15" x14ac:dyDescent="0.2">
      <c r="A77" s="46">
        <v>42</v>
      </c>
      <c r="B77" s="47" t="s">
        <v>49</v>
      </c>
      <c r="C77" s="43">
        <v>213.563732864625</v>
      </c>
      <c r="D77" s="50"/>
      <c r="E77" s="407">
        <f t="shared" si="40"/>
        <v>0</v>
      </c>
      <c r="F77" s="410">
        <f t="shared" ref="F77:J77" si="42">E77</f>
        <v>0</v>
      </c>
      <c r="G77" s="410">
        <f t="shared" si="42"/>
        <v>0</v>
      </c>
      <c r="H77" s="410">
        <f t="shared" si="42"/>
        <v>0</v>
      </c>
      <c r="I77" s="416">
        <f t="shared" si="42"/>
        <v>0</v>
      </c>
      <c r="J77" s="416">
        <f t="shared" si="42"/>
        <v>0</v>
      </c>
      <c r="K77" s="408">
        <v>0.9</v>
      </c>
      <c r="L77" s="409">
        <v>0.20999999999999996</v>
      </c>
    </row>
    <row r="78" spans="1:12" ht="15" x14ac:dyDescent="0.2">
      <c r="A78" s="46">
        <v>43</v>
      </c>
      <c r="B78" s="47" t="s">
        <v>50</v>
      </c>
      <c r="C78" s="43">
        <v>268.32366436837503</v>
      </c>
      <c r="D78" s="50"/>
      <c r="E78" s="407">
        <f t="shared" si="40"/>
        <v>0</v>
      </c>
      <c r="F78" s="410">
        <f t="shared" ref="F78:J78" si="43">E78</f>
        <v>0</v>
      </c>
      <c r="G78" s="410">
        <f t="shared" si="43"/>
        <v>0</v>
      </c>
      <c r="H78" s="410">
        <f t="shared" si="43"/>
        <v>0</v>
      </c>
      <c r="I78" s="416">
        <f t="shared" si="43"/>
        <v>0</v>
      </c>
      <c r="J78" s="416">
        <f t="shared" si="43"/>
        <v>0</v>
      </c>
      <c r="K78" s="408">
        <v>0.6</v>
      </c>
      <c r="L78" s="409">
        <v>0.09</v>
      </c>
    </row>
    <row r="79" spans="1:12" ht="15" x14ac:dyDescent="0.2">
      <c r="A79" s="46">
        <v>44</v>
      </c>
      <c r="B79" s="47" t="s">
        <v>51</v>
      </c>
      <c r="C79" s="43">
        <v>312.13160957137501</v>
      </c>
      <c r="D79" s="50"/>
      <c r="E79" s="407">
        <f t="shared" si="40"/>
        <v>0</v>
      </c>
      <c r="F79" s="410">
        <f t="shared" ref="F79:J79" si="44">E79</f>
        <v>0</v>
      </c>
      <c r="G79" s="410">
        <f t="shared" si="44"/>
        <v>0</v>
      </c>
      <c r="H79" s="410">
        <f t="shared" si="44"/>
        <v>0</v>
      </c>
      <c r="I79" s="416">
        <f t="shared" si="44"/>
        <v>0</v>
      </c>
      <c r="J79" s="416">
        <f t="shared" si="44"/>
        <v>0</v>
      </c>
      <c r="K79" s="408">
        <v>0.6</v>
      </c>
      <c r="L79" s="409">
        <v>6.0000000000000012E-2</v>
      </c>
    </row>
    <row r="80" spans="1:12" ht="15.75" x14ac:dyDescent="0.2">
      <c r="A80" s="604" t="s">
        <v>52</v>
      </c>
      <c r="B80" s="605"/>
      <c r="C80" s="45"/>
      <c r="D80" s="51"/>
      <c r="E80" s="177"/>
      <c r="F80" s="31"/>
      <c r="G80" s="45"/>
      <c r="H80" s="45"/>
      <c r="I80" s="176"/>
      <c r="J80" s="31"/>
      <c r="K80" s="32">
        <v>0</v>
      </c>
      <c r="L80" s="33">
        <v>0</v>
      </c>
    </row>
    <row r="81" spans="1:12" ht="15" x14ac:dyDescent="0.2">
      <c r="A81" s="46">
        <v>45</v>
      </c>
      <c r="B81" s="48" t="s">
        <v>52</v>
      </c>
      <c r="C81" s="43">
        <v>212.893207756875</v>
      </c>
      <c r="D81" s="50"/>
      <c r="E81" s="407">
        <f t="shared" ref="E81" si="45">D81*K81*L81</f>
        <v>0</v>
      </c>
      <c r="F81" s="410">
        <f>E81*2</f>
        <v>0</v>
      </c>
      <c r="G81" s="410">
        <f>F81</f>
        <v>0</v>
      </c>
      <c r="H81" s="410">
        <f>G81</f>
        <v>0</v>
      </c>
      <c r="I81" s="416">
        <f>H81</f>
        <v>0</v>
      </c>
      <c r="J81" s="416">
        <f>I81</f>
        <v>0</v>
      </c>
      <c r="K81" s="408">
        <v>1.8</v>
      </c>
      <c r="L81" s="409">
        <v>0.22500000000000001</v>
      </c>
    </row>
    <row r="82" spans="1:12" ht="15.75" x14ac:dyDescent="0.2">
      <c r="A82" s="604" t="s">
        <v>53</v>
      </c>
      <c r="B82" s="605"/>
      <c r="C82" s="45"/>
      <c r="D82" s="51"/>
      <c r="E82" s="177"/>
      <c r="F82" s="31"/>
      <c r="G82" s="45"/>
      <c r="H82" s="45"/>
      <c r="I82" s="176"/>
      <c r="J82" s="31"/>
      <c r="K82" s="32">
        <v>0</v>
      </c>
      <c r="L82" s="33">
        <v>0</v>
      </c>
    </row>
    <row r="83" spans="1:12" ht="15" x14ac:dyDescent="0.2">
      <c r="A83" s="46">
        <v>46</v>
      </c>
      <c r="B83" s="48" t="s">
        <v>54</v>
      </c>
      <c r="C83" s="43">
        <v>262.84767121800002</v>
      </c>
      <c r="D83" s="50"/>
      <c r="E83" s="407">
        <f t="shared" ref="E83:E84" si="46">D83*K83*L83</f>
        <v>0</v>
      </c>
      <c r="F83" s="410">
        <f t="shared" ref="F83:J83" si="47">E83</f>
        <v>0</v>
      </c>
      <c r="G83" s="410">
        <f t="shared" si="47"/>
        <v>0</v>
      </c>
      <c r="H83" s="410">
        <f t="shared" si="47"/>
        <v>0</v>
      </c>
      <c r="I83" s="416">
        <f t="shared" si="47"/>
        <v>0</v>
      </c>
      <c r="J83" s="416">
        <f t="shared" si="47"/>
        <v>0</v>
      </c>
      <c r="K83" s="408">
        <v>0.6</v>
      </c>
      <c r="L83" s="409">
        <v>6.0000000000000012E-2</v>
      </c>
    </row>
    <row r="84" spans="1:12" ht="15" x14ac:dyDescent="0.2">
      <c r="A84" s="46">
        <v>47</v>
      </c>
      <c r="B84" s="48" t="s">
        <v>55</v>
      </c>
      <c r="C84" s="43">
        <v>247.11816494671876</v>
      </c>
      <c r="D84" s="50"/>
      <c r="E84" s="407">
        <f t="shared" si="46"/>
        <v>0</v>
      </c>
      <c r="F84" s="410">
        <f t="shared" ref="F84:J84" si="48">E84</f>
        <v>0</v>
      </c>
      <c r="G84" s="410">
        <f t="shared" si="48"/>
        <v>0</v>
      </c>
      <c r="H84" s="410">
        <f t="shared" si="48"/>
        <v>0</v>
      </c>
      <c r="I84" s="416">
        <f t="shared" si="48"/>
        <v>0</v>
      </c>
      <c r="J84" s="416">
        <f t="shared" si="48"/>
        <v>0</v>
      </c>
      <c r="K84" s="408">
        <v>0.9</v>
      </c>
      <c r="L84" s="409">
        <v>0.255</v>
      </c>
    </row>
    <row r="85" spans="1:12" ht="15.75" x14ac:dyDescent="0.2">
      <c r="A85" s="604" t="s">
        <v>56</v>
      </c>
      <c r="B85" s="605"/>
      <c r="C85" s="45"/>
      <c r="D85" s="51"/>
      <c r="E85" s="177"/>
      <c r="F85" s="31"/>
      <c r="G85" s="45"/>
      <c r="H85" s="45"/>
      <c r="I85" s="176"/>
      <c r="J85" s="31"/>
      <c r="K85" s="32">
        <v>0</v>
      </c>
      <c r="L85" s="33">
        <v>0</v>
      </c>
    </row>
    <row r="86" spans="1:12" ht="15" x14ac:dyDescent="0.2">
      <c r="A86" s="46">
        <v>48</v>
      </c>
      <c r="B86" s="48" t="s">
        <v>57</v>
      </c>
      <c r="C86" s="43">
        <v>95</v>
      </c>
      <c r="D86" s="50"/>
      <c r="E86" s="407">
        <f t="shared" ref="E86:E90" si="49">D86*K86*L86</f>
        <v>0</v>
      </c>
      <c r="F86" s="410">
        <f t="shared" ref="F86:J86" si="50">E86</f>
        <v>0</v>
      </c>
      <c r="G86" s="410">
        <f t="shared" si="50"/>
        <v>0</v>
      </c>
      <c r="H86" s="410">
        <f t="shared" si="50"/>
        <v>0</v>
      </c>
      <c r="I86" s="416">
        <f t="shared" si="50"/>
        <v>0</v>
      </c>
      <c r="J86" s="416">
        <f t="shared" si="50"/>
        <v>0</v>
      </c>
      <c r="K86" s="408">
        <v>0.6</v>
      </c>
      <c r="L86" s="409">
        <v>3.3000000000000002E-2</v>
      </c>
    </row>
    <row r="87" spans="1:12" ht="15" x14ac:dyDescent="0.2">
      <c r="A87" s="46">
        <v>49</v>
      </c>
      <c r="B87" s="48" t="s">
        <v>58</v>
      </c>
      <c r="C87" s="43">
        <v>106.04994291979168</v>
      </c>
      <c r="D87" s="50"/>
      <c r="E87" s="407">
        <f t="shared" si="49"/>
        <v>0</v>
      </c>
      <c r="F87" s="410">
        <f t="shared" ref="F87:J87" si="51">E87</f>
        <v>0</v>
      </c>
      <c r="G87" s="410">
        <f t="shared" si="51"/>
        <v>0</v>
      </c>
      <c r="H87" s="410">
        <f t="shared" si="51"/>
        <v>0</v>
      </c>
      <c r="I87" s="416">
        <f t="shared" si="51"/>
        <v>0</v>
      </c>
      <c r="J87" s="416">
        <f t="shared" si="51"/>
        <v>0</v>
      </c>
      <c r="K87" s="408">
        <v>0.6</v>
      </c>
      <c r="L87" s="409">
        <v>3.3000000000000002E-2</v>
      </c>
    </row>
    <row r="88" spans="1:12" ht="15" x14ac:dyDescent="0.2">
      <c r="A88" s="46">
        <v>50</v>
      </c>
      <c r="B88" s="48" t="s">
        <v>59</v>
      </c>
      <c r="C88" s="43">
        <v>34.900662100250003</v>
      </c>
      <c r="D88" s="50"/>
      <c r="E88" s="407">
        <f t="shared" si="49"/>
        <v>0</v>
      </c>
      <c r="F88" s="410">
        <f t="shared" ref="F88:J88" si="52">E88</f>
        <v>0</v>
      </c>
      <c r="G88" s="410">
        <f t="shared" si="52"/>
        <v>0</v>
      </c>
      <c r="H88" s="410">
        <f t="shared" si="52"/>
        <v>0</v>
      </c>
      <c r="I88" s="416">
        <f t="shared" si="52"/>
        <v>0</v>
      </c>
      <c r="J88" s="416">
        <f t="shared" si="52"/>
        <v>0</v>
      </c>
      <c r="K88" s="408">
        <v>0.9</v>
      </c>
      <c r="L88" s="409">
        <v>0.12000000000000002</v>
      </c>
    </row>
    <row r="89" spans="1:12" ht="15" x14ac:dyDescent="0.2">
      <c r="A89" s="46">
        <v>51</v>
      </c>
      <c r="B89" s="48" t="s">
        <v>60</v>
      </c>
      <c r="C89" s="43">
        <v>231.93984017541669</v>
      </c>
      <c r="D89" s="50"/>
      <c r="E89" s="407">
        <f t="shared" si="49"/>
        <v>0</v>
      </c>
      <c r="F89" s="410">
        <f t="shared" ref="F89:J89" si="53">E89</f>
        <v>0</v>
      </c>
      <c r="G89" s="410">
        <f t="shared" si="53"/>
        <v>0</v>
      </c>
      <c r="H89" s="410">
        <f t="shared" si="53"/>
        <v>0</v>
      </c>
      <c r="I89" s="416">
        <f t="shared" si="53"/>
        <v>0</v>
      </c>
      <c r="J89" s="416">
        <f t="shared" si="53"/>
        <v>0</v>
      </c>
      <c r="K89" s="408">
        <v>0.6</v>
      </c>
      <c r="L89" s="409">
        <v>3.3000000000000002E-2</v>
      </c>
    </row>
    <row r="90" spans="1:12" ht="15" x14ac:dyDescent="0.2">
      <c r="A90" s="46">
        <v>52</v>
      </c>
      <c r="B90" s="48" t="s">
        <v>61</v>
      </c>
      <c r="C90" s="43">
        <v>94.641623856510421</v>
      </c>
      <c r="D90" s="50"/>
      <c r="E90" s="407">
        <f t="shared" si="49"/>
        <v>0</v>
      </c>
      <c r="F90" s="410">
        <f t="shared" ref="F90:J90" si="54">E90</f>
        <v>0</v>
      </c>
      <c r="G90" s="410">
        <f t="shared" si="54"/>
        <v>0</v>
      </c>
      <c r="H90" s="410">
        <f t="shared" si="54"/>
        <v>0</v>
      </c>
      <c r="I90" s="416">
        <f t="shared" si="54"/>
        <v>0</v>
      </c>
      <c r="J90" s="416">
        <f t="shared" si="54"/>
        <v>0</v>
      </c>
      <c r="K90" s="408">
        <v>0.6</v>
      </c>
      <c r="L90" s="409">
        <v>3.3000000000000002E-2</v>
      </c>
    </row>
    <row r="91" spans="1:12" ht="15.75" x14ac:dyDescent="0.2">
      <c r="A91" s="604" t="s">
        <v>62</v>
      </c>
      <c r="B91" s="605"/>
      <c r="C91" s="45"/>
      <c r="D91" s="51"/>
      <c r="E91" s="177"/>
      <c r="F91" s="31"/>
      <c r="G91" s="45"/>
      <c r="H91" s="45"/>
      <c r="I91" s="176"/>
      <c r="J91" s="31"/>
      <c r="K91" s="32">
        <v>0</v>
      </c>
      <c r="L91" s="33">
        <v>0</v>
      </c>
    </row>
    <row r="92" spans="1:12" ht="15" x14ac:dyDescent="0.2">
      <c r="A92" s="46">
        <v>53</v>
      </c>
      <c r="B92" s="48" t="s">
        <v>63</v>
      </c>
      <c r="C92" s="43">
        <v>40</v>
      </c>
      <c r="D92" s="50"/>
      <c r="E92" s="407">
        <f t="shared" ref="E92:E126" si="55">D92*K92*L92</f>
        <v>0</v>
      </c>
      <c r="F92" s="410">
        <f t="shared" ref="F92:J92" si="56">E92</f>
        <v>0</v>
      </c>
      <c r="G92" s="410">
        <f t="shared" si="56"/>
        <v>0</v>
      </c>
      <c r="H92" s="410">
        <f t="shared" si="56"/>
        <v>0</v>
      </c>
      <c r="I92" s="416">
        <f t="shared" si="56"/>
        <v>0</v>
      </c>
      <c r="J92" s="416">
        <f t="shared" si="56"/>
        <v>0</v>
      </c>
      <c r="K92" s="408">
        <v>0.6</v>
      </c>
      <c r="L92" s="409">
        <v>0.15</v>
      </c>
    </row>
    <row r="93" spans="1:12" ht="15" x14ac:dyDescent="0.2">
      <c r="A93" s="46">
        <v>54</v>
      </c>
      <c r="B93" s="48" t="s">
        <v>64</v>
      </c>
      <c r="C93" s="43">
        <v>46.457470032890626</v>
      </c>
      <c r="D93" s="50"/>
      <c r="E93" s="407">
        <f t="shared" si="55"/>
        <v>0</v>
      </c>
      <c r="F93" s="410">
        <f t="shared" ref="F93:J93" si="57">E93</f>
        <v>0</v>
      </c>
      <c r="G93" s="410">
        <f t="shared" si="57"/>
        <v>0</v>
      </c>
      <c r="H93" s="410">
        <f t="shared" si="57"/>
        <v>0</v>
      </c>
      <c r="I93" s="416">
        <f t="shared" si="57"/>
        <v>0</v>
      </c>
      <c r="J93" s="416">
        <f t="shared" si="57"/>
        <v>0</v>
      </c>
      <c r="K93" s="408">
        <v>0.6</v>
      </c>
      <c r="L93" s="409">
        <v>0.13500000000000001</v>
      </c>
    </row>
    <row r="94" spans="1:12" ht="15" x14ac:dyDescent="0.2">
      <c r="A94" s="46">
        <v>55</v>
      </c>
      <c r="B94" s="48" t="s">
        <v>65</v>
      </c>
      <c r="C94" s="43">
        <v>80.138313355260422</v>
      </c>
      <c r="D94" s="50"/>
      <c r="E94" s="407">
        <f t="shared" si="55"/>
        <v>0</v>
      </c>
      <c r="F94" s="410">
        <f t="shared" ref="F94:J94" si="58">E94</f>
        <v>0</v>
      </c>
      <c r="G94" s="410">
        <f t="shared" si="58"/>
        <v>0</v>
      </c>
      <c r="H94" s="410">
        <f t="shared" si="58"/>
        <v>0</v>
      </c>
      <c r="I94" s="416">
        <f t="shared" si="58"/>
        <v>0</v>
      </c>
      <c r="J94" s="416">
        <f t="shared" si="58"/>
        <v>0</v>
      </c>
      <c r="K94" s="408">
        <v>0.6</v>
      </c>
      <c r="L94" s="409">
        <v>0.15</v>
      </c>
    </row>
    <row r="95" spans="1:12" ht="15" x14ac:dyDescent="0.2">
      <c r="A95" s="46">
        <v>56</v>
      </c>
      <c r="B95" s="48" t="s">
        <v>66</v>
      </c>
      <c r="C95" s="43">
        <v>48.302461470859377</v>
      </c>
      <c r="D95" s="50"/>
      <c r="E95" s="407">
        <f t="shared" si="55"/>
        <v>0</v>
      </c>
      <c r="F95" s="410">
        <f t="shared" ref="F95:J95" si="59">E95</f>
        <v>0</v>
      </c>
      <c r="G95" s="410">
        <f t="shared" si="59"/>
        <v>0</v>
      </c>
      <c r="H95" s="410">
        <f t="shared" si="59"/>
        <v>0</v>
      </c>
      <c r="I95" s="416">
        <f t="shared" si="59"/>
        <v>0</v>
      </c>
      <c r="J95" s="416">
        <f t="shared" si="59"/>
        <v>0</v>
      </c>
      <c r="K95" s="408">
        <v>0.6</v>
      </c>
      <c r="L95" s="409">
        <v>0.13500000000000001</v>
      </c>
    </row>
    <row r="96" spans="1:12" ht="15" x14ac:dyDescent="0.2">
      <c r="A96" s="46">
        <v>57</v>
      </c>
      <c r="B96" s="48" t="s">
        <v>67</v>
      </c>
      <c r="C96" s="43">
        <v>41.457470032890626</v>
      </c>
      <c r="D96" s="50"/>
      <c r="E96" s="407">
        <f t="shared" si="55"/>
        <v>0</v>
      </c>
      <c r="F96" s="410">
        <f t="shared" ref="F96:J96" si="60">E96</f>
        <v>0</v>
      </c>
      <c r="G96" s="410">
        <f t="shared" si="60"/>
        <v>0</v>
      </c>
      <c r="H96" s="410">
        <f t="shared" si="60"/>
        <v>0</v>
      </c>
      <c r="I96" s="416">
        <f t="shared" si="60"/>
        <v>0</v>
      </c>
      <c r="J96" s="416">
        <f t="shared" si="60"/>
        <v>0</v>
      </c>
      <c r="K96" s="408">
        <v>0.6</v>
      </c>
      <c r="L96" s="409">
        <v>0.13500000000000001</v>
      </c>
    </row>
    <row r="97" spans="1:12" ht="15" x14ac:dyDescent="0.2">
      <c r="A97" s="46">
        <v>58</v>
      </c>
      <c r="B97" s="48" t="s">
        <v>68</v>
      </c>
      <c r="C97" s="43">
        <v>51.993134987151038</v>
      </c>
      <c r="D97" s="50"/>
      <c r="E97" s="407">
        <f t="shared" si="55"/>
        <v>0</v>
      </c>
      <c r="F97" s="410">
        <f t="shared" ref="F97:J97" si="61">E97</f>
        <v>0</v>
      </c>
      <c r="G97" s="410">
        <f t="shared" si="61"/>
        <v>0</v>
      </c>
      <c r="H97" s="410">
        <f t="shared" si="61"/>
        <v>0</v>
      </c>
      <c r="I97" s="416">
        <f t="shared" si="61"/>
        <v>0</v>
      </c>
      <c r="J97" s="416">
        <f t="shared" si="61"/>
        <v>0</v>
      </c>
      <c r="K97" s="408">
        <v>0.6</v>
      </c>
      <c r="L97" s="409">
        <v>0.13500000000000001</v>
      </c>
    </row>
    <row r="98" spans="1:12" ht="15" x14ac:dyDescent="0.2">
      <c r="A98" s="46">
        <v>59</v>
      </c>
      <c r="B98" s="48" t="s">
        <v>69</v>
      </c>
      <c r="C98" s="43">
        <v>45.088471745296879</v>
      </c>
      <c r="D98" s="50"/>
      <c r="E98" s="407">
        <f t="shared" si="55"/>
        <v>0</v>
      </c>
      <c r="F98" s="410">
        <f t="shared" ref="F98:J98" si="62">E98</f>
        <v>0</v>
      </c>
      <c r="G98" s="410">
        <f t="shared" si="62"/>
        <v>0</v>
      </c>
      <c r="H98" s="410">
        <f t="shared" si="62"/>
        <v>0</v>
      </c>
      <c r="I98" s="416">
        <f t="shared" si="62"/>
        <v>0</v>
      </c>
      <c r="J98" s="416">
        <f t="shared" si="62"/>
        <v>0</v>
      </c>
      <c r="K98" s="408">
        <v>0.6</v>
      </c>
      <c r="L98" s="409">
        <v>0.13500000000000001</v>
      </c>
    </row>
    <row r="99" spans="1:12" ht="15" x14ac:dyDescent="0.2">
      <c r="A99" s="46">
        <v>60</v>
      </c>
      <c r="B99" s="48" t="s">
        <v>70</v>
      </c>
      <c r="C99" s="43">
        <v>44.175806220234371</v>
      </c>
      <c r="D99" s="50"/>
      <c r="E99" s="407">
        <f t="shared" si="55"/>
        <v>0</v>
      </c>
      <c r="F99" s="410">
        <f t="shared" ref="F99:J99" si="63">E99</f>
        <v>0</v>
      </c>
      <c r="G99" s="410">
        <f t="shared" si="63"/>
        <v>0</v>
      </c>
      <c r="H99" s="410">
        <f t="shared" si="63"/>
        <v>0</v>
      </c>
      <c r="I99" s="416">
        <f t="shared" si="63"/>
        <v>0</v>
      </c>
      <c r="J99" s="416">
        <f t="shared" si="63"/>
        <v>0</v>
      </c>
      <c r="K99" s="408">
        <v>0.6</v>
      </c>
      <c r="L99" s="409">
        <v>0.13500000000000001</v>
      </c>
    </row>
    <row r="100" spans="1:12" ht="15" x14ac:dyDescent="0.2">
      <c r="A100" s="46">
        <v>61</v>
      </c>
      <c r="B100" s="48" t="s">
        <v>71</v>
      </c>
      <c r="C100" s="43">
        <v>36.89414240757813</v>
      </c>
      <c r="D100" s="50"/>
      <c r="E100" s="407">
        <f t="shared" si="55"/>
        <v>0</v>
      </c>
      <c r="F100" s="410">
        <f t="shared" ref="F100:J100" si="64">E100</f>
        <v>0</v>
      </c>
      <c r="G100" s="410">
        <f t="shared" si="64"/>
        <v>0</v>
      </c>
      <c r="H100" s="410">
        <f t="shared" si="64"/>
        <v>0</v>
      </c>
      <c r="I100" s="416">
        <f t="shared" si="64"/>
        <v>0</v>
      </c>
      <c r="J100" s="416">
        <f t="shared" si="64"/>
        <v>0</v>
      </c>
      <c r="K100" s="408">
        <v>0.6</v>
      </c>
      <c r="L100" s="409">
        <v>0.13500000000000001</v>
      </c>
    </row>
    <row r="101" spans="1:12" ht="15" x14ac:dyDescent="0.2">
      <c r="A101" s="46">
        <v>62</v>
      </c>
      <c r="B101" s="48" t="s">
        <v>72</v>
      </c>
      <c r="C101" s="43">
        <v>74.730786242161457</v>
      </c>
      <c r="D101" s="50"/>
      <c r="E101" s="407">
        <f t="shared" si="55"/>
        <v>0</v>
      </c>
      <c r="F101" s="410">
        <f t="shared" ref="F101:J101" si="65">E101</f>
        <v>0</v>
      </c>
      <c r="G101" s="410">
        <f t="shared" si="65"/>
        <v>0</v>
      </c>
      <c r="H101" s="410">
        <f t="shared" si="65"/>
        <v>0</v>
      </c>
      <c r="I101" s="416">
        <f t="shared" si="65"/>
        <v>0</v>
      </c>
      <c r="J101" s="416">
        <f t="shared" si="65"/>
        <v>0</v>
      </c>
      <c r="K101" s="408">
        <v>0.6</v>
      </c>
      <c r="L101" s="409">
        <v>0.13500000000000001</v>
      </c>
    </row>
    <row r="102" spans="1:12" ht="15" x14ac:dyDescent="0.2">
      <c r="A102" s="46">
        <v>63</v>
      </c>
      <c r="B102" s="48" t="s">
        <v>73</v>
      </c>
      <c r="C102" s="43">
        <v>39.175806220234378</v>
      </c>
      <c r="D102" s="50"/>
      <c r="E102" s="407">
        <f t="shared" si="55"/>
        <v>0</v>
      </c>
      <c r="F102" s="410">
        <f>E102*2</f>
        <v>0</v>
      </c>
      <c r="G102" s="410">
        <f t="shared" ref="G102:J102" si="66">F102</f>
        <v>0</v>
      </c>
      <c r="H102" s="410">
        <f t="shared" si="66"/>
        <v>0</v>
      </c>
      <c r="I102" s="416">
        <f t="shared" si="66"/>
        <v>0</v>
      </c>
      <c r="J102" s="416">
        <f t="shared" si="66"/>
        <v>0</v>
      </c>
      <c r="K102" s="408">
        <v>1.5</v>
      </c>
      <c r="L102" s="409">
        <v>0.375</v>
      </c>
    </row>
    <row r="103" spans="1:12" ht="15" x14ac:dyDescent="0.2">
      <c r="A103" s="46">
        <v>64</v>
      </c>
      <c r="B103" s="48" t="s">
        <v>74</v>
      </c>
      <c r="C103" s="43">
        <v>46.457470032890626</v>
      </c>
      <c r="D103" s="50"/>
      <c r="E103" s="407">
        <f t="shared" si="55"/>
        <v>0</v>
      </c>
      <c r="F103" s="410">
        <f t="shared" ref="F103:J103" si="67">E103</f>
        <v>0</v>
      </c>
      <c r="G103" s="410">
        <f t="shared" si="67"/>
        <v>0</v>
      </c>
      <c r="H103" s="410">
        <f t="shared" si="67"/>
        <v>0</v>
      </c>
      <c r="I103" s="416">
        <f t="shared" si="67"/>
        <v>0</v>
      </c>
      <c r="J103" s="416">
        <f t="shared" si="67"/>
        <v>0</v>
      </c>
      <c r="K103" s="408">
        <v>0.6</v>
      </c>
      <c r="L103" s="409">
        <v>0.13500000000000001</v>
      </c>
    </row>
    <row r="104" spans="1:12" ht="15" x14ac:dyDescent="0.2">
      <c r="A104" s="46">
        <v>65</v>
      </c>
      <c r="B104" s="48" t="s">
        <v>75</v>
      </c>
      <c r="C104" s="43">
        <v>34.53314640319271</v>
      </c>
      <c r="D104" s="50"/>
      <c r="E104" s="407">
        <f t="shared" si="55"/>
        <v>0</v>
      </c>
      <c r="F104" s="410">
        <f>E104*2</f>
        <v>0</v>
      </c>
      <c r="G104" s="410">
        <f t="shared" ref="G104:J104" si="68">F104</f>
        <v>0</v>
      </c>
      <c r="H104" s="410">
        <f t="shared" si="68"/>
        <v>0</v>
      </c>
      <c r="I104" s="416">
        <f t="shared" si="68"/>
        <v>0</v>
      </c>
      <c r="J104" s="416">
        <f t="shared" si="68"/>
        <v>0</v>
      </c>
      <c r="K104" s="408">
        <v>1.5</v>
      </c>
      <c r="L104" s="409">
        <v>0.375</v>
      </c>
    </row>
    <row r="105" spans="1:12" ht="15" x14ac:dyDescent="0.2">
      <c r="A105" s="46">
        <v>66</v>
      </c>
      <c r="B105" s="48" t="s">
        <v>76</v>
      </c>
      <c r="C105" s="43">
        <v>107.63831335526042</v>
      </c>
      <c r="D105" s="50"/>
      <c r="E105" s="407">
        <f t="shared" si="55"/>
        <v>0</v>
      </c>
      <c r="F105" s="410">
        <f t="shared" ref="F105:J105" si="69">E105</f>
        <v>0</v>
      </c>
      <c r="G105" s="410">
        <f t="shared" si="69"/>
        <v>0</v>
      </c>
      <c r="H105" s="410">
        <f t="shared" si="69"/>
        <v>0</v>
      </c>
      <c r="I105" s="416">
        <f t="shared" si="69"/>
        <v>0</v>
      </c>
      <c r="J105" s="416">
        <f t="shared" si="69"/>
        <v>0</v>
      </c>
      <c r="K105" s="408">
        <v>0.6</v>
      </c>
      <c r="L105" s="409">
        <v>0.15</v>
      </c>
    </row>
    <row r="106" spans="1:12" ht="15" x14ac:dyDescent="0.2">
      <c r="A106" s="46">
        <v>67</v>
      </c>
      <c r="B106" s="48" t="s">
        <v>77</v>
      </c>
      <c r="C106" s="43">
        <v>52.905800512213546</v>
      </c>
      <c r="D106" s="50"/>
      <c r="E106" s="407">
        <f t="shared" si="55"/>
        <v>0</v>
      </c>
      <c r="F106" s="410">
        <f t="shared" ref="F106:J106" si="70">E106</f>
        <v>0</v>
      </c>
      <c r="G106" s="410">
        <f t="shared" si="70"/>
        <v>0</v>
      </c>
      <c r="H106" s="410">
        <f t="shared" si="70"/>
        <v>0</v>
      </c>
      <c r="I106" s="416">
        <f t="shared" si="70"/>
        <v>0</v>
      </c>
      <c r="J106" s="416">
        <f t="shared" si="70"/>
        <v>0</v>
      </c>
      <c r="K106" s="408">
        <v>0.6</v>
      </c>
      <c r="L106" s="409">
        <v>0.13500000000000001</v>
      </c>
    </row>
    <row r="107" spans="1:12" ht="15" x14ac:dyDescent="0.2">
      <c r="A107" s="46">
        <v>68</v>
      </c>
      <c r="B107" s="48" t="s">
        <v>78</v>
      </c>
      <c r="C107" s="43">
        <v>40.009139553567714</v>
      </c>
      <c r="D107" s="50"/>
      <c r="E107" s="407">
        <f t="shared" si="55"/>
        <v>0</v>
      </c>
      <c r="F107" s="410">
        <f>E107*2</f>
        <v>0</v>
      </c>
      <c r="G107" s="410">
        <f t="shared" ref="G107:J107" si="71">F107</f>
        <v>0</v>
      </c>
      <c r="H107" s="410">
        <f t="shared" si="71"/>
        <v>0</v>
      </c>
      <c r="I107" s="416">
        <f t="shared" si="71"/>
        <v>0</v>
      </c>
      <c r="J107" s="416">
        <f t="shared" si="71"/>
        <v>0</v>
      </c>
      <c r="K107" s="408">
        <v>1.5</v>
      </c>
      <c r="L107" s="409">
        <v>0.375</v>
      </c>
    </row>
    <row r="108" spans="1:12" ht="15" x14ac:dyDescent="0.2">
      <c r="A108" s="46">
        <v>69</v>
      </c>
      <c r="B108" s="48" t="s">
        <v>79</v>
      </c>
      <c r="C108" s="43">
        <v>44.374136699557297</v>
      </c>
      <c r="D108" s="50"/>
      <c r="E108" s="407">
        <f t="shared" si="55"/>
        <v>0</v>
      </c>
      <c r="F108" s="410">
        <f t="shared" ref="F108:J108" si="72">E108</f>
        <v>0</v>
      </c>
      <c r="G108" s="410">
        <f t="shared" si="72"/>
        <v>0</v>
      </c>
      <c r="H108" s="410">
        <f t="shared" si="72"/>
        <v>0</v>
      </c>
      <c r="I108" s="416">
        <f t="shared" si="72"/>
        <v>0</v>
      </c>
      <c r="J108" s="416">
        <f t="shared" si="72"/>
        <v>0</v>
      </c>
      <c r="K108" s="408">
        <v>0.6</v>
      </c>
      <c r="L108" s="409">
        <v>0.13500000000000001</v>
      </c>
    </row>
    <row r="109" spans="1:12" ht="15" x14ac:dyDescent="0.2">
      <c r="A109" s="46">
        <v>70</v>
      </c>
      <c r="B109" s="48" t="s">
        <v>80</v>
      </c>
      <c r="C109" s="43">
        <v>66.943293377187516</v>
      </c>
      <c r="D109" s="50"/>
      <c r="E109" s="407">
        <f t="shared" si="55"/>
        <v>0</v>
      </c>
      <c r="F109" s="410">
        <f t="shared" ref="F109:J109" si="73">E109</f>
        <v>0</v>
      </c>
      <c r="G109" s="410">
        <f t="shared" si="73"/>
        <v>0</v>
      </c>
      <c r="H109" s="410">
        <f t="shared" si="73"/>
        <v>0</v>
      </c>
      <c r="I109" s="416">
        <f t="shared" si="73"/>
        <v>0</v>
      </c>
      <c r="J109" s="416">
        <f t="shared" si="73"/>
        <v>0</v>
      </c>
      <c r="K109" s="408">
        <v>0.6</v>
      </c>
      <c r="L109" s="409">
        <v>0.13500000000000001</v>
      </c>
    </row>
    <row r="110" spans="1:12" ht="15" x14ac:dyDescent="0.2">
      <c r="A110" s="46">
        <v>71</v>
      </c>
      <c r="B110" s="48" t="s">
        <v>81</v>
      </c>
      <c r="C110" s="43">
        <v>37.727475740911466</v>
      </c>
      <c r="D110" s="50"/>
      <c r="E110" s="407">
        <f t="shared" si="55"/>
        <v>0</v>
      </c>
      <c r="F110" s="410">
        <f t="shared" ref="F110:J110" si="74">E110</f>
        <v>0</v>
      </c>
      <c r="G110" s="410">
        <f t="shared" si="74"/>
        <v>0</v>
      </c>
      <c r="H110" s="410">
        <f t="shared" si="74"/>
        <v>0</v>
      </c>
      <c r="I110" s="416">
        <f t="shared" si="74"/>
        <v>0</v>
      </c>
      <c r="J110" s="416">
        <f t="shared" si="74"/>
        <v>0</v>
      </c>
      <c r="K110" s="408">
        <v>0.6</v>
      </c>
      <c r="L110" s="409">
        <v>0.13500000000000001</v>
      </c>
    </row>
    <row r="111" spans="1:12" ht="15" x14ac:dyDescent="0.2">
      <c r="A111" s="46">
        <v>72</v>
      </c>
      <c r="B111" s="48" t="s">
        <v>82</v>
      </c>
      <c r="C111" s="43">
        <v>37.727475740911466</v>
      </c>
      <c r="D111" s="50"/>
      <c r="E111" s="407">
        <f t="shared" si="55"/>
        <v>0</v>
      </c>
      <c r="F111" s="410">
        <f t="shared" ref="F111:J111" si="75">E111</f>
        <v>0</v>
      </c>
      <c r="G111" s="410">
        <f t="shared" si="75"/>
        <v>0</v>
      </c>
      <c r="H111" s="410">
        <f t="shared" si="75"/>
        <v>0</v>
      </c>
      <c r="I111" s="416">
        <f t="shared" si="75"/>
        <v>0</v>
      </c>
      <c r="J111" s="416">
        <f t="shared" si="75"/>
        <v>0</v>
      </c>
      <c r="K111" s="408">
        <v>0.6</v>
      </c>
      <c r="L111" s="409">
        <v>0.13500000000000001</v>
      </c>
    </row>
    <row r="112" spans="1:12" ht="15" x14ac:dyDescent="0.2">
      <c r="A112" s="46">
        <v>73</v>
      </c>
      <c r="B112" s="48" t="s">
        <v>83</v>
      </c>
      <c r="C112" s="43">
        <v>62.776626710520844</v>
      </c>
      <c r="D112" s="50"/>
      <c r="E112" s="407">
        <f t="shared" si="55"/>
        <v>0</v>
      </c>
      <c r="F112" s="410">
        <f t="shared" ref="F112:J112" si="76">E112</f>
        <v>0</v>
      </c>
      <c r="G112" s="410">
        <f t="shared" si="76"/>
        <v>0</v>
      </c>
      <c r="H112" s="410">
        <f t="shared" si="76"/>
        <v>0</v>
      </c>
      <c r="I112" s="416">
        <f t="shared" si="76"/>
        <v>0</v>
      </c>
      <c r="J112" s="416">
        <f t="shared" si="76"/>
        <v>0</v>
      </c>
      <c r="K112" s="408">
        <v>0.6</v>
      </c>
      <c r="L112" s="409">
        <v>0.13500000000000001</v>
      </c>
    </row>
    <row r="113" spans="1:12" ht="15" x14ac:dyDescent="0.2">
      <c r="A113" s="46">
        <v>74</v>
      </c>
      <c r="B113" s="48" t="s">
        <v>84</v>
      </c>
      <c r="C113" s="43">
        <v>82.290803366223955</v>
      </c>
      <c r="D113" s="50"/>
      <c r="E113" s="407">
        <f t="shared" si="55"/>
        <v>0</v>
      </c>
      <c r="F113" s="410">
        <f t="shared" ref="F113:J113" si="77">E113</f>
        <v>0</v>
      </c>
      <c r="G113" s="410">
        <f t="shared" si="77"/>
        <v>0</v>
      </c>
      <c r="H113" s="410">
        <f t="shared" si="77"/>
        <v>0</v>
      </c>
      <c r="I113" s="416">
        <f t="shared" si="77"/>
        <v>0</v>
      </c>
      <c r="J113" s="416">
        <f t="shared" si="77"/>
        <v>0</v>
      </c>
      <c r="K113" s="408">
        <v>0.6</v>
      </c>
      <c r="L113" s="409">
        <v>0.13500000000000001</v>
      </c>
    </row>
    <row r="114" spans="1:12" ht="15" x14ac:dyDescent="0.2">
      <c r="A114" s="46">
        <v>75</v>
      </c>
      <c r="B114" s="48" t="s">
        <v>85</v>
      </c>
      <c r="C114" s="43">
        <v>48.540803366223962</v>
      </c>
      <c r="D114" s="50"/>
      <c r="E114" s="407">
        <f t="shared" si="55"/>
        <v>0</v>
      </c>
      <c r="F114" s="410">
        <f t="shared" ref="F114:J114" si="78">E114</f>
        <v>0</v>
      </c>
      <c r="G114" s="410">
        <f t="shared" si="78"/>
        <v>0</v>
      </c>
      <c r="H114" s="410">
        <f t="shared" si="78"/>
        <v>0</v>
      </c>
      <c r="I114" s="416">
        <f t="shared" si="78"/>
        <v>0</v>
      </c>
      <c r="J114" s="416">
        <f t="shared" si="78"/>
        <v>0</v>
      </c>
      <c r="K114" s="408">
        <v>0.6</v>
      </c>
      <c r="L114" s="409">
        <v>0.13500000000000001</v>
      </c>
    </row>
    <row r="115" spans="1:12" ht="15" x14ac:dyDescent="0.2">
      <c r="A115" s="46">
        <v>76</v>
      </c>
      <c r="B115" s="48" t="s">
        <v>86</v>
      </c>
      <c r="C115" s="43">
        <v>44.374136699557297</v>
      </c>
      <c r="D115" s="50"/>
      <c r="E115" s="407">
        <f t="shared" si="55"/>
        <v>0</v>
      </c>
      <c r="F115" s="410">
        <f t="shared" ref="F115:J115" si="79">E115</f>
        <v>0</v>
      </c>
      <c r="G115" s="410">
        <f t="shared" si="79"/>
        <v>0</v>
      </c>
      <c r="H115" s="410">
        <f t="shared" si="79"/>
        <v>0</v>
      </c>
      <c r="I115" s="416">
        <f t="shared" si="79"/>
        <v>0</v>
      </c>
      <c r="J115" s="416">
        <f t="shared" si="79"/>
        <v>0</v>
      </c>
      <c r="K115" s="408">
        <v>0.6</v>
      </c>
      <c r="L115" s="409">
        <v>0.13500000000000001</v>
      </c>
    </row>
    <row r="116" spans="1:12" ht="15" x14ac:dyDescent="0.2">
      <c r="A116" s="46">
        <v>77</v>
      </c>
      <c r="B116" s="48" t="s">
        <v>87</v>
      </c>
      <c r="C116" s="43">
        <v>40.951640980572918</v>
      </c>
      <c r="D116" s="50"/>
      <c r="E116" s="407">
        <f t="shared" si="55"/>
        <v>0</v>
      </c>
      <c r="F116" s="410">
        <f t="shared" ref="F116:J116" si="80">E116</f>
        <v>0</v>
      </c>
      <c r="G116" s="410">
        <f t="shared" si="80"/>
        <v>0</v>
      </c>
      <c r="H116" s="410">
        <f t="shared" si="80"/>
        <v>0</v>
      </c>
      <c r="I116" s="416">
        <f t="shared" si="80"/>
        <v>0</v>
      </c>
      <c r="J116" s="416">
        <f t="shared" si="80"/>
        <v>0</v>
      </c>
      <c r="K116" s="408">
        <v>0.6</v>
      </c>
      <c r="L116" s="409">
        <v>0.13500000000000001</v>
      </c>
    </row>
    <row r="117" spans="1:12" ht="15" x14ac:dyDescent="0.2">
      <c r="A117" s="46">
        <v>78</v>
      </c>
      <c r="B117" s="48" t="s">
        <v>88</v>
      </c>
      <c r="C117" s="43">
        <v>44.374136699557297</v>
      </c>
      <c r="D117" s="50"/>
      <c r="E117" s="407">
        <f t="shared" si="55"/>
        <v>0</v>
      </c>
      <c r="F117" s="410">
        <f t="shared" ref="F117:J117" si="81">E117</f>
        <v>0</v>
      </c>
      <c r="G117" s="410">
        <f t="shared" si="81"/>
        <v>0</v>
      </c>
      <c r="H117" s="410">
        <f t="shared" si="81"/>
        <v>0</v>
      </c>
      <c r="I117" s="416">
        <f t="shared" si="81"/>
        <v>0</v>
      </c>
      <c r="J117" s="416">
        <f t="shared" si="81"/>
        <v>0</v>
      </c>
      <c r="K117" s="408">
        <v>0.6</v>
      </c>
      <c r="L117" s="409">
        <v>0.13500000000000001</v>
      </c>
    </row>
    <row r="118" spans="1:12" ht="15" x14ac:dyDescent="0.2">
      <c r="A118" s="46">
        <v>79</v>
      </c>
      <c r="B118" s="48" t="s">
        <v>89</v>
      </c>
      <c r="C118" s="43">
        <v>36.89414240757813</v>
      </c>
      <c r="D118" s="50"/>
      <c r="E118" s="407">
        <f t="shared" si="55"/>
        <v>0</v>
      </c>
      <c r="F118" s="410">
        <f>E118*2</f>
        <v>0</v>
      </c>
      <c r="G118" s="410">
        <f t="shared" ref="G118:J118" si="82">F118</f>
        <v>0</v>
      </c>
      <c r="H118" s="410">
        <f t="shared" si="82"/>
        <v>0</v>
      </c>
      <c r="I118" s="416">
        <f t="shared" si="82"/>
        <v>0</v>
      </c>
      <c r="J118" s="416">
        <f t="shared" si="82"/>
        <v>0</v>
      </c>
      <c r="K118" s="408">
        <v>1.5</v>
      </c>
      <c r="L118" s="409">
        <v>0.375</v>
      </c>
    </row>
    <row r="119" spans="1:12" ht="15" x14ac:dyDescent="0.2">
      <c r="A119" s="46">
        <v>80</v>
      </c>
      <c r="B119" s="48" t="s">
        <v>90</v>
      </c>
      <c r="C119" s="43">
        <v>36.89414240757813</v>
      </c>
      <c r="D119" s="50"/>
      <c r="E119" s="407">
        <f t="shared" si="55"/>
        <v>0</v>
      </c>
      <c r="F119" s="410">
        <f>E119*2</f>
        <v>0</v>
      </c>
      <c r="G119" s="410">
        <f t="shared" ref="G119:J119" si="83">F119</f>
        <v>0</v>
      </c>
      <c r="H119" s="410">
        <f t="shared" si="83"/>
        <v>0</v>
      </c>
      <c r="I119" s="416">
        <f t="shared" si="83"/>
        <v>0</v>
      </c>
      <c r="J119" s="416">
        <f t="shared" si="83"/>
        <v>0</v>
      </c>
      <c r="K119" s="408">
        <v>1.5</v>
      </c>
      <c r="L119" s="409">
        <v>0.375</v>
      </c>
    </row>
    <row r="120" spans="1:12" ht="15" x14ac:dyDescent="0.2">
      <c r="A120" s="46">
        <v>81</v>
      </c>
      <c r="B120" s="48" t="s">
        <v>91</v>
      </c>
      <c r="C120" s="43">
        <v>40.009139553567714</v>
      </c>
      <c r="D120" s="50"/>
      <c r="E120" s="407">
        <f t="shared" si="55"/>
        <v>0</v>
      </c>
      <c r="F120" s="410">
        <f t="shared" ref="F120:J120" si="84">E120</f>
        <v>0</v>
      </c>
      <c r="G120" s="410">
        <f t="shared" si="84"/>
        <v>0</v>
      </c>
      <c r="H120" s="410">
        <f t="shared" si="84"/>
        <v>0</v>
      </c>
      <c r="I120" s="416">
        <f t="shared" si="84"/>
        <v>0</v>
      </c>
      <c r="J120" s="416">
        <f t="shared" si="84"/>
        <v>0</v>
      </c>
      <c r="K120" s="408">
        <v>0.6</v>
      </c>
      <c r="L120" s="409">
        <v>0.13500000000000001</v>
      </c>
    </row>
    <row r="121" spans="1:12" ht="15" x14ac:dyDescent="0.2">
      <c r="A121" s="46">
        <v>82</v>
      </c>
      <c r="B121" s="48" t="s">
        <v>92</v>
      </c>
      <c r="C121" s="43">
        <v>39.175806220234378</v>
      </c>
      <c r="D121" s="50"/>
      <c r="E121" s="407">
        <f t="shared" si="55"/>
        <v>0</v>
      </c>
      <c r="F121" s="410">
        <f>E121*2</f>
        <v>0</v>
      </c>
      <c r="G121" s="410">
        <f t="shared" ref="G121:J121" si="85">F121</f>
        <v>0</v>
      </c>
      <c r="H121" s="410">
        <f t="shared" si="85"/>
        <v>0</v>
      </c>
      <c r="I121" s="416">
        <f t="shared" si="85"/>
        <v>0</v>
      </c>
      <c r="J121" s="416">
        <f t="shared" si="85"/>
        <v>0</v>
      </c>
      <c r="K121" s="408">
        <v>1.5</v>
      </c>
      <c r="L121" s="409">
        <v>0.375</v>
      </c>
    </row>
    <row r="122" spans="1:12" ht="15" x14ac:dyDescent="0.2">
      <c r="A122" s="46">
        <v>83</v>
      </c>
      <c r="B122" s="47" t="s">
        <v>93</v>
      </c>
      <c r="C122" s="43">
        <v>43.739133845546874</v>
      </c>
      <c r="D122" s="50"/>
      <c r="E122" s="407">
        <f t="shared" si="55"/>
        <v>0</v>
      </c>
      <c r="F122" s="410">
        <f t="shared" ref="F122:J122" si="86">E122</f>
        <v>0</v>
      </c>
      <c r="G122" s="410">
        <f t="shared" si="86"/>
        <v>0</v>
      </c>
      <c r="H122" s="410">
        <f t="shared" si="86"/>
        <v>0</v>
      </c>
      <c r="I122" s="416">
        <f t="shared" si="86"/>
        <v>0</v>
      </c>
      <c r="J122" s="416">
        <f t="shared" si="86"/>
        <v>0</v>
      </c>
      <c r="K122" s="408">
        <v>0.6</v>
      </c>
      <c r="L122" s="409">
        <v>0.13500000000000001</v>
      </c>
    </row>
    <row r="123" spans="1:12" ht="15" x14ac:dyDescent="0.2">
      <c r="A123" s="46">
        <v>84</v>
      </c>
      <c r="B123" s="47" t="s">
        <v>94</v>
      </c>
      <c r="C123" s="43">
        <v>54.095783388151048</v>
      </c>
      <c r="D123" s="50"/>
      <c r="E123" s="407">
        <f t="shared" si="55"/>
        <v>0</v>
      </c>
      <c r="F123" s="410">
        <f>E123*2</f>
        <v>0</v>
      </c>
      <c r="G123" s="410">
        <f t="shared" ref="G123:J123" si="87">F123</f>
        <v>0</v>
      </c>
      <c r="H123" s="410">
        <f t="shared" si="87"/>
        <v>0</v>
      </c>
      <c r="I123" s="416">
        <f t="shared" si="87"/>
        <v>0</v>
      </c>
      <c r="J123" s="416">
        <f t="shared" si="87"/>
        <v>0</v>
      </c>
      <c r="K123" s="408">
        <v>1.5</v>
      </c>
      <c r="L123" s="409">
        <v>0.375</v>
      </c>
    </row>
    <row r="124" spans="1:12" ht="15" x14ac:dyDescent="0.2">
      <c r="A124" s="46">
        <v>85</v>
      </c>
      <c r="B124" s="47" t="s">
        <v>95</v>
      </c>
      <c r="C124" s="43">
        <v>36.89414240757813</v>
      </c>
      <c r="D124" s="50"/>
      <c r="E124" s="407">
        <f t="shared" si="55"/>
        <v>0</v>
      </c>
      <c r="F124" s="410">
        <f t="shared" ref="F124:J124" si="88">E124</f>
        <v>0</v>
      </c>
      <c r="G124" s="410">
        <f t="shared" si="88"/>
        <v>0</v>
      </c>
      <c r="H124" s="410">
        <f t="shared" si="88"/>
        <v>0</v>
      </c>
      <c r="I124" s="416">
        <f t="shared" si="88"/>
        <v>0</v>
      </c>
      <c r="J124" s="416">
        <f t="shared" si="88"/>
        <v>0</v>
      </c>
      <c r="K124" s="408">
        <v>0.6</v>
      </c>
      <c r="L124" s="409">
        <v>0.13500000000000001</v>
      </c>
    </row>
    <row r="125" spans="1:12" ht="15" x14ac:dyDescent="0.2">
      <c r="A125" s="46">
        <v>86</v>
      </c>
      <c r="B125" s="47" t="s">
        <v>96</v>
      </c>
      <c r="C125" s="43">
        <v>68.104130991536465</v>
      </c>
      <c r="D125" s="50"/>
      <c r="E125" s="407">
        <f t="shared" si="55"/>
        <v>0</v>
      </c>
      <c r="F125" s="410">
        <f t="shared" ref="F125:J125" si="89">E125</f>
        <v>0</v>
      </c>
      <c r="G125" s="410">
        <f t="shared" si="89"/>
        <v>0</v>
      </c>
      <c r="H125" s="410">
        <f t="shared" si="89"/>
        <v>0</v>
      </c>
      <c r="I125" s="416">
        <f t="shared" si="89"/>
        <v>0</v>
      </c>
      <c r="J125" s="416">
        <f t="shared" si="89"/>
        <v>0</v>
      </c>
      <c r="K125" s="408">
        <v>0.6</v>
      </c>
      <c r="L125" s="409">
        <v>0.13500000000000001</v>
      </c>
    </row>
    <row r="126" spans="1:12" ht="15" x14ac:dyDescent="0.2">
      <c r="A126" s="46">
        <v>87</v>
      </c>
      <c r="B126" s="47" t="s">
        <v>97</v>
      </c>
      <c r="C126" s="43">
        <v>40.534974313906254</v>
      </c>
      <c r="D126" s="50"/>
      <c r="E126" s="407">
        <f t="shared" si="55"/>
        <v>0</v>
      </c>
      <c r="F126" s="410">
        <f t="shared" ref="F126:J126" si="90">E126</f>
        <v>0</v>
      </c>
      <c r="G126" s="410">
        <f t="shared" si="90"/>
        <v>0</v>
      </c>
      <c r="H126" s="410">
        <f t="shared" si="90"/>
        <v>0</v>
      </c>
      <c r="I126" s="416">
        <f t="shared" si="90"/>
        <v>0</v>
      </c>
      <c r="J126" s="416">
        <f t="shared" si="90"/>
        <v>0</v>
      </c>
      <c r="K126" s="408">
        <v>0.6</v>
      </c>
      <c r="L126" s="409">
        <v>0.13500000000000001</v>
      </c>
    </row>
    <row r="127" spans="1:12" ht="15.75" x14ac:dyDescent="0.2">
      <c r="A127" s="604" t="s">
        <v>98</v>
      </c>
      <c r="B127" s="605"/>
      <c r="C127" s="45"/>
      <c r="D127" s="51"/>
      <c r="E127" s="177"/>
      <c r="F127" s="31"/>
      <c r="G127" s="45"/>
      <c r="H127" s="45"/>
      <c r="I127" s="176"/>
      <c r="J127" s="31"/>
      <c r="K127" s="32">
        <v>0</v>
      </c>
      <c r="L127" s="33">
        <v>0</v>
      </c>
    </row>
    <row r="128" spans="1:12" ht="15" x14ac:dyDescent="0.2">
      <c r="A128" s="46">
        <v>88</v>
      </c>
      <c r="B128" s="48" t="s">
        <v>98</v>
      </c>
      <c r="C128" s="43">
        <v>59.115789096171881</v>
      </c>
      <c r="D128" s="50"/>
      <c r="E128" s="407">
        <f>D128*K128*L128</f>
        <v>0</v>
      </c>
      <c r="F128" s="410">
        <f t="shared" ref="F128" si="91">E128*2</f>
        <v>0</v>
      </c>
      <c r="G128" s="410">
        <f t="shared" ref="G128" si="92">E128*3</f>
        <v>0</v>
      </c>
      <c r="H128" s="410">
        <f t="shared" ref="H128" si="93">E128*4</f>
        <v>0</v>
      </c>
      <c r="I128" s="416">
        <f>H128</f>
        <v>0</v>
      </c>
      <c r="J128" s="416">
        <f>I128</f>
        <v>0</v>
      </c>
      <c r="K128" s="408">
        <v>7.2</v>
      </c>
      <c r="L128" s="409">
        <v>1</v>
      </c>
    </row>
    <row r="129" spans="1:12" ht="15.75" x14ac:dyDescent="0.2">
      <c r="A129" s="604" t="s">
        <v>99</v>
      </c>
      <c r="B129" s="605"/>
      <c r="C129" s="45"/>
      <c r="D129" s="51"/>
      <c r="E129" s="177"/>
      <c r="F129" s="31"/>
      <c r="G129" s="45"/>
      <c r="H129" s="45"/>
      <c r="I129" s="176"/>
      <c r="J129" s="31"/>
      <c r="K129" s="32">
        <v>0</v>
      </c>
      <c r="L129" s="33">
        <v>0</v>
      </c>
    </row>
    <row r="130" spans="1:12" ht="15" x14ac:dyDescent="0.2">
      <c r="A130" s="46">
        <v>89</v>
      </c>
      <c r="B130" s="48" t="s">
        <v>100</v>
      </c>
      <c r="C130" s="43">
        <v>154.36154394421877</v>
      </c>
      <c r="D130" s="50"/>
      <c r="E130" s="407">
        <f t="shared" ref="E130:E135" si="94">D130*K130*L130</f>
        <v>0</v>
      </c>
      <c r="F130" s="410">
        <f>E130*2</f>
        <v>0</v>
      </c>
      <c r="G130" s="410">
        <f t="shared" ref="G130:J130" si="95">F130</f>
        <v>0</v>
      </c>
      <c r="H130" s="410">
        <f t="shared" si="95"/>
        <v>0</v>
      </c>
      <c r="I130" s="416">
        <f t="shared" si="95"/>
        <v>0</v>
      </c>
      <c r="J130" s="416">
        <f t="shared" si="95"/>
        <v>0</v>
      </c>
      <c r="K130" s="408">
        <v>1.8</v>
      </c>
      <c r="L130" s="409">
        <v>0.18</v>
      </c>
    </row>
    <row r="131" spans="1:12" ht="15" x14ac:dyDescent="0.2">
      <c r="A131" s="46">
        <v>90</v>
      </c>
      <c r="B131" s="48" t="s">
        <v>101</v>
      </c>
      <c r="C131" s="43">
        <v>202.27821061088545</v>
      </c>
      <c r="D131" s="50"/>
      <c r="E131" s="407">
        <f t="shared" si="94"/>
        <v>0</v>
      </c>
      <c r="F131" s="410">
        <f t="shared" ref="F131:J131" si="96">E131</f>
        <v>0</v>
      </c>
      <c r="G131" s="410">
        <f t="shared" si="96"/>
        <v>0</v>
      </c>
      <c r="H131" s="410">
        <f t="shared" si="96"/>
        <v>0</v>
      </c>
      <c r="I131" s="416">
        <f t="shared" si="96"/>
        <v>0</v>
      </c>
      <c r="J131" s="416">
        <f t="shared" si="96"/>
        <v>0</v>
      </c>
      <c r="K131" s="408">
        <v>0.6</v>
      </c>
      <c r="L131" s="409">
        <v>0.12000000000000002</v>
      </c>
    </row>
    <row r="132" spans="1:12" ht="15" x14ac:dyDescent="0.2">
      <c r="A132" s="46">
        <v>91</v>
      </c>
      <c r="B132" s="48" t="s">
        <v>102</v>
      </c>
      <c r="C132" s="43">
        <v>52.995998858395836</v>
      </c>
      <c r="D132" s="50"/>
      <c r="E132" s="407">
        <f t="shared" si="94"/>
        <v>0</v>
      </c>
      <c r="F132" s="410">
        <f t="shared" ref="F132:J132" si="97">E132</f>
        <v>0</v>
      </c>
      <c r="G132" s="410">
        <f t="shared" si="97"/>
        <v>0</v>
      </c>
      <c r="H132" s="410">
        <f t="shared" si="97"/>
        <v>0</v>
      </c>
      <c r="I132" s="416">
        <f t="shared" si="97"/>
        <v>0</v>
      </c>
      <c r="J132" s="416">
        <f t="shared" si="97"/>
        <v>0</v>
      </c>
      <c r="K132" s="408">
        <v>0.6</v>
      </c>
      <c r="L132" s="409">
        <v>0.12000000000000002</v>
      </c>
    </row>
    <row r="133" spans="1:12" ht="15" x14ac:dyDescent="0.2">
      <c r="A133" s="46">
        <v>92</v>
      </c>
      <c r="B133" s="48" t="s">
        <v>103</v>
      </c>
      <c r="C133" s="43">
        <v>173.11154394421877</v>
      </c>
      <c r="D133" s="50"/>
      <c r="E133" s="407">
        <f t="shared" si="94"/>
        <v>0</v>
      </c>
      <c r="F133" s="410">
        <f t="shared" ref="F133:J133" si="98">E133</f>
        <v>0</v>
      </c>
      <c r="G133" s="410">
        <f t="shared" si="98"/>
        <v>0</v>
      </c>
      <c r="H133" s="410">
        <f t="shared" si="98"/>
        <v>0</v>
      </c>
      <c r="I133" s="416">
        <f t="shared" si="98"/>
        <v>0</v>
      </c>
      <c r="J133" s="416">
        <f t="shared" si="98"/>
        <v>0</v>
      </c>
      <c r="K133" s="408">
        <v>0.6</v>
      </c>
      <c r="L133" s="409">
        <v>0.09</v>
      </c>
    </row>
    <row r="134" spans="1:12" ht="15" x14ac:dyDescent="0.2">
      <c r="A134" s="46">
        <v>93</v>
      </c>
      <c r="B134" s="48" t="s">
        <v>104</v>
      </c>
      <c r="C134" s="43">
        <v>128.76655250625001</v>
      </c>
      <c r="D134" s="50"/>
      <c r="E134" s="407">
        <f t="shared" si="94"/>
        <v>0</v>
      </c>
      <c r="F134" s="410">
        <f t="shared" ref="F134:J134" si="99">E134</f>
        <v>0</v>
      </c>
      <c r="G134" s="410">
        <f t="shared" si="99"/>
        <v>0</v>
      </c>
      <c r="H134" s="410">
        <f t="shared" si="99"/>
        <v>0</v>
      </c>
      <c r="I134" s="416">
        <f t="shared" si="99"/>
        <v>0</v>
      </c>
      <c r="J134" s="416">
        <f t="shared" si="99"/>
        <v>0</v>
      </c>
      <c r="K134" s="408">
        <v>0.6</v>
      </c>
      <c r="L134" s="409">
        <v>0.12000000000000002</v>
      </c>
    </row>
    <row r="135" spans="1:12" ht="15" x14ac:dyDescent="0.2">
      <c r="A135" s="46">
        <v>94</v>
      </c>
      <c r="B135" s="48" t="s">
        <v>105</v>
      </c>
      <c r="C135" s="43">
        <v>88.291595316406259</v>
      </c>
      <c r="D135" s="50"/>
      <c r="E135" s="407">
        <f t="shared" si="94"/>
        <v>0</v>
      </c>
      <c r="F135" s="410">
        <f t="shared" ref="F135:J135" si="100">E135</f>
        <v>0</v>
      </c>
      <c r="G135" s="410">
        <f t="shared" si="100"/>
        <v>0</v>
      </c>
      <c r="H135" s="410">
        <f t="shared" si="100"/>
        <v>0</v>
      </c>
      <c r="I135" s="416">
        <f t="shared" si="100"/>
        <v>0</v>
      </c>
      <c r="J135" s="416">
        <f t="shared" si="100"/>
        <v>0</v>
      </c>
      <c r="K135" s="408">
        <v>0.6</v>
      </c>
      <c r="L135" s="409">
        <v>0.12000000000000002</v>
      </c>
    </row>
    <row r="136" spans="1:12" ht="15.75" x14ac:dyDescent="0.2">
      <c r="A136" s="604" t="s">
        <v>106</v>
      </c>
      <c r="B136" s="605"/>
      <c r="C136" s="45"/>
      <c r="D136" s="51"/>
      <c r="E136" s="177"/>
      <c r="F136" s="31"/>
      <c r="G136" s="45"/>
      <c r="H136" s="45"/>
      <c r="I136" s="176"/>
      <c r="J136" s="31"/>
      <c r="K136" s="32">
        <v>0</v>
      </c>
      <c r="L136" s="33">
        <v>0</v>
      </c>
    </row>
    <row r="137" spans="1:12" ht="15" x14ac:dyDescent="0.2">
      <c r="A137" s="46">
        <v>95</v>
      </c>
      <c r="B137" s="48" t="s">
        <v>107</v>
      </c>
      <c r="C137" s="43">
        <v>54.264968605885421</v>
      </c>
      <c r="D137" s="50"/>
      <c r="E137" s="407">
        <f t="shared" ref="E137:E141" si="101">D137*K137*L137</f>
        <v>0</v>
      </c>
      <c r="F137" s="410">
        <f>E137*2</f>
        <v>0</v>
      </c>
      <c r="G137" s="410">
        <f t="shared" ref="G137:J137" si="102">F137</f>
        <v>0</v>
      </c>
      <c r="H137" s="410">
        <f t="shared" si="102"/>
        <v>0</v>
      </c>
      <c r="I137" s="416">
        <f t="shared" si="102"/>
        <v>0</v>
      </c>
      <c r="J137" s="416">
        <f t="shared" si="102"/>
        <v>0</v>
      </c>
      <c r="K137" s="408">
        <v>1.8</v>
      </c>
      <c r="L137" s="409">
        <v>0.34499999999999997</v>
      </c>
    </row>
    <row r="138" spans="1:12" ht="15" x14ac:dyDescent="0.2">
      <c r="A138" s="46">
        <v>96</v>
      </c>
      <c r="B138" s="48" t="s">
        <v>108</v>
      </c>
      <c r="C138" s="43">
        <v>50.09830193921875</v>
      </c>
      <c r="D138" s="50"/>
      <c r="E138" s="407">
        <f t="shared" si="101"/>
        <v>0</v>
      </c>
      <c r="F138" s="410">
        <f>E138*2</f>
        <v>0</v>
      </c>
      <c r="G138" s="410">
        <f>E138*3</f>
        <v>0</v>
      </c>
      <c r="H138" s="410">
        <f>E138*4</f>
        <v>0</v>
      </c>
      <c r="I138" s="416">
        <f t="shared" ref="I138:J138" si="103">H138</f>
        <v>0</v>
      </c>
      <c r="J138" s="416">
        <f t="shared" si="103"/>
        <v>0</v>
      </c>
      <c r="K138" s="408">
        <v>6.3</v>
      </c>
      <c r="L138" s="409">
        <v>0.19500000000000001</v>
      </c>
    </row>
    <row r="139" spans="1:12" ht="15" x14ac:dyDescent="0.2">
      <c r="A139" s="46">
        <v>97</v>
      </c>
      <c r="B139" s="48" t="s">
        <v>109</v>
      </c>
      <c r="C139" s="43">
        <v>56.34830193921875</v>
      </c>
      <c r="D139" s="50"/>
      <c r="E139" s="407">
        <f t="shared" si="101"/>
        <v>0</v>
      </c>
      <c r="F139" s="410">
        <f>E139*2</f>
        <v>0</v>
      </c>
      <c r="G139" s="410">
        <f t="shared" ref="G139:J139" si="104">F139</f>
        <v>0</v>
      </c>
      <c r="H139" s="410">
        <f t="shared" si="104"/>
        <v>0</v>
      </c>
      <c r="I139" s="416">
        <f t="shared" si="104"/>
        <v>0</v>
      </c>
      <c r="J139" s="416">
        <f t="shared" si="104"/>
        <v>0</v>
      </c>
      <c r="K139" s="408">
        <v>1.8</v>
      </c>
      <c r="L139" s="409">
        <v>0.19500000000000001</v>
      </c>
    </row>
    <row r="140" spans="1:12" ht="15" x14ac:dyDescent="0.2">
      <c r="A140" s="46">
        <v>98</v>
      </c>
      <c r="B140" s="48" t="s">
        <v>110</v>
      </c>
      <c r="C140" s="43">
        <v>66.069948627812508</v>
      </c>
      <c r="D140" s="50"/>
      <c r="E140" s="407">
        <f t="shared" si="101"/>
        <v>0</v>
      </c>
      <c r="F140" s="410">
        <f t="shared" ref="F140:J140" si="105">E140</f>
        <v>0</v>
      </c>
      <c r="G140" s="410">
        <f t="shared" si="105"/>
        <v>0</v>
      </c>
      <c r="H140" s="410">
        <f t="shared" si="105"/>
        <v>0</v>
      </c>
      <c r="I140" s="416">
        <f t="shared" si="105"/>
        <v>0</v>
      </c>
      <c r="J140" s="416">
        <f t="shared" si="105"/>
        <v>0</v>
      </c>
      <c r="K140" s="408">
        <v>0.6</v>
      </c>
      <c r="L140" s="409">
        <v>0.19500000000000001</v>
      </c>
    </row>
    <row r="141" spans="1:12" ht="15" x14ac:dyDescent="0.2">
      <c r="A141" s="46">
        <v>99</v>
      </c>
      <c r="B141" s="48" t="s">
        <v>111</v>
      </c>
      <c r="C141" s="43">
        <v>57.736615294479172</v>
      </c>
      <c r="D141" s="50"/>
      <c r="E141" s="407">
        <f t="shared" si="101"/>
        <v>0</v>
      </c>
      <c r="F141" s="410">
        <f>E141*2</f>
        <v>0</v>
      </c>
      <c r="G141" s="410">
        <f>F141*3</f>
        <v>0</v>
      </c>
      <c r="H141" s="410">
        <f>E141*4</f>
        <v>0</v>
      </c>
      <c r="I141" s="416">
        <f t="shared" ref="I141:J141" si="106">H141</f>
        <v>0</v>
      </c>
      <c r="J141" s="416">
        <f t="shared" si="106"/>
        <v>0</v>
      </c>
      <c r="K141" s="408">
        <v>3.3</v>
      </c>
      <c r="L141" s="409">
        <v>0.19500000000000001</v>
      </c>
    </row>
    <row r="142" spans="1:12" ht="15.75" x14ac:dyDescent="0.2">
      <c r="A142" s="604" t="s">
        <v>112</v>
      </c>
      <c r="B142" s="605"/>
      <c r="C142" s="45"/>
      <c r="D142" s="51"/>
      <c r="E142" s="177"/>
      <c r="F142" s="31"/>
      <c r="G142" s="45"/>
      <c r="H142" s="45"/>
      <c r="I142" s="176"/>
      <c r="J142" s="31"/>
      <c r="K142" s="32">
        <v>0</v>
      </c>
      <c r="L142" s="33">
        <v>0</v>
      </c>
    </row>
    <row r="143" spans="1:12" ht="15" x14ac:dyDescent="0.2">
      <c r="A143" s="46">
        <v>100</v>
      </c>
      <c r="B143" s="48" t="s">
        <v>113</v>
      </c>
      <c r="C143" s="43">
        <v>65.871618148489588</v>
      </c>
      <c r="D143" s="50"/>
      <c r="E143" s="407">
        <f t="shared" ref="E143:E146" si="107">D143*K143*L143</f>
        <v>0</v>
      </c>
      <c r="F143" s="410">
        <f>E143*2</f>
        <v>0</v>
      </c>
      <c r="G143" s="410">
        <f t="shared" ref="G143:J143" si="108">F143</f>
        <v>0</v>
      </c>
      <c r="H143" s="410">
        <f t="shared" si="108"/>
        <v>0</v>
      </c>
      <c r="I143" s="416">
        <f t="shared" si="108"/>
        <v>0</v>
      </c>
      <c r="J143" s="416">
        <f t="shared" si="108"/>
        <v>0</v>
      </c>
      <c r="K143" s="408">
        <v>1.2</v>
      </c>
      <c r="L143" s="409">
        <v>0.45</v>
      </c>
    </row>
    <row r="144" spans="1:12" ht="15" x14ac:dyDescent="0.2">
      <c r="A144" s="46">
        <v>101</v>
      </c>
      <c r="B144" s="48" t="s">
        <v>114</v>
      </c>
      <c r="C144" s="43">
        <v>65.871618148489588</v>
      </c>
      <c r="D144" s="50"/>
      <c r="E144" s="407">
        <f t="shared" si="107"/>
        <v>0</v>
      </c>
      <c r="F144" s="410">
        <f t="shared" ref="F144:J144" si="109">E144</f>
        <v>0</v>
      </c>
      <c r="G144" s="410">
        <f t="shared" si="109"/>
        <v>0</v>
      </c>
      <c r="H144" s="410">
        <f t="shared" si="109"/>
        <v>0</v>
      </c>
      <c r="I144" s="416">
        <f t="shared" si="109"/>
        <v>0</v>
      </c>
      <c r="J144" s="416">
        <f t="shared" si="109"/>
        <v>0</v>
      </c>
      <c r="K144" s="408">
        <v>0.9</v>
      </c>
      <c r="L144" s="409">
        <v>0.19500000000000001</v>
      </c>
    </row>
    <row r="145" spans="1:12" ht="15" x14ac:dyDescent="0.2">
      <c r="A145" s="46">
        <v>102</v>
      </c>
      <c r="B145" s="48" t="s">
        <v>115</v>
      </c>
      <c r="C145" s="43">
        <v>77.279937211770829</v>
      </c>
      <c r="D145" s="50"/>
      <c r="E145" s="407">
        <f t="shared" si="107"/>
        <v>0</v>
      </c>
      <c r="F145" s="410">
        <f t="shared" ref="F145:J145" si="110">E145</f>
        <v>0</v>
      </c>
      <c r="G145" s="410">
        <f t="shared" si="110"/>
        <v>0</v>
      </c>
      <c r="H145" s="410">
        <f t="shared" si="110"/>
        <v>0</v>
      </c>
      <c r="I145" s="416">
        <f t="shared" si="110"/>
        <v>0</v>
      </c>
      <c r="J145" s="416">
        <f t="shared" si="110"/>
        <v>0</v>
      </c>
      <c r="K145" s="408">
        <v>0.6</v>
      </c>
      <c r="L145" s="409">
        <v>0.09</v>
      </c>
    </row>
    <row r="146" spans="1:12" ht="15" x14ac:dyDescent="0.2">
      <c r="A146" s="46">
        <v>103</v>
      </c>
      <c r="B146" s="48" t="s">
        <v>116</v>
      </c>
      <c r="C146" s="43">
        <v>191.26482590536457</v>
      </c>
      <c r="D146" s="50"/>
      <c r="E146" s="407">
        <f t="shared" si="107"/>
        <v>0</v>
      </c>
      <c r="F146" s="410">
        <f t="shared" ref="F146:J146" si="111">E146</f>
        <v>0</v>
      </c>
      <c r="G146" s="410">
        <f t="shared" si="111"/>
        <v>0</v>
      </c>
      <c r="H146" s="410">
        <f t="shared" si="111"/>
        <v>0</v>
      </c>
      <c r="I146" s="416">
        <f t="shared" si="111"/>
        <v>0</v>
      </c>
      <c r="J146" s="416">
        <f t="shared" si="111"/>
        <v>0</v>
      </c>
      <c r="K146" s="408">
        <v>0.6</v>
      </c>
      <c r="L146" s="409">
        <v>0.123</v>
      </c>
    </row>
    <row r="147" spans="1:12" ht="15.75" x14ac:dyDescent="0.2">
      <c r="A147" s="604" t="s">
        <v>117</v>
      </c>
      <c r="B147" s="605"/>
      <c r="C147" s="45"/>
      <c r="D147" s="51"/>
      <c r="E147" s="177"/>
      <c r="F147" s="31"/>
      <c r="G147" s="45"/>
      <c r="H147" s="45"/>
      <c r="I147" s="176"/>
      <c r="J147" s="31"/>
      <c r="K147" s="32">
        <v>0</v>
      </c>
      <c r="L147" s="33">
        <v>0</v>
      </c>
    </row>
    <row r="148" spans="1:12" ht="15" x14ac:dyDescent="0.2">
      <c r="A148" s="46">
        <v>104</v>
      </c>
      <c r="B148" s="48" t="s">
        <v>118</v>
      </c>
      <c r="C148" s="43">
        <v>500</v>
      </c>
      <c r="D148" s="50"/>
      <c r="E148" s="407">
        <f t="shared" ref="E148:E150" si="112">D148*K148*L148</f>
        <v>0</v>
      </c>
      <c r="F148" s="410">
        <f t="shared" ref="F148:J148" si="113">E148</f>
        <v>0</v>
      </c>
      <c r="G148" s="410">
        <f t="shared" si="113"/>
        <v>0</v>
      </c>
      <c r="H148" s="410">
        <f t="shared" si="113"/>
        <v>0</v>
      </c>
      <c r="I148" s="416">
        <f t="shared" si="113"/>
        <v>0</v>
      </c>
      <c r="J148" s="416">
        <f t="shared" si="113"/>
        <v>0</v>
      </c>
      <c r="K148" s="408">
        <v>0.6</v>
      </c>
      <c r="L148" s="409">
        <v>4.4999999999999998E-2</v>
      </c>
    </row>
    <row r="149" spans="1:12" ht="15" x14ac:dyDescent="0.2">
      <c r="A149" s="46">
        <v>105</v>
      </c>
      <c r="B149" s="48" t="s">
        <v>119</v>
      </c>
      <c r="C149" s="43">
        <v>500</v>
      </c>
      <c r="D149" s="50"/>
      <c r="E149" s="407">
        <f t="shared" si="112"/>
        <v>0</v>
      </c>
      <c r="F149" s="410">
        <f t="shared" ref="F149:J149" si="114">E149</f>
        <v>0</v>
      </c>
      <c r="G149" s="410">
        <f t="shared" si="114"/>
        <v>0</v>
      </c>
      <c r="H149" s="410">
        <f t="shared" si="114"/>
        <v>0</v>
      </c>
      <c r="I149" s="416">
        <f t="shared" si="114"/>
        <v>0</v>
      </c>
      <c r="J149" s="416">
        <f t="shared" si="114"/>
        <v>0</v>
      </c>
      <c r="K149" s="408">
        <v>0.6</v>
      </c>
      <c r="L149" s="409">
        <v>3.3000000000000002E-2</v>
      </c>
    </row>
    <row r="150" spans="1:12" ht="15" x14ac:dyDescent="0.2">
      <c r="A150" s="46">
        <v>106</v>
      </c>
      <c r="B150" s="48" t="s">
        <v>120</v>
      </c>
      <c r="C150" s="43">
        <v>500</v>
      </c>
      <c r="D150" s="50"/>
      <c r="E150" s="407">
        <f t="shared" si="112"/>
        <v>0</v>
      </c>
      <c r="F150" s="410">
        <f t="shared" ref="F150:J150" si="115">E150</f>
        <v>0</v>
      </c>
      <c r="G150" s="410">
        <f t="shared" si="115"/>
        <v>0</v>
      </c>
      <c r="H150" s="410">
        <f t="shared" si="115"/>
        <v>0</v>
      </c>
      <c r="I150" s="416">
        <f t="shared" si="115"/>
        <v>0</v>
      </c>
      <c r="J150" s="416">
        <f t="shared" si="115"/>
        <v>0</v>
      </c>
      <c r="K150" s="408">
        <v>0.6</v>
      </c>
      <c r="L150" s="409">
        <v>3.3000000000000002E-2</v>
      </c>
    </row>
    <row r="151" spans="1:12" ht="15.75" x14ac:dyDescent="0.2">
      <c r="A151" s="604" t="s">
        <v>230</v>
      </c>
      <c r="B151" s="605"/>
      <c r="C151" s="45"/>
      <c r="D151" s="51"/>
      <c r="E151" s="177"/>
      <c r="F151" s="31"/>
      <c r="G151" s="45"/>
      <c r="H151" s="45"/>
      <c r="I151" s="176"/>
      <c r="J151" s="31"/>
      <c r="K151" s="32">
        <v>0</v>
      </c>
      <c r="L151" s="33">
        <v>0</v>
      </c>
    </row>
    <row r="152" spans="1:12" ht="15" x14ac:dyDescent="0.2">
      <c r="A152" s="46">
        <v>107</v>
      </c>
      <c r="B152" s="48" t="s">
        <v>121</v>
      </c>
      <c r="C152" s="43">
        <v>2279.7323058895836</v>
      </c>
      <c r="D152" s="50"/>
      <c r="E152" s="407">
        <f t="shared" ref="E152:E154" si="116">D152*K152*L152</f>
        <v>0</v>
      </c>
      <c r="F152" s="410">
        <f t="shared" ref="F152:J152" si="117">E152</f>
        <v>0</v>
      </c>
      <c r="G152" s="410">
        <f t="shared" si="117"/>
        <v>0</v>
      </c>
      <c r="H152" s="410">
        <f t="shared" si="117"/>
        <v>0</v>
      </c>
      <c r="I152" s="416">
        <f t="shared" si="117"/>
        <v>0</v>
      </c>
      <c r="J152" s="416">
        <f t="shared" si="117"/>
        <v>0</v>
      </c>
      <c r="K152" s="408">
        <v>0.6</v>
      </c>
      <c r="L152" s="409">
        <v>6.0000000000000012E-2</v>
      </c>
    </row>
    <row r="153" spans="1:12" ht="15" x14ac:dyDescent="0.2">
      <c r="A153" s="46">
        <v>108</v>
      </c>
      <c r="B153" s="49" t="s">
        <v>185</v>
      </c>
      <c r="C153" s="43">
        <v>1489.5747003289061</v>
      </c>
      <c r="D153" s="52"/>
      <c r="E153" s="407">
        <f t="shared" si="116"/>
        <v>0</v>
      </c>
      <c r="F153" s="410">
        <f t="shared" ref="F153:J153" si="118">E153</f>
        <v>0</v>
      </c>
      <c r="G153" s="410">
        <f t="shared" si="118"/>
        <v>0</v>
      </c>
      <c r="H153" s="410">
        <f t="shared" si="118"/>
        <v>0</v>
      </c>
      <c r="I153" s="416">
        <f t="shared" si="118"/>
        <v>0</v>
      </c>
      <c r="J153" s="416">
        <f t="shared" si="118"/>
        <v>0</v>
      </c>
      <c r="K153" s="408">
        <v>0.6</v>
      </c>
      <c r="L153" s="409">
        <v>6.0000000000000012E-2</v>
      </c>
    </row>
    <row r="154" spans="1:12" ht="15" x14ac:dyDescent="0.2">
      <c r="A154" s="46">
        <v>109</v>
      </c>
      <c r="B154" s="48" t="s">
        <v>122</v>
      </c>
      <c r="C154" s="43">
        <v>3079.3321917291669</v>
      </c>
      <c r="D154" s="50"/>
      <c r="E154" s="407">
        <f t="shared" si="116"/>
        <v>0</v>
      </c>
      <c r="F154" s="410">
        <f t="shared" ref="F154:J154" si="119">E154</f>
        <v>0</v>
      </c>
      <c r="G154" s="410">
        <f t="shared" si="119"/>
        <v>0</v>
      </c>
      <c r="H154" s="410">
        <f t="shared" si="119"/>
        <v>0</v>
      </c>
      <c r="I154" s="416">
        <f t="shared" si="119"/>
        <v>0</v>
      </c>
      <c r="J154" s="416">
        <f t="shared" si="119"/>
        <v>0</v>
      </c>
      <c r="K154" s="408">
        <v>0.6</v>
      </c>
      <c r="L154" s="409">
        <v>6.0000000000000001E-3</v>
      </c>
    </row>
    <row r="155" spans="1:12" ht="15.75" x14ac:dyDescent="0.2">
      <c r="A155" s="604" t="s">
        <v>123</v>
      </c>
      <c r="B155" s="605"/>
      <c r="C155" s="45"/>
      <c r="D155" s="51"/>
      <c r="E155" s="177"/>
      <c r="F155" s="31"/>
      <c r="G155" s="45"/>
      <c r="H155" s="45"/>
      <c r="I155" s="176"/>
      <c r="J155" s="31"/>
      <c r="K155" s="32">
        <v>0</v>
      </c>
      <c r="L155" s="33">
        <v>0</v>
      </c>
    </row>
    <row r="156" spans="1:12" ht="15" x14ac:dyDescent="0.2">
      <c r="A156" s="46">
        <v>110</v>
      </c>
      <c r="B156" s="48" t="s">
        <v>124</v>
      </c>
      <c r="C156" s="43">
        <v>1156.7156106828127</v>
      </c>
      <c r="D156" s="50"/>
      <c r="E156" s="407">
        <f t="shared" ref="E156:E159" si="120">D156*K156*L156</f>
        <v>0</v>
      </c>
      <c r="F156" s="410">
        <f t="shared" ref="F156:J156" si="121">E156</f>
        <v>0</v>
      </c>
      <c r="G156" s="410">
        <f t="shared" si="121"/>
        <v>0</v>
      </c>
      <c r="H156" s="410">
        <f t="shared" si="121"/>
        <v>0</v>
      </c>
      <c r="I156" s="416">
        <f t="shared" si="121"/>
        <v>0</v>
      </c>
      <c r="J156" s="416">
        <f t="shared" si="121"/>
        <v>0</v>
      </c>
      <c r="K156" s="408">
        <v>0.6</v>
      </c>
      <c r="L156" s="409">
        <v>3.3000000000000002E-2</v>
      </c>
    </row>
    <row r="157" spans="1:12" ht="15" x14ac:dyDescent="0.2">
      <c r="A157" s="46">
        <v>111</v>
      </c>
      <c r="B157" s="47" t="s">
        <v>125</v>
      </c>
      <c r="C157" s="43">
        <v>2039.248715695313</v>
      </c>
      <c r="D157" s="50"/>
      <c r="E157" s="407">
        <f t="shared" si="120"/>
        <v>0</v>
      </c>
      <c r="F157" s="410">
        <f t="shared" ref="F157:J157" si="122">E157</f>
        <v>0</v>
      </c>
      <c r="G157" s="410">
        <f t="shared" si="122"/>
        <v>0</v>
      </c>
      <c r="H157" s="410">
        <f t="shared" si="122"/>
        <v>0</v>
      </c>
      <c r="I157" s="416">
        <f t="shared" si="122"/>
        <v>0</v>
      </c>
      <c r="J157" s="416">
        <f t="shared" si="122"/>
        <v>0</v>
      </c>
      <c r="K157" s="408">
        <v>0.6</v>
      </c>
      <c r="L157" s="409">
        <v>3.3000000000000002E-2</v>
      </c>
    </row>
    <row r="158" spans="1:12" ht="15" x14ac:dyDescent="0.2">
      <c r="A158" s="46">
        <v>112</v>
      </c>
      <c r="B158" s="47" t="s">
        <v>126</v>
      </c>
      <c r="C158" s="43">
        <v>1763.948630075</v>
      </c>
      <c r="D158" s="50"/>
      <c r="E158" s="407">
        <f t="shared" si="120"/>
        <v>0</v>
      </c>
      <c r="F158" s="410">
        <f t="shared" ref="F158:J158" si="123">E158</f>
        <v>0</v>
      </c>
      <c r="G158" s="410">
        <f t="shared" si="123"/>
        <v>0</v>
      </c>
      <c r="H158" s="410">
        <f t="shared" si="123"/>
        <v>0</v>
      </c>
      <c r="I158" s="416">
        <f t="shared" si="123"/>
        <v>0</v>
      </c>
      <c r="J158" s="416">
        <f t="shared" si="123"/>
        <v>0</v>
      </c>
      <c r="K158" s="408">
        <v>0.6</v>
      </c>
      <c r="L158" s="409">
        <v>3.3000000000000002E-2</v>
      </c>
    </row>
    <row r="159" spans="1:12" ht="15" x14ac:dyDescent="0.2">
      <c r="A159" s="46">
        <v>113</v>
      </c>
      <c r="B159" s="47" t="s">
        <v>127</v>
      </c>
      <c r="C159" s="43">
        <v>1595.2158960838542</v>
      </c>
      <c r="D159" s="50"/>
      <c r="E159" s="407">
        <f t="shared" si="120"/>
        <v>0</v>
      </c>
      <c r="F159" s="410">
        <f t="shared" ref="F159:J159" si="124">E159</f>
        <v>0</v>
      </c>
      <c r="G159" s="410">
        <f t="shared" si="124"/>
        <v>0</v>
      </c>
      <c r="H159" s="410">
        <f t="shared" si="124"/>
        <v>0</v>
      </c>
      <c r="I159" s="416">
        <f t="shared" si="124"/>
        <v>0</v>
      </c>
      <c r="J159" s="416">
        <f t="shared" si="124"/>
        <v>0</v>
      </c>
      <c r="K159" s="408">
        <v>0.6</v>
      </c>
      <c r="L159" s="409">
        <v>3.3000000000000002E-2</v>
      </c>
    </row>
    <row r="160" spans="1:12" ht="15.75" x14ac:dyDescent="0.2">
      <c r="A160" s="604" t="s">
        <v>128</v>
      </c>
      <c r="B160" s="605"/>
      <c r="C160" s="45"/>
      <c r="D160" s="51"/>
      <c r="E160" s="177"/>
      <c r="F160" s="31"/>
      <c r="G160" s="45"/>
      <c r="H160" s="45"/>
      <c r="I160" s="176"/>
      <c r="J160" s="31"/>
      <c r="K160" s="32">
        <v>0</v>
      </c>
      <c r="L160" s="33">
        <v>0</v>
      </c>
    </row>
    <row r="161" spans="1:12" ht="15" x14ac:dyDescent="0.2">
      <c r="A161" s="46">
        <v>114</v>
      </c>
      <c r="B161" s="48" t="s">
        <v>129</v>
      </c>
      <c r="C161" s="43">
        <v>1220.9988583958334</v>
      </c>
      <c r="D161" s="50"/>
      <c r="E161" s="407">
        <f t="shared" ref="E161:E164" si="125">D161*K161*L161</f>
        <v>0</v>
      </c>
      <c r="F161" s="410">
        <f t="shared" ref="F161:J161" si="126">E161</f>
        <v>0</v>
      </c>
      <c r="G161" s="410">
        <f t="shared" si="126"/>
        <v>0</v>
      </c>
      <c r="H161" s="410">
        <f t="shared" si="126"/>
        <v>0</v>
      </c>
      <c r="I161" s="416">
        <f t="shared" si="126"/>
        <v>0</v>
      </c>
      <c r="J161" s="416">
        <f t="shared" si="126"/>
        <v>0</v>
      </c>
      <c r="K161" s="408">
        <v>0.6</v>
      </c>
      <c r="L161" s="409">
        <v>1.7999999999999999E-2</v>
      </c>
    </row>
    <row r="162" spans="1:12" ht="15" x14ac:dyDescent="0.2">
      <c r="A162" s="46">
        <v>115</v>
      </c>
      <c r="B162" s="48" t="s">
        <v>130</v>
      </c>
      <c r="C162" s="43">
        <v>1266.8321917291667</v>
      </c>
      <c r="D162" s="50"/>
      <c r="E162" s="407">
        <f t="shared" si="125"/>
        <v>0</v>
      </c>
      <c r="F162" s="410">
        <f t="shared" ref="F162:J162" si="127">E162</f>
        <v>0</v>
      </c>
      <c r="G162" s="410">
        <f t="shared" si="127"/>
        <v>0</v>
      </c>
      <c r="H162" s="410">
        <f t="shared" si="127"/>
        <v>0</v>
      </c>
      <c r="I162" s="416">
        <f t="shared" si="127"/>
        <v>0</v>
      </c>
      <c r="J162" s="416">
        <f t="shared" si="127"/>
        <v>0</v>
      </c>
      <c r="K162" s="408">
        <v>0.6</v>
      </c>
      <c r="L162" s="409">
        <v>1.7999999999999999E-2</v>
      </c>
    </row>
    <row r="163" spans="1:12" ht="15" x14ac:dyDescent="0.2">
      <c r="A163" s="46">
        <v>116</v>
      </c>
      <c r="B163" s="47" t="s">
        <v>131</v>
      </c>
      <c r="C163" s="43">
        <v>1325.1655250625001</v>
      </c>
      <c r="D163" s="50"/>
      <c r="E163" s="407">
        <f t="shared" si="125"/>
        <v>0</v>
      </c>
      <c r="F163" s="410">
        <f t="shared" ref="F163:J163" si="128">E163</f>
        <v>0</v>
      </c>
      <c r="G163" s="410">
        <f t="shared" si="128"/>
        <v>0</v>
      </c>
      <c r="H163" s="410">
        <f t="shared" si="128"/>
        <v>0</v>
      </c>
      <c r="I163" s="416">
        <f t="shared" si="128"/>
        <v>0</v>
      </c>
      <c r="J163" s="416">
        <f t="shared" si="128"/>
        <v>0</v>
      </c>
      <c r="K163" s="408">
        <v>0.6</v>
      </c>
      <c r="L163" s="409">
        <v>1.7999999999999999E-2</v>
      </c>
    </row>
    <row r="164" spans="1:12" ht="15" x14ac:dyDescent="0.2">
      <c r="A164" s="46">
        <v>117</v>
      </c>
      <c r="B164" s="47" t="s">
        <v>132</v>
      </c>
      <c r="C164" s="43">
        <v>1508.4988583958332</v>
      </c>
      <c r="D164" s="50"/>
      <c r="E164" s="407">
        <f t="shared" si="125"/>
        <v>0</v>
      </c>
      <c r="F164" s="410">
        <f t="shared" ref="F164:J164" si="129">E164</f>
        <v>0</v>
      </c>
      <c r="G164" s="410">
        <f t="shared" si="129"/>
        <v>0</v>
      </c>
      <c r="H164" s="410">
        <f t="shared" si="129"/>
        <v>0</v>
      </c>
      <c r="I164" s="416">
        <f t="shared" si="129"/>
        <v>0</v>
      </c>
      <c r="J164" s="416">
        <f t="shared" si="129"/>
        <v>0</v>
      </c>
      <c r="K164" s="408">
        <v>0.6</v>
      </c>
      <c r="L164" s="409">
        <v>1.7999999999999999E-2</v>
      </c>
    </row>
    <row r="165" spans="1:12" ht="15.75" x14ac:dyDescent="0.2">
      <c r="A165" s="604" t="s">
        <v>133</v>
      </c>
      <c r="B165" s="605"/>
      <c r="C165" s="45"/>
      <c r="D165" s="51"/>
      <c r="E165" s="31"/>
      <c r="F165" s="31"/>
      <c r="G165" s="45"/>
      <c r="H165" s="45"/>
      <c r="I165" s="51"/>
      <c r="J165" s="31"/>
      <c r="K165" s="32">
        <v>0</v>
      </c>
      <c r="L165" s="33">
        <v>0</v>
      </c>
    </row>
    <row r="166" spans="1:12" ht="15" x14ac:dyDescent="0.2">
      <c r="A166" s="46">
        <v>118</v>
      </c>
      <c r="B166" s="48" t="s">
        <v>134</v>
      </c>
      <c r="C166" s="43">
        <v>379.4581192825521</v>
      </c>
      <c r="D166" s="50"/>
      <c r="E166" s="407">
        <f t="shared" ref="E166:E175" si="130">D166*K166*L166</f>
        <v>0</v>
      </c>
      <c r="F166" s="410">
        <f t="shared" ref="F166:J166" si="131">E166</f>
        <v>0</v>
      </c>
      <c r="G166" s="410">
        <f t="shared" si="131"/>
        <v>0</v>
      </c>
      <c r="H166" s="410">
        <f t="shared" si="131"/>
        <v>0</v>
      </c>
      <c r="I166" s="416">
        <f t="shared" si="131"/>
        <v>0</v>
      </c>
      <c r="J166" s="416">
        <f t="shared" si="131"/>
        <v>0</v>
      </c>
      <c r="K166" s="408">
        <v>0.6</v>
      </c>
      <c r="L166" s="409">
        <v>3.3000000000000002E-2</v>
      </c>
    </row>
    <row r="167" spans="1:12" ht="15" x14ac:dyDescent="0.2">
      <c r="A167" s="46">
        <v>119</v>
      </c>
      <c r="B167" s="48" t="s">
        <v>135</v>
      </c>
      <c r="C167" s="43">
        <v>550.09139553567707</v>
      </c>
      <c r="D167" s="50"/>
      <c r="E167" s="407">
        <f t="shared" si="130"/>
        <v>0</v>
      </c>
      <c r="F167" s="410">
        <f t="shared" ref="F167:J167" si="132">E167</f>
        <v>0</v>
      </c>
      <c r="G167" s="410">
        <f t="shared" si="132"/>
        <v>0</v>
      </c>
      <c r="H167" s="410">
        <f t="shared" si="132"/>
        <v>0</v>
      </c>
      <c r="I167" s="416">
        <f t="shared" si="132"/>
        <v>0</v>
      </c>
      <c r="J167" s="416">
        <f t="shared" si="132"/>
        <v>0</v>
      </c>
      <c r="K167" s="408">
        <v>0.6</v>
      </c>
      <c r="L167" s="409">
        <v>3.3000000000000002E-2</v>
      </c>
    </row>
    <row r="168" spans="1:12" ht="15" x14ac:dyDescent="0.2">
      <c r="A168" s="46">
        <v>120</v>
      </c>
      <c r="B168" s="48" t="s">
        <v>136</v>
      </c>
      <c r="C168" s="43">
        <v>820.41595316406256</v>
      </c>
      <c r="D168" s="50"/>
      <c r="E168" s="407">
        <f t="shared" si="130"/>
        <v>0</v>
      </c>
      <c r="F168" s="410">
        <f t="shared" ref="F168:J168" si="133">E168</f>
        <v>0</v>
      </c>
      <c r="G168" s="410">
        <f t="shared" si="133"/>
        <v>0</v>
      </c>
      <c r="H168" s="410">
        <f t="shared" si="133"/>
        <v>0</v>
      </c>
      <c r="I168" s="416">
        <f t="shared" si="133"/>
        <v>0</v>
      </c>
      <c r="J168" s="416">
        <f t="shared" si="133"/>
        <v>0</v>
      </c>
      <c r="K168" s="408">
        <v>0.9</v>
      </c>
      <c r="L168" s="409">
        <v>0.30300000000000005</v>
      </c>
    </row>
    <row r="169" spans="1:12" ht="15" x14ac:dyDescent="0.2">
      <c r="A169" s="46">
        <v>121</v>
      </c>
      <c r="B169" s="48" t="s">
        <v>137</v>
      </c>
      <c r="C169" s="43">
        <v>1665.6491152567708</v>
      </c>
      <c r="D169" s="50"/>
      <c r="E169" s="407">
        <f t="shared" si="130"/>
        <v>0</v>
      </c>
      <c r="F169" s="410">
        <f t="shared" ref="F169:J169" si="134">E169</f>
        <v>0</v>
      </c>
      <c r="G169" s="410">
        <f t="shared" si="134"/>
        <v>0</v>
      </c>
      <c r="H169" s="410">
        <f t="shared" si="134"/>
        <v>0</v>
      </c>
      <c r="I169" s="416">
        <f t="shared" si="134"/>
        <v>0</v>
      </c>
      <c r="J169" s="416">
        <f t="shared" si="134"/>
        <v>0</v>
      </c>
      <c r="K169" s="408">
        <v>0.6</v>
      </c>
      <c r="L169" s="409">
        <v>3.3000000000000002E-2</v>
      </c>
    </row>
    <row r="170" spans="1:12" ht="15" x14ac:dyDescent="0.2">
      <c r="A170" s="46">
        <v>122</v>
      </c>
      <c r="B170" s="48" t="s">
        <v>138</v>
      </c>
      <c r="C170" s="43">
        <v>1478.1491152567708</v>
      </c>
      <c r="D170" s="50"/>
      <c r="E170" s="407">
        <f t="shared" si="130"/>
        <v>0</v>
      </c>
      <c r="F170" s="410">
        <f t="shared" ref="F170:J170" si="135">E170</f>
        <v>0</v>
      </c>
      <c r="G170" s="410">
        <f t="shared" si="135"/>
        <v>0</v>
      </c>
      <c r="H170" s="410">
        <f t="shared" si="135"/>
        <v>0</v>
      </c>
      <c r="I170" s="416">
        <f t="shared" si="135"/>
        <v>0</v>
      </c>
      <c r="J170" s="416">
        <f t="shared" si="135"/>
        <v>0</v>
      </c>
      <c r="K170" s="408">
        <v>0.6</v>
      </c>
      <c r="L170" s="409">
        <v>3.3000000000000002E-2</v>
      </c>
    </row>
    <row r="171" spans="1:12" ht="15" x14ac:dyDescent="0.2">
      <c r="A171" s="46">
        <v>123</v>
      </c>
      <c r="B171" s="48" t="s">
        <v>139</v>
      </c>
      <c r="C171" s="43">
        <v>1235.0993150375</v>
      </c>
      <c r="D171" s="50"/>
      <c r="E171" s="407">
        <f t="shared" si="130"/>
        <v>0</v>
      </c>
      <c r="F171" s="410">
        <f t="shared" ref="F171:J171" si="136">E171</f>
        <v>0</v>
      </c>
      <c r="G171" s="410">
        <f t="shared" si="136"/>
        <v>0</v>
      </c>
      <c r="H171" s="410">
        <f t="shared" si="136"/>
        <v>0</v>
      </c>
      <c r="I171" s="416">
        <f t="shared" si="136"/>
        <v>0</v>
      </c>
      <c r="J171" s="416">
        <f t="shared" si="136"/>
        <v>0</v>
      </c>
      <c r="K171" s="408">
        <v>0.6</v>
      </c>
      <c r="L171" s="409">
        <v>3.3000000000000002E-2</v>
      </c>
    </row>
    <row r="172" spans="1:12" ht="15" x14ac:dyDescent="0.2">
      <c r="A172" s="46">
        <v>124</v>
      </c>
      <c r="B172" s="47" t="s">
        <v>140</v>
      </c>
      <c r="C172" s="43">
        <v>466.75806220234369</v>
      </c>
      <c r="D172" s="50"/>
      <c r="E172" s="407">
        <f t="shared" si="130"/>
        <v>0</v>
      </c>
      <c r="F172" s="410">
        <f t="shared" ref="F172:J172" si="137">E172</f>
        <v>0</v>
      </c>
      <c r="G172" s="410">
        <f t="shared" si="137"/>
        <v>0</v>
      </c>
      <c r="H172" s="410">
        <f t="shared" si="137"/>
        <v>0</v>
      </c>
      <c r="I172" s="416">
        <f t="shared" si="137"/>
        <v>0</v>
      </c>
      <c r="J172" s="416">
        <f t="shared" si="137"/>
        <v>0</v>
      </c>
      <c r="K172" s="408">
        <v>0.6</v>
      </c>
      <c r="L172" s="409">
        <v>3.3000000000000002E-2</v>
      </c>
    </row>
    <row r="173" spans="1:12" ht="15" x14ac:dyDescent="0.2">
      <c r="A173" s="46">
        <v>125</v>
      </c>
      <c r="B173" s="47" t="s">
        <v>141</v>
      </c>
      <c r="C173" s="43">
        <v>383.42472886901044</v>
      </c>
      <c r="D173" s="50"/>
      <c r="E173" s="407">
        <f t="shared" si="130"/>
        <v>0</v>
      </c>
      <c r="F173" s="410">
        <f t="shared" ref="F173:J173" si="138">E173</f>
        <v>0</v>
      </c>
      <c r="G173" s="410">
        <f t="shared" si="138"/>
        <v>0</v>
      </c>
      <c r="H173" s="410">
        <f t="shared" si="138"/>
        <v>0</v>
      </c>
      <c r="I173" s="416">
        <f t="shared" si="138"/>
        <v>0</v>
      </c>
      <c r="J173" s="416">
        <f t="shared" si="138"/>
        <v>0</v>
      </c>
      <c r="K173" s="408">
        <v>0.6</v>
      </c>
      <c r="L173" s="409">
        <v>3.3000000000000002E-2</v>
      </c>
    </row>
    <row r="174" spans="1:12" ht="15" x14ac:dyDescent="0.2">
      <c r="A174" s="46">
        <v>126</v>
      </c>
      <c r="B174" s="47" t="s">
        <v>142</v>
      </c>
      <c r="C174" s="43">
        <v>466.75806220234369</v>
      </c>
      <c r="D174" s="50"/>
      <c r="E174" s="407">
        <f t="shared" si="130"/>
        <v>0</v>
      </c>
      <c r="F174" s="410">
        <f t="shared" ref="F174:J174" si="139">E174</f>
        <v>0</v>
      </c>
      <c r="G174" s="410">
        <f t="shared" si="139"/>
        <v>0</v>
      </c>
      <c r="H174" s="410">
        <f t="shared" si="139"/>
        <v>0</v>
      </c>
      <c r="I174" s="416">
        <f t="shared" si="139"/>
        <v>0</v>
      </c>
      <c r="J174" s="416">
        <f t="shared" si="139"/>
        <v>0</v>
      </c>
      <c r="K174" s="408">
        <v>0.6</v>
      </c>
      <c r="L174" s="409">
        <v>3.3000000000000002E-2</v>
      </c>
    </row>
    <row r="175" spans="1:12" ht="15" x14ac:dyDescent="0.2">
      <c r="A175" s="46">
        <v>127</v>
      </c>
      <c r="B175" s="47" t="s">
        <v>143</v>
      </c>
      <c r="C175" s="43">
        <v>664.66609586458333</v>
      </c>
      <c r="D175" s="50"/>
      <c r="E175" s="407">
        <f t="shared" si="130"/>
        <v>0</v>
      </c>
      <c r="F175" s="410">
        <f t="shared" ref="F175:J175" si="140">E175</f>
        <v>0</v>
      </c>
      <c r="G175" s="410">
        <f t="shared" si="140"/>
        <v>0</v>
      </c>
      <c r="H175" s="410">
        <f t="shared" si="140"/>
        <v>0</v>
      </c>
      <c r="I175" s="416">
        <f t="shared" si="140"/>
        <v>0</v>
      </c>
      <c r="J175" s="416">
        <f t="shared" si="140"/>
        <v>0</v>
      </c>
      <c r="K175" s="408">
        <v>0.6</v>
      </c>
      <c r="L175" s="409">
        <v>0.30300000000000005</v>
      </c>
    </row>
    <row r="176" spans="1:12" ht="15.75" x14ac:dyDescent="0.2">
      <c r="A176" s="604" t="s">
        <v>231</v>
      </c>
      <c r="B176" s="605"/>
      <c r="C176" s="45"/>
      <c r="D176" s="51"/>
      <c r="E176" s="31"/>
      <c r="F176" s="31"/>
      <c r="G176" s="45"/>
      <c r="H176" s="45"/>
      <c r="I176" s="51"/>
      <c r="J176" s="31"/>
      <c r="K176" s="32">
        <v>0</v>
      </c>
      <c r="L176" s="33">
        <v>0</v>
      </c>
    </row>
    <row r="177" spans="1:12" ht="15" x14ac:dyDescent="0.2">
      <c r="A177" s="46">
        <v>128</v>
      </c>
      <c r="B177" s="48" t="s">
        <v>144</v>
      </c>
      <c r="C177" s="43">
        <v>948.01324200500005</v>
      </c>
      <c r="D177" s="50"/>
      <c r="E177" s="407">
        <f t="shared" ref="E177:E192" si="141">D177*K177*L177</f>
        <v>0</v>
      </c>
      <c r="F177" s="410">
        <f>E177*2</f>
        <v>0</v>
      </c>
      <c r="G177" s="410">
        <f>E177*3</f>
        <v>0</v>
      </c>
      <c r="H177" s="410">
        <f>E177*4</f>
        <v>0</v>
      </c>
      <c r="I177" s="416">
        <f t="shared" ref="I177:J177" si="142">H177</f>
        <v>0</v>
      </c>
      <c r="J177" s="416">
        <f t="shared" si="142"/>
        <v>0</v>
      </c>
      <c r="K177" s="408">
        <v>3.3</v>
      </c>
      <c r="L177" s="409">
        <v>3.3000000000000002E-2</v>
      </c>
    </row>
    <row r="178" spans="1:12" ht="15" x14ac:dyDescent="0.2">
      <c r="A178" s="46">
        <v>129</v>
      </c>
      <c r="B178" s="48" t="s">
        <v>145</v>
      </c>
      <c r="C178" s="43">
        <v>74.155800512213546</v>
      </c>
      <c r="D178" s="50"/>
      <c r="E178" s="407">
        <f t="shared" si="141"/>
        <v>0</v>
      </c>
      <c r="F178" s="410">
        <f>E178*2</f>
        <v>0</v>
      </c>
      <c r="G178" s="410">
        <f>E178*3</f>
        <v>0</v>
      </c>
      <c r="H178" s="410">
        <f t="shared" ref="H178:J178" si="143">G178</f>
        <v>0</v>
      </c>
      <c r="I178" s="416">
        <f t="shared" si="143"/>
        <v>0</v>
      </c>
      <c r="J178" s="416">
        <f t="shared" si="143"/>
        <v>0</v>
      </c>
      <c r="K178" s="408">
        <v>2.7</v>
      </c>
      <c r="L178" s="409">
        <v>0.33</v>
      </c>
    </row>
    <row r="179" spans="1:12" ht="15" x14ac:dyDescent="0.2">
      <c r="A179" s="46">
        <v>130</v>
      </c>
      <c r="B179" s="48" t="s">
        <v>146</v>
      </c>
      <c r="C179" s="43">
        <v>91.069948627812508</v>
      </c>
      <c r="D179" s="50"/>
      <c r="E179" s="407">
        <f t="shared" si="141"/>
        <v>0</v>
      </c>
      <c r="F179" s="410">
        <f>E179*2</f>
        <v>0</v>
      </c>
      <c r="G179" s="410">
        <f t="shared" ref="G179:J179" si="144">F179</f>
        <v>0</v>
      </c>
      <c r="H179" s="410">
        <f t="shared" si="144"/>
        <v>0</v>
      </c>
      <c r="I179" s="416">
        <f t="shared" si="144"/>
        <v>0</v>
      </c>
      <c r="J179" s="416">
        <f t="shared" si="144"/>
        <v>0</v>
      </c>
      <c r="K179" s="408">
        <v>1.5</v>
      </c>
      <c r="L179" s="409">
        <v>0.09</v>
      </c>
    </row>
    <row r="180" spans="1:12" ht="15" x14ac:dyDescent="0.2">
      <c r="A180" s="46">
        <v>131</v>
      </c>
      <c r="B180" s="48" t="s">
        <v>147</v>
      </c>
      <c r="C180" s="43">
        <v>74.155800512213546</v>
      </c>
      <c r="D180" s="50"/>
      <c r="E180" s="407">
        <f t="shared" si="141"/>
        <v>0</v>
      </c>
      <c r="F180" s="410">
        <f>E180*2</f>
        <v>0</v>
      </c>
      <c r="G180" s="410">
        <f>E180*3</f>
        <v>0</v>
      </c>
      <c r="H180" s="410">
        <f>E180*4</f>
        <v>0</v>
      </c>
      <c r="I180" s="416">
        <f t="shared" ref="I180:J180" si="145">H180</f>
        <v>0</v>
      </c>
      <c r="J180" s="416">
        <f t="shared" si="145"/>
        <v>0</v>
      </c>
      <c r="K180" s="408">
        <v>3.9</v>
      </c>
      <c r="L180" s="409">
        <v>0.51</v>
      </c>
    </row>
    <row r="181" spans="1:12" ht="15" x14ac:dyDescent="0.2">
      <c r="A181" s="46">
        <v>132</v>
      </c>
      <c r="B181" s="48" t="s">
        <v>148</v>
      </c>
      <c r="C181" s="43">
        <v>67.112478594921868</v>
      </c>
      <c r="D181" s="50"/>
      <c r="E181" s="407">
        <f t="shared" ref="E181" si="146">D181*K181*L181</f>
        <v>0</v>
      </c>
      <c r="F181" s="410">
        <f>E181*2</f>
        <v>0</v>
      </c>
      <c r="G181" s="410">
        <f>E181*3</f>
        <v>0</v>
      </c>
      <c r="H181" s="410">
        <f>E181*4</f>
        <v>0</v>
      </c>
      <c r="I181" s="416">
        <f t="shared" ref="I181:J181" si="147">H181</f>
        <v>0</v>
      </c>
      <c r="J181" s="416">
        <f t="shared" si="147"/>
        <v>0</v>
      </c>
      <c r="K181" s="408">
        <v>3.3</v>
      </c>
      <c r="L181" s="409">
        <v>0.153</v>
      </c>
    </row>
    <row r="182" spans="1:12" ht="15" x14ac:dyDescent="0.2">
      <c r="A182" s="46">
        <v>133</v>
      </c>
      <c r="B182" s="48" t="s">
        <v>149</v>
      </c>
      <c r="C182" s="43">
        <v>94.989133845546888</v>
      </c>
      <c r="D182" s="50"/>
      <c r="E182" s="407">
        <f t="shared" si="141"/>
        <v>0</v>
      </c>
      <c r="F182" s="410">
        <f t="shared" ref="F182:J182" si="148">E182</f>
        <v>0</v>
      </c>
      <c r="G182" s="410">
        <f t="shared" si="148"/>
        <v>0</v>
      </c>
      <c r="H182" s="410">
        <f t="shared" si="148"/>
        <v>0</v>
      </c>
      <c r="I182" s="416">
        <f t="shared" si="148"/>
        <v>0</v>
      </c>
      <c r="J182" s="416">
        <f t="shared" si="148"/>
        <v>0</v>
      </c>
      <c r="K182" s="408">
        <v>0.6</v>
      </c>
      <c r="L182" s="409">
        <v>3.3000000000000002E-2</v>
      </c>
    </row>
    <row r="183" spans="1:12" ht="15" x14ac:dyDescent="0.2">
      <c r="A183" s="46">
        <v>134</v>
      </c>
      <c r="B183" s="48" t="s">
        <v>150</v>
      </c>
      <c r="C183" s="43">
        <v>64.830814782265634</v>
      </c>
      <c r="D183" s="50"/>
      <c r="E183" s="407">
        <f t="shared" ref="E183" si="149">D183*K183*L183</f>
        <v>0</v>
      </c>
      <c r="F183" s="410">
        <f>E183*2</f>
        <v>0</v>
      </c>
      <c r="G183" s="410">
        <f>E183*3</f>
        <v>0</v>
      </c>
      <c r="H183" s="410">
        <f>E183*4</f>
        <v>0</v>
      </c>
      <c r="I183" s="416">
        <f t="shared" ref="I183:J183" si="150">H183</f>
        <v>0</v>
      </c>
      <c r="J183" s="416">
        <f t="shared" si="150"/>
        <v>0</v>
      </c>
      <c r="K183" s="408">
        <v>4.5</v>
      </c>
      <c r="L183" s="409">
        <v>0.56999999999999995</v>
      </c>
    </row>
    <row r="184" spans="1:12" ht="15" x14ac:dyDescent="0.2">
      <c r="A184" s="46">
        <v>135</v>
      </c>
      <c r="B184" s="48" t="s">
        <v>151</v>
      </c>
      <c r="C184" s="43">
        <v>64.830814782265634</v>
      </c>
      <c r="D184" s="50"/>
      <c r="E184" s="407">
        <f t="shared" si="141"/>
        <v>0</v>
      </c>
      <c r="F184" s="410">
        <f>E184*2</f>
        <v>0</v>
      </c>
      <c r="G184" s="410">
        <f>E184*3</f>
        <v>0</v>
      </c>
      <c r="H184" s="410">
        <f t="shared" ref="H184:J184" si="151">G184</f>
        <v>0</v>
      </c>
      <c r="I184" s="416">
        <f t="shared" si="151"/>
        <v>0</v>
      </c>
      <c r="J184" s="416">
        <f t="shared" si="151"/>
        <v>0</v>
      </c>
      <c r="K184" s="408">
        <v>2.1</v>
      </c>
      <c r="L184" s="409">
        <v>0.56999999999999995</v>
      </c>
    </row>
    <row r="185" spans="1:12" ht="15" x14ac:dyDescent="0.2">
      <c r="A185" s="46">
        <v>136</v>
      </c>
      <c r="B185" s="48" t="s">
        <v>152</v>
      </c>
      <c r="C185" s="43">
        <v>64.830814782265634</v>
      </c>
      <c r="D185" s="50"/>
      <c r="E185" s="407">
        <f t="shared" si="141"/>
        <v>0</v>
      </c>
      <c r="F185" s="410">
        <f>E185*2</f>
        <v>0</v>
      </c>
      <c r="G185" s="410">
        <f>E185*3</f>
        <v>0</v>
      </c>
      <c r="H185" s="410">
        <f t="shared" ref="H185:J185" si="152">G185</f>
        <v>0</v>
      </c>
      <c r="I185" s="416">
        <f t="shared" si="152"/>
        <v>0</v>
      </c>
      <c r="J185" s="416">
        <f t="shared" si="152"/>
        <v>0</v>
      </c>
      <c r="K185" s="408">
        <v>3</v>
      </c>
      <c r="L185" s="409">
        <v>0.56999999999999995</v>
      </c>
    </row>
    <row r="186" spans="1:12" ht="15" x14ac:dyDescent="0.2">
      <c r="A186" s="46">
        <v>137</v>
      </c>
      <c r="B186" s="48" t="s">
        <v>153</v>
      </c>
      <c r="C186" s="43">
        <v>154.75993150374998</v>
      </c>
      <c r="D186" s="50"/>
      <c r="E186" s="407">
        <f t="shared" si="141"/>
        <v>0</v>
      </c>
      <c r="F186" s="410">
        <f t="shared" ref="F186:J186" si="153">E186</f>
        <v>0</v>
      </c>
      <c r="G186" s="410">
        <f t="shared" si="153"/>
        <v>0</v>
      </c>
      <c r="H186" s="410">
        <f t="shared" si="153"/>
        <v>0</v>
      </c>
      <c r="I186" s="416">
        <f t="shared" si="153"/>
        <v>0</v>
      </c>
      <c r="J186" s="416">
        <f t="shared" si="153"/>
        <v>0</v>
      </c>
      <c r="K186" s="408">
        <v>0.6</v>
      </c>
      <c r="L186" s="409">
        <v>3.3000000000000002E-2</v>
      </c>
    </row>
    <row r="187" spans="1:12" ht="15" x14ac:dyDescent="0.2">
      <c r="A187" s="46">
        <v>138</v>
      </c>
      <c r="B187" s="48" t="s">
        <v>154</v>
      </c>
      <c r="C187" s="43">
        <v>255.6515553602604</v>
      </c>
      <c r="D187" s="50"/>
      <c r="E187" s="407">
        <f t="shared" si="141"/>
        <v>0</v>
      </c>
      <c r="F187" s="410">
        <f t="shared" ref="F187:J187" si="154">E187</f>
        <v>0</v>
      </c>
      <c r="G187" s="410">
        <f t="shared" si="154"/>
        <v>0</v>
      </c>
      <c r="H187" s="410">
        <f t="shared" si="154"/>
        <v>0</v>
      </c>
      <c r="I187" s="416">
        <f t="shared" si="154"/>
        <v>0</v>
      </c>
      <c r="J187" s="416">
        <f t="shared" si="154"/>
        <v>0</v>
      </c>
      <c r="K187" s="408">
        <v>0.9</v>
      </c>
      <c r="L187" s="409">
        <v>4.8000000000000001E-2</v>
      </c>
    </row>
    <row r="188" spans="1:12" ht="15" x14ac:dyDescent="0.2">
      <c r="A188" s="46">
        <v>139</v>
      </c>
      <c r="B188" s="48" t="s">
        <v>155</v>
      </c>
      <c r="C188" s="43">
        <v>150.59326483708332</v>
      </c>
      <c r="D188" s="50"/>
      <c r="E188" s="407">
        <f t="shared" si="141"/>
        <v>0</v>
      </c>
      <c r="F188" s="410">
        <f t="shared" ref="F188:J188" si="155">E188</f>
        <v>0</v>
      </c>
      <c r="G188" s="410">
        <f t="shared" si="155"/>
        <v>0</v>
      </c>
      <c r="H188" s="410">
        <f t="shared" si="155"/>
        <v>0</v>
      </c>
      <c r="I188" s="416">
        <f t="shared" si="155"/>
        <v>0</v>
      </c>
      <c r="J188" s="416">
        <f t="shared" si="155"/>
        <v>0</v>
      </c>
      <c r="K188" s="408">
        <v>0.6</v>
      </c>
      <c r="L188" s="409">
        <v>3.3000000000000002E-2</v>
      </c>
    </row>
    <row r="189" spans="1:12" ht="15" x14ac:dyDescent="0.2">
      <c r="A189" s="46">
        <v>140</v>
      </c>
      <c r="B189" s="48" t="s">
        <v>156</v>
      </c>
      <c r="C189" s="43">
        <v>154.75993150374998</v>
      </c>
      <c r="D189" s="50"/>
      <c r="E189" s="407">
        <f t="shared" si="141"/>
        <v>0</v>
      </c>
      <c r="F189" s="410">
        <f t="shared" ref="F189:J189" si="156">E189</f>
        <v>0</v>
      </c>
      <c r="G189" s="410">
        <f t="shared" si="156"/>
        <v>0</v>
      </c>
      <c r="H189" s="410">
        <f t="shared" si="156"/>
        <v>0</v>
      </c>
      <c r="I189" s="416">
        <f t="shared" si="156"/>
        <v>0</v>
      </c>
      <c r="J189" s="416">
        <f t="shared" si="156"/>
        <v>0</v>
      </c>
      <c r="K189" s="408">
        <v>0.6</v>
      </c>
      <c r="L189" s="409">
        <v>3.3000000000000002E-2</v>
      </c>
    </row>
    <row r="190" spans="1:12" ht="15" x14ac:dyDescent="0.2">
      <c r="A190" s="46">
        <v>141</v>
      </c>
      <c r="B190" s="48" t="s">
        <v>157</v>
      </c>
      <c r="C190" s="43">
        <v>662.89320775687497</v>
      </c>
      <c r="D190" s="50"/>
      <c r="E190" s="407">
        <f t="shared" si="141"/>
        <v>0</v>
      </c>
      <c r="F190" s="410">
        <f t="shared" ref="F190:J192" si="157">E190</f>
        <v>0</v>
      </c>
      <c r="G190" s="410">
        <f t="shared" si="157"/>
        <v>0</v>
      </c>
      <c r="H190" s="410">
        <f t="shared" si="157"/>
        <v>0</v>
      </c>
      <c r="I190" s="416">
        <f t="shared" si="157"/>
        <v>0</v>
      </c>
      <c r="J190" s="416">
        <f t="shared" si="157"/>
        <v>0</v>
      </c>
      <c r="K190" s="408">
        <v>0.6</v>
      </c>
      <c r="L190" s="409">
        <v>3.3000000000000002E-2</v>
      </c>
    </row>
    <row r="191" spans="1:12" ht="30" x14ac:dyDescent="0.2">
      <c r="A191" s="46">
        <v>142</v>
      </c>
      <c r="B191" s="47" t="s">
        <v>158</v>
      </c>
      <c r="C191" s="43">
        <v>97.032455762838552</v>
      </c>
      <c r="D191" s="50"/>
      <c r="E191" s="407">
        <f t="shared" si="141"/>
        <v>0</v>
      </c>
      <c r="F191" s="410">
        <f t="shared" ref="F191:F192" si="158">E191*2</f>
        <v>0</v>
      </c>
      <c r="G191" s="410">
        <f t="shared" ref="G191:G192" si="159">E191*3</f>
        <v>0</v>
      </c>
      <c r="H191" s="410">
        <f t="shared" ref="H191:H192" si="160">E191*4</f>
        <v>0</v>
      </c>
      <c r="I191" s="416">
        <f t="shared" si="157"/>
        <v>0</v>
      </c>
      <c r="J191" s="416">
        <f t="shared" si="157"/>
        <v>0</v>
      </c>
      <c r="K191" s="408">
        <v>2.1</v>
      </c>
      <c r="L191" s="409">
        <v>1</v>
      </c>
    </row>
    <row r="192" spans="1:12" ht="30" x14ac:dyDescent="0.2">
      <c r="A192" s="46">
        <v>143</v>
      </c>
      <c r="B192" s="47" t="s">
        <v>159</v>
      </c>
      <c r="C192" s="43">
        <v>183.28576626408852</v>
      </c>
      <c r="D192" s="50"/>
      <c r="E192" s="407">
        <f t="shared" si="141"/>
        <v>0</v>
      </c>
      <c r="F192" s="410">
        <f t="shared" si="158"/>
        <v>0</v>
      </c>
      <c r="G192" s="410">
        <f t="shared" si="159"/>
        <v>0</v>
      </c>
      <c r="H192" s="410">
        <f t="shared" si="160"/>
        <v>0</v>
      </c>
      <c r="I192" s="416">
        <f t="shared" si="157"/>
        <v>0</v>
      </c>
      <c r="J192" s="416">
        <f t="shared" si="157"/>
        <v>0</v>
      </c>
      <c r="K192" s="408">
        <v>6.3</v>
      </c>
      <c r="L192" s="409">
        <v>1</v>
      </c>
    </row>
    <row r="193" spans="1:12" ht="15" x14ac:dyDescent="0.2">
      <c r="A193" s="46">
        <v>144</v>
      </c>
      <c r="B193" s="47" t="s">
        <v>160</v>
      </c>
      <c r="C193" s="43">
        <v>168.84657533833334</v>
      </c>
      <c r="D193" s="50"/>
      <c r="E193" s="407">
        <f t="shared" ref="E193:E220" si="161">D193*K193*L193</f>
        <v>0</v>
      </c>
      <c r="F193" s="410">
        <f t="shared" ref="F193:J193" si="162">E193</f>
        <v>0</v>
      </c>
      <c r="G193" s="410">
        <f t="shared" si="162"/>
        <v>0</v>
      </c>
      <c r="H193" s="410">
        <f t="shared" si="162"/>
        <v>0</v>
      </c>
      <c r="I193" s="416">
        <f t="shared" si="162"/>
        <v>0</v>
      </c>
      <c r="J193" s="416">
        <f t="shared" si="162"/>
        <v>0</v>
      </c>
      <c r="K193" s="408">
        <v>0.6</v>
      </c>
      <c r="L193" s="409">
        <v>0.36</v>
      </c>
    </row>
    <row r="194" spans="1:12" ht="15" x14ac:dyDescent="0.2">
      <c r="A194" s="46">
        <v>145</v>
      </c>
      <c r="B194" s="47" t="s">
        <v>161</v>
      </c>
      <c r="C194" s="43">
        <v>84.621618148489603</v>
      </c>
      <c r="D194" s="50"/>
      <c r="E194" s="407">
        <f t="shared" si="161"/>
        <v>0</v>
      </c>
      <c r="F194" s="410">
        <f>E194*3</f>
        <v>0</v>
      </c>
      <c r="G194" s="410">
        <f>E194*3</f>
        <v>0</v>
      </c>
      <c r="H194" s="410">
        <f t="shared" ref="H194:J195" si="163">G194</f>
        <v>0</v>
      </c>
      <c r="I194" s="416">
        <f t="shared" si="163"/>
        <v>0</v>
      </c>
      <c r="J194" s="416">
        <f t="shared" si="163"/>
        <v>0</v>
      </c>
      <c r="K194" s="408">
        <v>2.7</v>
      </c>
      <c r="L194" s="409">
        <v>0.56999999999999995</v>
      </c>
    </row>
    <row r="195" spans="1:12" ht="30" x14ac:dyDescent="0.2">
      <c r="A195" s="46">
        <v>146</v>
      </c>
      <c r="B195" s="397" t="s">
        <v>521</v>
      </c>
      <c r="C195" s="43">
        <v>103.76827910713543</v>
      </c>
      <c r="D195" s="50"/>
      <c r="E195" s="407">
        <f t="shared" si="161"/>
        <v>0</v>
      </c>
      <c r="F195" s="411">
        <f t="shared" ref="F195" si="164">E195*2</f>
        <v>0</v>
      </c>
      <c r="G195" s="411">
        <f t="shared" ref="G195" si="165">E195*3</f>
        <v>0</v>
      </c>
      <c r="H195" s="411">
        <f t="shared" ref="H195" si="166">E195*4</f>
        <v>0</v>
      </c>
      <c r="I195" s="416">
        <f t="shared" si="163"/>
        <v>0</v>
      </c>
      <c r="J195" s="416">
        <f t="shared" si="163"/>
        <v>0</v>
      </c>
      <c r="K195" s="408">
        <v>18</v>
      </c>
      <c r="L195" s="409">
        <v>1</v>
      </c>
    </row>
    <row r="196" spans="1:12" ht="45" x14ac:dyDescent="0.2">
      <c r="A196" s="46">
        <v>147</v>
      </c>
      <c r="B196" s="47" t="s">
        <v>162</v>
      </c>
      <c r="C196" s="43">
        <v>1080.3324771302084</v>
      </c>
      <c r="D196" s="50"/>
      <c r="E196" s="407">
        <f t="shared" si="161"/>
        <v>0</v>
      </c>
      <c r="F196" s="410">
        <f t="shared" ref="F196:J196" si="167">E196</f>
        <v>0</v>
      </c>
      <c r="G196" s="410">
        <f t="shared" si="167"/>
        <v>0</v>
      </c>
      <c r="H196" s="410">
        <f t="shared" si="167"/>
        <v>0</v>
      </c>
      <c r="I196" s="416">
        <f t="shared" si="167"/>
        <v>0</v>
      </c>
      <c r="J196" s="416">
        <f t="shared" si="167"/>
        <v>0</v>
      </c>
      <c r="K196" s="408">
        <v>0.9</v>
      </c>
      <c r="L196" s="409">
        <v>0.34499999999999997</v>
      </c>
    </row>
    <row r="197" spans="1:12" ht="15" x14ac:dyDescent="0.2">
      <c r="A197" s="46">
        <v>148</v>
      </c>
      <c r="B197" s="47" t="s">
        <v>163</v>
      </c>
      <c r="C197" s="43">
        <v>1591.8321917291667</v>
      </c>
      <c r="D197" s="50"/>
      <c r="E197" s="407">
        <f t="shared" si="161"/>
        <v>0</v>
      </c>
      <c r="F197" s="410">
        <f t="shared" ref="F197:J197" si="168">E197</f>
        <v>0</v>
      </c>
      <c r="G197" s="410">
        <f t="shared" si="168"/>
        <v>0</v>
      </c>
      <c r="H197" s="410">
        <f t="shared" si="168"/>
        <v>0</v>
      </c>
      <c r="I197" s="416">
        <f t="shared" si="168"/>
        <v>0</v>
      </c>
      <c r="J197" s="416">
        <f t="shared" si="168"/>
        <v>0</v>
      </c>
      <c r="K197" s="408">
        <v>0.6</v>
      </c>
      <c r="L197" s="409">
        <v>4.4999999999999998E-2</v>
      </c>
    </row>
    <row r="198" spans="1:12" ht="15" x14ac:dyDescent="0.2">
      <c r="A198" s="46">
        <v>149</v>
      </c>
      <c r="B198" s="47" t="s">
        <v>164</v>
      </c>
      <c r="C198" s="43">
        <v>197.21992008770837</v>
      </c>
      <c r="D198" s="50"/>
      <c r="E198" s="407">
        <f t="shared" si="161"/>
        <v>0</v>
      </c>
      <c r="F198" s="410">
        <f t="shared" ref="F198:J198" si="169">E198</f>
        <v>0</v>
      </c>
      <c r="G198" s="410">
        <f t="shared" si="169"/>
        <v>0</v>
      </c>
      <c r="H198" s="410">
        <f t="shared" si="169"/>
        <v>0</v>
      </c>
      <c r="I198" s="416">
        <f t="shared" si="169"/>
        <v>0</v>
      </c>
      <c r="J198" s="416">
        <f t="shared" si="169"/>
        <v>0</v>
      </c>
      <c r="K198" s="408">
        <v>0.6</v>
      </c>
      <c r="L198" s="409">
        <v>4.4999999999999998E-2</v>
      </c>
    </row>
    <row r="199" spans="1:12" ht="15" x14ac:dyDescent="0.2">
      <c r="A199" s="46">
        <v>150</v>
      </c>
      <c r="B199" s="47" t="s">
        <v>165</v>
      </c>
      <c r="C199" s="43">
        <v>612.08952623427081</v>
      </c>
      <c r="D199" s="50"/>
      <c r="E199" s="407">
        <f t="shared" si="161"/>
        <v>0</v>
      </c>
      <c r="F199" s="410">
        <f t="shared" ref="F199:J199" si="170">E199</f>
        <v>0</v>
      </c>
      <c r="G199" s="410">
        <f t="shared" si="170"/>
        <v>0</v>
      </c>
      <c r="H199" s="410">
        <f t="shared" si="170"/>
        <v>0</v>
      </c>
      <c r="I199" s="416">
        <f t="shared" si="170"/>
        <v>0</v>
      </c>
      <c r="J199" s="416">
        <f t="shared" si="170"/>
        <v>0</v>
      </c>
      <c r="K199" s="408">
        <v>0.6</v>
      </c>
      <c r="L199" s="409">
        <v>4.4999999999999998E-2</v>
      </c>
    </row>
    <row r="200" spans="1:12" ht="15" x14ac:dyDescent="0.2">
      <c r="A200" s="46">
        <v>151</v>
      </c>
      <c r="B200" s="47" t="s">
        <v>43</v>
      </c>
      <c r="C200" s="43">
        <v>246.92156106828125</v>
      </c>
      <c r="D200" s="50"/>
      <c r="E200" s="407">
        <f t="shared" si="161"/>
        <v>0</v>
      </c>
      <c r="F200" s="410">
        <f t="shared" ref="F200:J200" si="171">E200</f>
        <v>0</v>
      </c>
      <c r="G200" s="410">
        <f t="shared" si="171"/>
        <v>0</v>
      </c>
      <c r="H200" s="410">
        <f t="shared" si="171"/>
        <v>0</v>
      </c>
      <c r="I200" s="416">
        <f t="shared" si="171"/>
        <v>0</v>
      </c>
      <c r="J200" s="416">
        <f t="shared" si="171"/>
        <v>0</v>
      </c>
      <c r="K200" s="408">
        <v>0.9</v>
      </c>
      <c r="L200" s="409">
        <v>0.16500000000000001</v>
      </c>
    </row>
    <row r="201" spans="1:12" ht="15" x14ac:dyDescent="0.2">
      <c r="A201" s="46">
        <v>152</v>
      </c>
      <c r="B201" s="47" t="s">
        <v>44</v>
      </c>
      <c r="C201" s="43">
        <v>126.98157819234376</v>
      </c>
      <c r="D201" s="50"/>
      <c r="E201" s="407">
        <f t="shared" si="161"/>
        <v>0</v>
      </c>
      <c r="F201" s="410">
        <f t="shared" ref="F201:J201" si="172">E201</f>
        <v>0</v>
      </c>
      <c r="G201" s="410">
        <f t="shared" si="172"/>
        <v>0</v>
      </c>
      <c r="H201" s="410">
        <f t="shared" si="172"/>
        <v>0</v>
      </c>
      <c r="I201" s="416">
        <f t="shared" si="172"/>
        <v>0</v>
      </c>
      <c r="J201" s="416">
        <f t="shared" si="172"/>
        <v>0</v>
      </c>
      <c r="K201" s="408">
        <v>0.9</v>
      </c>
      <c r="L201" s="409">
        <v>0.16500000000000001</v>
      </c>
    </row>
    <row r="202" spans="1:12" ht="15" x14ac:dyDescent="0.2">
      <c r="A202" s="46">
        <v>153</v>
      </c>
      <c r="B202" s="47" t="s">
        <v>166</v>
      </c>
      <c r="C202" s="43">
        <v>351.96725883611981</v>
      </c>
      <c r="D202" s="50"/>
      <c r="E202" s="407">
        <f t="shared" si="161"/>
        <v>0</v>
      </c>
      <c r="F202" s="410">
        <f t="shared" ref="F202:J202" si="173">E202</f>
        <v>0</v>
      </c>
      <c r="G202" s="410">
        <f t="shared" si="173"/>
        <v>0</v>
      </c>
      <c r="H202" s="410">
        <f t="shared" si="173"/>
        <v>0</v>
      </c>
      <c r="I202" s="416">
        <f t="shared" si="173"/>
        <v>0</v>
      </c>
      <c r="J202" s="416">
        <f t="shared" si="173"/>
        <v>0</v>
      </c>
      <c r="K202" s="408">
        <v>0.6</v>
      </c>
      <c r="L202" s="409">
        <v>7.4999999999999997E-2</v>
      </c>
    </row>
    <row r="203" spans="1:12" ht="15" x14ac:dyDescent="0.2">
      <c r="A203" s="46">
        <v>154</v>
      </c>
      <c r="B203" s="260" t="s">
        <v>167</v>
      </c>
      <c r="C203" s="43">
        <v>150</v>
      </c>
      <c r="D203" s="50"/>
      <c r="E203" s="407">
        <f t="shared" si="161"/>
        <v>0</v>
      </c>
      <c r="F203" s="410">
        <f t="shared" ref="F203:J203" si="174">E203</f>
        <v>0</v>
      </c>
      <c r="G203" s="410">
        <f t="shared" si="174"/>
        <v>0</v>
      </c>
      <c r="H203" s="410">
        <f t="shared" si="174"/>
        <v>0</v>
      </c>
      <c r="I203" s="416">
        <f t="shared" si="174"/>
        <v>0</v>
      </c>
      <c r="J203" s="416">
        <f t="shared" si="174"/>
        <v>0</v>
      </c>
      <c r="K203" s="408">
        <v>0.9</v>
      </c>
      <c r="L203" s="409">
        <v>0.16500000000000001</v>
      </c>
    </row>
    <row r="204" spans="1:12" ht="15" x14ac:dyDescent="0.2">
      <c r="A204" s="46">
        <v>155</v>
      </c>
      <c r="B204" s="47" t="s">
        <v>168</v>
      </c>
      <c r="C204" s="43">
        <v>198.80656392229167</v>
      </c>
      <c r="D204" s="50"/>
      <c r="E204" s="407">
        <f t="shared" si="161"/>
        <v>0</v>
      </c>
      <c r="F204" s="410">
        <f t="shared" ref="F204:J204" si="175">E204</f>
        <v>0</v>
      </c>
      <c r="G204" s="410">
        <f t="shared" si="175"/>
        <v>0</v>
      </c>
      <c r="H204" s="410">
        <f t="shared" si="175"/>
        <v>0</v>
      </c>
      <c r="I204" s="416">
        <f t="shared" si="175"/>
        <v>0</v>
      </c>
      <c r="J204" s="416">
        <f t="shared" si="175"/>
        <v>0</v>
      </c>
      <c r="K204" s="408">
        <v>0.6</v>
      </c>
      <c r="L204" s="409">
        <v>7.4999999999999997E-2</v>
      </c>
    </row>
    <row r="205" spans="1:12" ht="15" x14ac:dyDescent="0.2">
      <c r="A205" s="46">
        <v>156</v>
      </c>
      <c r="B205" s="47" t="s">
        <v>169</v>
      </c>
      <c r="C205" s="43">
        <v>268.32366436837503</v>
      </c>
      <c r="D205" s="50"/>
      <c r="E205" s="407">
        <f t="shared" si="161"/>
        <v>0</v>
      </c>
      <c r="F205" s="410">
        <f t="shared" ref="F205:J205" si="176">E205</f>
        <v>0</v>
      </c>
      <c r="G205" s="410">
        <f t="shared" si="176"/>
        <v>0</v>
      </c>
      <c r="H205" s="410">
        <f t="shared" si="176"/>
        <v>0</v>
      </c>
      <c r="I205" s="416">
        <f t="shared" si="176"/>
        <v>0</v>
      </c>
      <c r="J205" s="416">
        <f t="shared" si="176"/>
        <v>0</v>
      </c>
      <c r="K205" s="408">
        <v>0.6</v>
      </c>
      <c r="L205" s="409">
        <v>0.10499999999999998</v>
      </c>
    </row>
    <row r="206" spans="1:12" ht="15" x14ac:dyDescent="0.2">
      <c r="A206" s="46">
        <v>157</v>
      </c>
      <c r="B206" s="47" t="s">
        <v>170</v>
      </c>
      <c r="C206" s="43">
        <v>1352.1660958645834</v>
      </c>
      <c r="D206" s="50"/>
      <c r="E206" s="407">
        <f t="shared" si="161"/>
        <v>0</v>
      </c>
      <c r="F206" s="410">
        <f t="shared" ref="F206:J206" si="177">E206</f>
        <v>0</v>
      </c>
      <c r="G206" s="410">
        <f t="shared" si="177"/>
        <v>0</v>
      </c>
      <c r="H206" s="410">
        <f t="shared" si="177"/>
        <v>0</v>
      </c>
      <c r="I206" s="416">
        <f t="shared" si="177"/>
        <v>0</v>
      </c>
      <c r="J206" s="416">
        <f t="shared" si="177"/>
        <v>0</v>
      </c>
      <c r="K206" s="408">
        <v>0.6</v>
      </c>
      <c r="L206" s="409">
        <v>3.0000000000000006E-2</v>
      </c>
    </row>
    <row r="207" spans="1:12" ht="15" x14ac:dyDescent="0.2">
      <c r="A207" s="46">
        <f>A206+1</f>
        <v>158</v>
      </c>
      <c r="B207" s="47" t="s">
        <v>171</v>
      </c>
      <c r="C207" s="43">
        <v>958.41609586458333</v>
      </c>
      <c r="D207" s="50"/>
      <c r="E207" s="407">
        <f t="shared" si="161"/>
        <v>0</v>
      </c>
      <c r="F207" s="410">
        <f t="shared" ref="F207:J207" si="178">E207</f>
        <v>0</v>
      </c>
      <c r="G207" s="410">
        <f t="shared" si="178"/>
        <v>0</v>
      </c>
      <c r="H207" s="410">
        <f t="shared" si="178"/>
        <v>0</v>
      </c>
      <c r="I207" s="416">
        <f t="shared" si="178"/>
        <v>0</v>
      </c>
      <c r="J207" s="416">
        <f t="shared" si="178"/>
        <v>0</v>
      </c>
      <c r="K207" s="408">
        <v>0.6</v>
      </c>
      <c r="L207" s="409">
        <v>4.4999999999999998E-2</v>
      </c>
    </row>
    <row r="208" spans="1:12" ht="30" x14ac:dyDescent="0.2">
      <c r="A208" s="46">
        <f t="shared" ref="A208:A220" si="179">A207+1</f>
        <v>159</v>
      </c>
      <c r="B208" s="47" t="s">
        <v>188</v>
      </c>
      <c r="C208" s="43">
        <v>1385.4994291979167</v>
      </c>
      <c r="D208" s="50"/>
      <c r="E208" s="407">
        <f t="shared" si="161"/>
        <v>0</v>
      </c>
      <c r="F208" s="410">
        <f t="shared" ref="F208:J208" si="180">E208</f>
        <v>0</v>
      </c>
      <c r="G208" s="410">
        <f t="shared" si="180"/>
        <v>0</v>
      </c>
      <c r="H208" s="410">
        <f t="shared" si="180"/>
        <v>0</v>
      </c>
      <c r="I208" s="416">
        <f t="shared" si="180"/>
        <v>0</v>
      </c>
      <c r="J208" s="416">
        <f t="shared" si="180"/>
        <v>0</v>
      </c>
      <c r="K208" s="408">
        <v>0.9</v>
      </c>
      <c r="L208" s="409">
        <v>4.4999999999999998E-2</v>
      </c>
    </row>
    <row r="209" spans="1:14" ht="15" x14ac:dyDescent="0.2">
      <c r="A209" s="46">
        <f t="shared" si="179"/>
        <v>160</v>
      </c>
      <c r="B209" s="47" t="s">
        <v>172</v>
      </c>
      <c r="C209" s="43">
        <v>1143.83276253125</v>
      </c>
      <c r="D209" s="50"/>
      <c r="E209" s="407">
        <f t="shared" si="161"/>
        <v>0</v>
      </c>
      <c r="F209" s="410">
        <f t="shared" ref="F209:J209" si="181">E209</f>
        <v>0</v>
      </c>
      <c r="G209" s="410">
        <f t="shared" si="181"/>
        <v>0</v>
      </c>
      <c r="H209" s="410">
        <f t="shared" si="181"/>
        <v>0</v>
      </c>
      <c r="I209" s="416">
        <f t="shared" si="181"/>
        <v>0</v>
      </c>
      <c r="J209" s="416">
        <f t="shared" si="181"/>
        <v>0</v>
      </c>
      <c r="K209" s="408">
        <v>0.6</v>
      </c>
      <c r="L209" s="409">
        <v>0.13500000000000001</v>
      </c>
    </row>
    <row r="210" spans="1:14" ht="15" x14ac:dyDescent="0.2">
      <c r="A210" s="46">
        <f t="shared" si="179"/>
        <v>161</v>
      </c>
      <c r="B210" s="47" t="s">
        <v>173</v>
      </c>
      <c r="C210" s="43">
        <v>797.99942919791658</v>
      </c>
      <c r="D210" s="50"/>
      <c r="E210" s="407">
        <f t="shared" si="161"/>
        <v>0</v>
      </c>
      <c r="F210" s="410">
        <f t="shared" ref="F210:J210" si="182">E210</f>
        <v>0</v>
      </c>
      <c r="G210" s="410">
        <f t="shared" si="182"/>
        <v>0</v>
      </c>
      <c r="H210" s="410">
        <f t="shared" si="182"/>
        <v>0</v>
      </c>
      <c r="I210" s="416">
        <f t="shared" si="182"/>
        <v>0</v>
      </c>
      <c r="J210" s="416">
        <f t="shared" si="182"/>
        <v>0</v>
      </c>
      <c r="K210" s="408">
        <v>0.6</v>
      </c>
      <c r="L210" s="409">
        <v>4.4999999999999998E-2</v>
      </c>
    </row>
    <row r="211" spans="1:14" ht="15" x14ac:dyDescent="0.2">
      <c r="A211" s="46">
        <f t="shared" si="179"/>
        <v>162</v>
      </c>
      <c r="B211" s="47" t="s">
        <v>174</v>
      </c>
      <c r="C211" s="43">
        <v>1177.1660958645834</v>
      </c>
      <c r="D211" s="50"/>
      <c r="E211" s="407">
        <f t="shared" si="161"/>
        <v>0</v>
      </c>
      <c r="F211" s="410">
        <f t="shared" ref="F211:J211" si="183">E211</f>
        <v>0</v>
      </c>
      <c r="G211" s="410">
        <f t="shared" si="183"/>
        <v>0</v>
      </c>
      <c r="H211" s="410">
        <f t="shared" si="183"/>
        <v>0</v>
      </c>
      <c r="I211" s="416">
        <f t="shared" si="183"/>
        <v>0</v>
      </c>
      <c r="J211" s="416">
        <f t="shared" si="183"/>
        <v>0</v>
      </c>
      <c r="K211" s="408">
        <v>0.6</v>
      </c>
      <c r="L211" s="409">
        <v>7.4999999999999997E-2</v>
      </c>
    </row>
    <row r="212" spans="1:14" ht="15" x14ac:dyDescent="0.2">
      <c r="A212" s="46">
        <f t="shared" si="179"/>
        <v>163</v>
      </c>
      <c r="B212" s="47" t="s">
        <v>175</v>
      </c>
      <c r="C212" s="43">
        <v>2206.4982875937503</v>
      </c>
      <c r="D212" s="50"/>
      <c r="E212" s="407">
        <f t="shared" si="161"/>
        <v>0</v>
      </c>
      <c r="F212" s="410">
        <f t="shared" ref="F212:J212" si="184">E212</f>
        <v>0</v>
      </c>
      <c r="G212" s="410">
        <f t="shared" si="184"/>
        <v>0</v>
      </c>
      <c r="H212" s="410">
        <f t="shared" si="184"/>
        <v>0</v>
      </c>
      <c r="I212" s="416">
        <f t="shared" si="184"/>
        <v>0</v>
      </c>
      <c r="J212" s="416">
        <f t="shared" si="184"/>
        <v>0</v>
      </c>
      <c r="K212" s="408">
        <v>0.6</v>
      </c>
      <c r="L212" s="409">
        <v>6.0000000000000012E-2</v>
      </c>
    </row>
    <row r="213" spans="1:14" ht="15" x14ac:dyDescent="0.2">
      <c r="A213" s="46">
        <f t="shared" si="179"/>
        <v>164</v>
      </c>
      <c r="B213" s="47" t="s">
        <v>176</v>
      </c>
      <c r="C213" s="43">
        <v>2693.9982875937499</v>
      </c>
      <c r="D213" s="50"/>
      <c r="E213" s="407">
        <f t="shared" si="161"/>
        <v>0</v>
      </c>
      <c r="F213" s="410">
        <f t="shared" ref="F213:J213" si="185">E213</f>
        <v>0</v>
      </c>
      <c r="G213" s="410">
        <f t="shared" si="185"/>
        <v>0</v>
      </c>
      <c r="H213" s="410">
        <f t="shared" si="185"/>
        <v>0</v>
      </c>
      <c r="I213" s="416">
        <f t="shared" si="185"/>
        <v>0</v>
      </c>
      <c r="J213" s="416">
        <f t="shared" si="185"/>
        <v>0</v>
      </c>
      <c r="K213" s="408">
        <v>0.6</v>
      </c>
      <c r="L213" s="409">
        <v>4.4999999999999998E-2</v>
      </c>
    </row>
    <row r="214" spans="1:14" ht="15" x14ac:dyDescent="0.2">
      <c r="A214" s="46">
        <f t="shared" si="179"/>
        <v>165</v>
      </c>
      <c r="B214" s="47" t="s">
        <v>177</v>
      </c>
      <c r="C214" s="43">
        <v>3158.5816209270838</v>
      </c>
      <c r="D214" s="50"/>
      <c r="E214" s="407">
        <f t="shared" si="161"/>
        <v>0</v>
      </c>
      <c r="F214" s="410">
        <f t="shared" ref="F214:J214" si="186">E214</f>
        <v>0</v>
      </c>
      <c r="G214" s="410">
        <f t="shared" si="186"/>
        <v>0</v>
      </c>
      <c r="H214" s="410">
        <f t="shared" si="186"/>
        <v>0</v>
      </c>
      <c r="I214" s="416">
        <f t="shared" si="186"/>
        <v>0</v>
      </c>
      <c r="J214" s="416">
        <f t="shared" si="186"/>
        <v>0</v>
      </c>
      <c r="K214" s="408">
        <v>0.6</v>
      </c>
      <c r="L214" s="409">
        <v>0.12000000000000002</v>
      </c>
    </row>
    <row r="215" spans="1:14" ht="15" x14ac:dyDescent="0.2">
      <c r="A215" s="46">
        <f t="shared" si="179"/>
        <v>166</v>
      </c>
      <c r="B215" s="47" t="s">
        <v>178</v>
      </c>
      <c r="C215" s="43">
        <v>723.19948627812505</v>
      </c>
      <c r="D215" s="50"/>
      <c r="E215" s="407">
        <f t="shared" si="161"/>
        <v>0</v>
      </c>
      <c r="F215" s="410">
        <f t="shared" ref="F215:J215" si="187">E215</f>
        <v>0</v>
      </c>
      <c r="G215" s="410">
        <f t="shared" si="187"/>
        <v>0</v>
      </c>
      <c r="H215" s="410">
        <f t="shared" si="187"/>
        <v>0</v>
      </c>
      <c r="I215" s="416">
        <f t="shared" si="187"/>
        <v>0</v>
      </c>
      <c r="J215" s="416">
        <f t="shared" si="187"/>
        <v>0</v>
      </c>
      <c r="K215" s="408">
        <v>0.6</v>
      </c>
      <c r="L215" s="409">
        <v>4.4999999999999998E-2</v>
      </c>
    </row>
    <row r="216" spans="1:14" ht="15" x14ac:dyDescent="0.2">
      <c r="A216" s="46">
        <f t="shared" si="179"/>
        <v>167</v>
      </c>
      <c r="B216" s="47" t="s">
        <v>179</v>
      </c>
      <c r="C216" s="43">
        <v>476.97294518791671</v>
      </c>
      <c r="D216" s="50"/>
      <c r="E216" s="407">
        <f t="shared" si="161"/>
        <v>0</v>
      </c>
      <c r="F216" s="410">
        <f t="shared" ref="F216:J216" si="188">E216</f>
        <v>0</v>
      </c>
      <c r="G216" s="410">
        <f t="shared" si="188"/>
        <v>0</v>
      </c>
      <c r="H216" s="410">
        <f t="shared" si="188"/>
        <v>0</v>
      </c>
      <c r="I216" s="416">
        <f t="shared" si="188"/>
        <v>0</v>
      </c>
      <c r="J216" s="416">
        <f t="shared" si="188"/>
        <v>0</v>
      </c>
      <c r="K216" s="408">
        <v>0.6</v>
      </c>
      <c r="L216" s="409">
        <v>4.4999999999999998E-2</v>
      </c>
    </row>
    <row r="217" spans="1:14" ht="15" x14ac:dyDescent="0.2">
      <c r="A217" s="71">
        <f t="shared" si="179"/>
        <v>168</v>
      </c>
      <c r="B217" s="47" t="s">
        <v>180</v>
      </c>
      <c r="C217" s="43">
        <v>521.8163527255208</v>
      </c>
      <c r="D217" s="50"/>
      <c r="E217" s="407">
        <f t="shared" si="161"/>
        <v>0</v>
      </c>
      <c r="F217" s="410">
        <f t="shared" ref="F217:J217" si="189">E217</f>
        <v>0</v>
      </c>
      <c r="G217" s="410">
        <f t="shared" si="189"/>
        <v>0</v>
      </c>
      <c r="H217" s="410">
        <f t="shared" si="189"/>
        <v>0</v>
      </c>
      <c r="I217" s="416">
        <f t="shared" si="189"/>
        <v>0</v>
      </c>
      <c r="J217" s="416">
        <f t="shared" si="189"/>
        <v>0</v>
      </c>
      <c r="K217" s="408">
        <v>0.6</v>
      </c>
      <c r="L217" s="409">
        <v>1.7999999999999999E-2</v>
      </c>
    </row>
    <row r="218" spans="1:14" ht="15" x14ac:dyDescent="0.2">
      <c r="A218" s="46">
        <f t="shared" si="179"/>
        <v>169</v>
      </c>
      <c r="B218" s="47" t="s">
        <v>181</v>
      </c>
      <c r="C218" s="43">
        <v>332.43825627505208</v>
      </c>
      <c r="D218" s="50"/>
      <c r="E218" s="407">
        <f t="shared" si="161"/>
        <v>0</v>
      </c>
      <c r="F218" s="410">
        <f t="shared" ref="F218:J218" si="190">E218</f>
        <v>0</v>
      </c>
      <c r="G218" s="410">
        <f t="shared" si="190"/>
        <v>0</v>
      </c>
      <c r="H218" s="410">
        <f t="shared" si="190"/>
        <v>0</v>
      </c>
      <c r="I218" s="416">
        <f t="shared" si="190"/>
        <v>0</v>
      </c>
      <c r="J218" s="416">
        <f t="shared" si="190"/>
        <v>0</v>
      </c>
      <c r="K218" s="408">
        <v>0.6</v>
      </c>
      <c r="L218" s="409">
        <v>1.7999999999999999E-2</v>
      </c>
    </row>
    <row r="219" spans="1:14" ht="34.5" customHeight="1" x14ac:dyDescent="0.2">
      <c r="A219" s="46">
        <f t="shared" si="179"/>
        <v>170</v>
      </c>
      <c r="B219" s="47" t="s">
        <v>182</v>
      </c>
      <c r="C219" s="43">
        <v>514.74335613525</v>
      </c>
      <c r="D219" s="50"/>
      <c r="E219" s="407">
        <f t="shared" si="161"/>
        <v>0</v>
      </c>
      <c r="F219" s="411">
        <f t="shared" ref="F219:J219" si="191">E219</f>
        <v>0</v>
      </c>
      <c r="G219" s="411">
        <f t="shared" si="191"/>
        <v>0</v>
      </c>
      <c r="H219" s="411">
        <f t="shared" si="191"/>
        <v>0</v>
      </c>
      <c r="I219" s="416">
        <f t="shared" si="191"/>
        <v>0</v>
      </c>
      <c r="J219" s="416">
        <f t="shared" si="191"/>
        <v>0</v>
      </c>
      <c r="K219" s="408">
        <v>0.6</v>
      </c>
      <c r="L219" s="409">
        <v>6.0000000000000012E-2</v>
      </c>
    </row>
    <row r="220" spans="1:14" ht="38.25" customHeight="1" x14ac:dyDescent="0.2">
      <c r="A220" s="46">
        <f t="shared" si="179"/>
        <v>171</v>
      </c>
      <c r="B220" s="49" t="s">
        <v>210</v>
      </c>
      <c r="C220" s="43">
        <v>810.49942919791658</v>
      </c>
      <c r="D220" s="52"/>
      <c r="E220" s="407">
        <f t="shared" si="161"/>
        <v>0</v>
      </c>
      <c r="F220" s="411">
        <f t="shared" ref="F220:J220" si="192">E220</f>
        <v>0</v>
      </c>
      <c r="G220" s="411">
        <f t="shared" si="192"/>
        <v>0</v>
      </c>
      <c r="H220" s="411">
        <f t="shared" si="192"/>
        <v>0</v>
      </c>
      <c r="I220" s="416">
        <f t="shared" si="192"/>
        <v>0</v>
      </c>
      <c r="J220" s="416">
        <f t="shared" si="192"/>
        <v>0</v>
      </c>
      <c r="K220" s="408">
        <v>0.6</v>
      </c>
      <c r="L220" s="409">
        <v>6.0000000000000012E-2</v>
      </c>
    </row>
    <row r="221" spans="1:14" ht="30.75" customHeight="1" x14ac:dyDescent="0.2">
      <c r="A221" s="1"/>
      <c r="B221" s="1"/>
      <c r="C221" s="1"/>
      <c r="D221" s="1"/>
      <c r="E221" s="1"/>
      <c r="F221" s="1"/>
      <c r="G221" s="1"/>
      <c r="H221" s="612"/>
      <c r="I221" s="612"/>
    </row>
    <row r="222" spans="1:14" ht="30.75" customHeight="1" x14ac:dyDescent="0.2">
      <c r="A222" s="601" t="s">
        <v>224</v>
      </c>
      <c r="B222" s="601"/>
      <c r="C222" s="602"/>
      <c r="D222" s="602"/>
      <c r="E222" s="602"/>
      <c r="F222" s="602"/>
      <c r="G222" s="602"/>
      <c r="H222" s="602"/>
      <c r="I222" s="602"/>
      <c r="J222" s="603"/>
      <c r="K222" s="603"/>
      <c r="L222" s="603"/>
    </row>
    <row r="223" spans="1:14" ht="153" customHeight="1" x14ac:dyDescent="0.2">
      <c r="A223" s="168" t="s">
        <v>0</v>
      </c>
      <c r="B223" s="169" t="s">
        <v>1</v>
      </c>
      <c r="C223" s="170" t="s">
        <v>463</v>
      </c>
      <c r="D223" s="171" t="s">
        <v>186</v>
      </c>
      <c r="E223" s="67" t="s">
        <v>429</v>
      </c>
      <c r="F223" s="67" t="s">
        <v>430</v>
      </c>
      <c r="G223" s="67" t="s">
        <v>431</v>
      </c>
      <c r="H223" s="67" t="s">
        <v>432</v>
      </c>
      <c r="I223" s="67" t="s">
        <v>433</v>
      </c>
      <c r="J223" s="67" t="s">
        <v>436</v>
      </c>
      <c r="K223" s="179" t="s">
        <v>454</v>
      </c>
      <c r="L223" s="180" t="s">
        <v>361</v>
      </c>
    </row>
    <row r="224" spans="1:14" ht="43.5" customHeight="1" x14ac:dyDescent="0.2">
      <c r="A224" s="46">
        <v>1</v>
      </c>
      <c r="B224" s="47" t="s">
        <v>183</v>
      </c>
      <c r="C224" s="359">
        <f>18.08*1.25</f>
        <v>22.599999999999998</v>
      </c>
      <c r="D224" s="50"/>
      <c r="E224" s="400">
        <f>D224*K224*L224</f>
        <v>0</v>
      </c>
      <c r="F224" s="400">
        <f>E224*2</f>
        <v>0</v>
      </c>
      <c r="G224" s="400">
        <f>E224*3</f>
        <v>0</v>
      </c>
      <c r="H224" s="400">
        <f>E224*4</f>
        <v>0</v>
      </c>
      <c r="I224" s="400">
        <f>(E224*4)+(D224*C230)</f>
        <v>0</v>
      </c>
      <c r="J224" s="400">
        <f>(E224*4)+(D224*C230*2)</f>
        <v>0</v>
      </c>
      <c r="K224" s="298">
        <v>180</v>
      </c>
      <c r="L224" s="259">
        <v>1</v>
      </c>
      <c r="M224" s="238"/>
      <c r="N224" s="238"/>
    </row>
    <row r="225" spans="1:12" ht="42.75" customHeight="1" x14ac:dyDescent="0.2">
      <c r="A225" s="46">
        <v>2</v>
      </c>
      <c r="B225" s="47" t="s">
        <v>428</v>
      </c>
      <c r="C225" s="359">
        <f>20.95*1.25</f>
        <v>26.1875</v>
      </c>
      <c r="D225" s="50"/>
      <c r="E225" s="400">
        <f>D225*K225*L225</f>
        <v>0</v>
      </c>
      <c r="F225" s="400">
        <f t="shared" ref="F225:J226" si="193">E225</f>
        <v>0</v>
      </c>
      <c r="G225" s="400">
        <f t="shared" si="193"/>
        <v>0</v>
      </c>
      <c r="H225" s="400">
        <f t="shared" si="193"/>
        <v>0</v>
      </c>
      <c r="I225" s="400">
        <f t="shared" si="193"/>
        <v>0</v>
      </c>
      <c r="J225" s="400">
        <f t="shared" si="193"/>
        <v>0</v>
      </c>
      <c r="K225" s="299">
        <v>90</v>
      </c>
      <c r="L225" s="259">
        <v>1</v>
      </c>
    </row>
    <row r="226" spans="1:12" ht="53.25" customHeight="1" x14ac:dyDescent="0.2">
      <c r="A226" s="46">
        <v>3</v>
      </c>
      <c r="B226" s="47" t="s">
        <v>427</v>
      </c>
      <c r="C226" s="359">
        <f>36.75*1.25</f>
        <v>45.9375</v>
      </c>
      <c r="D226" s="50"/>
      <c r="E226" s="400">
        <f>D226*K226*L226</f>
        <v>0</v>
      </c>
      <c r="F226" s="400">
        <f t="shared" si="193"/>
        <v>0</v>
      </c>
      <c r="G226" s="400">
        <f t="shared" si="193"/>
        <v>0</v>
      </c>
      <c r="H226" s="400">
        <f t="shared" si="193"/>
        <v>0</v>
      </c>
      <c r="I226" s="400">
        <f t="shared" si="193"/>
        <v>0</v>
      </c>
      <c r="J226" s="400">
        <f t="shared" si="193"/>
        <v>0</v>
      </c>
      <c r="K226" s="299">
        <v>90</v>
      </c>
      <c r="L226" s="259">
        <v>1</v>
      </c>
    </row>
    <row r="227" spans="1:12" s="6" customFormat="1" ht="53.25" customHeight="1" x14ac:dyDescent="0.2">
      <c r="A227" s="243"/>
      <c r="B227" s="244"/>
      <c r="C227" s="245"/>
      <c r="D227" s="276" t="s">
        <v>437</v>
      </c>
      <c r="E227" s="247">
        <f t="shared" ref="E227:J227" si="194">SUM(E224:E226)</f>
        <v>0</v>
      </c>
      <c r="F227" s="247">
        <f t="shared" si="194"/>
        <v>0</v>
      </c>
      <c r="G227" s="247">
        <f t="shared" si="194"/>
        <v>0</v>
      </c>
      <c r="H227" s="247">
        <f t="shared" si="194"/>
        <v>0</v>
      </c>
      <c r="I227" s="247">
        <f t="shared" si="194"/>
        <v>0</v>
      </c>
      <c r="J227" s="247">
        <f t="shared" si="194"/>
        <v>0</v>
      </c>
      <c r="K227" s="242"/>
      <c r="L227" s="246"/>
    </row>
    <row r="228" spans="1:12" ht="21" customHeight="1" x14ac:dyDescent="0.2">
      <c r="A228" s="241"/>
      <c r="B228" s="236"/>
      <c r="C228" s="236"/>
      <c r="D228" s="236"/>
      <c r="E228" s="236"/>
      <c r="F228" s="236"/>
      <c r="G228" s="239"/>
      <c r="H228" s="240"/>
      <c r="I228" s="240"/>
    </row>
    <row r="229" spans="1:12" ht="33" customHeight="1" x14ac:dyDescent="0.2">
      <c r="A229" s="599" t="s">
        <v>434</v>
      </c>
      <c r="B229" s="600"/>
      <c r="C229" s="360">
        <v>40</v>
      </c>
    </row>
    <row r="230" spans="1:12" ht="33" customHeight="1" x14ac:dyDescent="0.2">
      <c r="A230" s="599" t="s">
        <v>435</v>
      </c>
      <c r="B230" s="600"/>
      <c r="C230" s="360">
        <f>C229*0.8</f>
        <v>32</v>
      </c>
    </row>
    <row r="233" spans="1:12" ht="30.75" customHeight="1" x14ac:dyDescent="0.2">
      <c r="A233" s="601" t="s">
        <v>469</v>
      </c>
      <c r="B233" s="601"/>
      <c r="C233" s="602"/>
      <c r="D233" s="602"/>
      <c r="E233" s="602"/>
      <c r="F233" s="602"/>
      <c r="G233" s="602"/>
      <c r="H233" s="602"/>
      <c r="I233" s="602"/>
      <c r="J233" s="603"/>
      <c r="K233" s="603"/>
      <c r="L233" s="603"/>
    </row>
    <row r="234" spans="1:12" ht="140.25" customHeight="1" x14ac:dyDescent="0.2">
      <c r="A234" s="168" t="s">
        <v>0</v>
      </c>
      <c r="B234" s="169" t="s">
        <v>1</v>
      </c>
      <c r="C234" s="170" t="s">
        <v>463</v>
      </c>
      <c r="D234" s="171" t="s">
        <v>186</v>
      </c>
      <c r="E234" s="67" t="s">
        <v>429</v>
      </c>
      <c r="F234" s="67" t="s">
        <v>430</v>
      </c>
      <c r="G234" s="67" t="s">
        <v>431</v>
      </c>
      <c r="H234" s="67" t="s">
        <v>432</v>
      </c>
      <c r="I234" s="67" t="s">
        <v>433</v>
      </c>
      <c r="J234" s="67" t="s">
        <v>436</v>
      </c>
      <c r="K234" s="179" t="s">
        <v>470</v>
      </c>
      <c r="L234" s="180" t="s">
        <v>361</v>
      </c>
    </row>
    <row r="235" spans="1:12" ht="39.75" customHeight="1" x14ac:dyDescent="0.2">
      <c r="A235" s="46">
        <v>1</v>
      </c>
      <c r="B235" s="47" t="s">
        <v>504</v>
      </c>
      <c r="C235" s="359">
        <f>420.86*1.25</f>
        <v>526.07500000000005</v>
      </c>
      <c r="D235" s="50"/>
      <c r="E235" s="400">
        <f>D235*K235*L235</f>
        <v>0</v>
      </c>
      <c r="F235" s="400">
        <f>E235*2</f>
        <v>0</v>
      </c>
      <c r="G235" s="400">
        <f>E235*3</f>
        <v>0</v>
      </c>
      <c r="H235" s="400">
        <f>E235*4</f>
        <v>0</v>
      </c>
      <c r="I235" s="414">
        <f>(E235*4)+(D235*C241)</f>
        <v>0</v>
      </c>
      <c r="J235" s="414">
        <f>(E235*4)+(D235*C241*2)</f>
        <v>0</v>
      </c>
      <c r="K235" s="297">
        <v>1</v>
      </c>
      <c r="L235" s="259">
        <v>1</v>
      </c>
    </row>
    <row r="236" spans="1:12" ht="43.5" customHeight="1" x14ac:dyDescent="0.2">
      <c r="D236" s="276" t="s">
        <v>437</v>
      </c>
      <c r="E236" s="247">
        <f xml:space="preserve"> E235</f>
        <v>0</v>
      </c>
      <c r="F236" s="247">
        <f>SUM(F235)</f>
        <v>0</v>
      </c>
      <c r="G236" s="247">
        <f>SUM(G235)</f>
        <v>0</v>
      </c>
      <c r="H236" s="247">
        <f>SUM(H235)</f>
        <v>0</v>
      </c>
      <c r="I236" s="247">
        <f>SUM(I235)</f>
        <v>0</v>
      </c>
      <c r="J236" s="247">
        <f>SUM(J235)</f>
        <v>0</v>
      </c>
    </row>
  </sheetData>
  <mergeCells count="47">
    <mergeCell ref="A1:I1"/>
    <mergeCell ref="A2:I2"/>
    <mergeCell ref="A3:I3"/>
    <mergeCell ref="A10:C10"/>
    <mergeCell ref="A11:C11"/>
    <mergeCell ref="A4:I4"/>
    <mergeCell ref="A7:I7"/>
    <mergeCell ref="A5:I5"/>
    <mergeCell ref="H18:I18"/>
    <mergeCell ref="A20:C20"/>
    <mergeCell ref="H23:I23"/>
    <mergeCell ref="A155:B155"/>
    <mergeCell ref="A160:B160"/>
    <mergeCell ref="A80:B80"/>
    <mergeCell ref="A60:B60"/>
    <mergeCell ref="A66:B66"/>
    <mergeCell ref="A69:B69"/>
    <mergeCell ref="A75:B75"/>
    <mergeCell ref="A26:B26"/>
    <mergeCell ref="A54:B54"/>
    <mergeCell ref="A28:B28"/>
    <mergeCell ref="A24:L24"/>
    <mergeCell ref="A31:B31"/>
    <mergeCell ref="A38:B38"/>
    <mergeCell ref="A129:B129"/>
    <mergeCell ref="A222:L222"/>
    <mergeCell ref="A45:B45"/>
    <mergeCell ref="A91:B91"/>
    <mergeCell ref="A136:B136"/>
    <mergeCell ref="A142:B142"/>
    <mergeCell ref="A147:B147"/>
    <mergeCell ref="H221:I221"/>
    <mergeCell ref="A151:B151"/>
    <mergeCell ref="A12:C12"/>
    <mergeCell ref="A17:C17"/>
    <mergeCell ref="A82:B82"/>
    <mergeCell ref="A85:B85"/>
    <mergeCell ref="A127:B127"/>
    <mergeCell ref="A21:C21"/>
    <mergeCell ref="A22:C22"/>
    <mergeCell ref="A15:C15"/>
    <mergeCell ref="A16:C16"/>
    <mergeCell ref="A229:B229"/>
    <mergeCell ref="A233:L233"/>
    <mergeCell ref="A230:B230"/>
    <mergeCell ref="A165:B165"/>
    <mergeCell ref="A176:B176"/>
  </mergeCells>
  <phoneticPr fontId="7" type="noConversion"/>
  <pageMargins left="0.70866141732283472" right="0.70866141732283472" top="0.59055118110236227" bottom="0.39370078740157483" header="0.31496062992125984" footer="0.19685039370078741"/>
  <pageSetup paperSize="8" scale="45" fitToHeight="0" orientation="portrait" r:id="rId1"/>
  <headerFooter>
    <oddHeader>&amp;CAnexo III - Aba
Procedimento e Ração&amp;R&amp;D</oddHeader>
    <oddFooter>Página &amp;P de &amp;N</oddFooter>
  </headerFooter>
  <ignoredErrors>
    <ignoredError sqref="F36:H36 F102:F124 H195 G193 F179:H18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2"/>
  <sheetViews>
    <sheetView showGridLines="0" topLeftCell="C7" zoomScale="70" zoomScaleNormal="70" workbookViewId="0">
      <selection activeCell="D20" sqref="D20:E20"/>
    </sheetView>
  </sheetViews>
  <sheetFormatPr defaultRowHeight="14.25" x14ac:dyDescent="0.2"/>
  <cols>
    <col min="1" max="1" width="4" customWidth="1"/>
    <col min="2" max="2" width="64" customWidth="1"/>
    <col min="3" max="4" width="17.875" customWidth="1"/>
    <col min="5" max="5" width="15.75" customWidth="1"/>
    <col min="6" max="8" width="25.375" customWidth="1"/>
    <col min="9" max="9" width="23.875" customWidth="1"/>
    <col min="10" max="10" width="25.75" customWidth="1"/>
    <col min="11" max="11" width="29.875" customWidth="1"/>
    <col min="12" max="12" width="16" customWidth="1"/>
    <col min="13" max="14" width="18.875" customWidth="1"/>
    <col min="15" max="15" width="18.125" customWidth="1"/>
    <col min="16" max="16" width="16.125" customWidth="1"/>
    <col min="17" max="17" width="14.625" customWidth="1"/>
    <col min="18" max="18" width="16.5" customWidth="1"/>
  </cols>
  <sheetData>
    <row r="1" spans="1:18" ht="34.5" customHeight="1" x14ac:dyDescent="0.2">
      <c r="A1" s="637" t="s">
        <v>234</v>
      </c>
      <c r="B1" s="638"/>
      <c r="C1" s="638"/>
      <c r="D1" s="638"/>
      <c r="E1" s="638"/>
      <c r="F1" s="638"/>
      <c r="G1" s="638"/>
      <c r="H1" s="638"/>
      <c r="I1" s="638"/>
      <c r="J1" s="636"/>
      <c r="K1" s="636"/>
    </row>
    <row r="2" spans="1:18" ht="35.25" customHeight="1" x14ac:dyDescent="0.25">
      <c r="A2" s="637" t="s">
        <v>464</v>
      </c>
      <c r="B2" s="638"/>
      <c r="C2" s="638"/>
      <c r="D2" s="638"/>
      <c r="E2" s="638"/>
      <c r="F2" s="638"/>
      <c r="G2" s="638"/>
      <c r="H2" s="638"/>
      <c r="I2" s="638"/>
      <c r="J2" s="656"/>
      <c r="K2" s="656"/>
      <c r="L2" s="39"/>
      <c r="M2" s="39"/>
      <c r="N2" s="39"/>
      <c r="O2" s="39"/>
    </row>
    <row r="3" spans="1:18" ht="15" customHeight="1" x14ac:dyDescent="0.25">
      <c r="A3" s="375"/>
      <c r="B3" s="376"/>
      <c r="C3" s="376"/>
      <c r="D3" s="376"/>
      <c r="E3" s="376"/>
      <c r="F3" s="376"/>
      <c r="G3" s="376"/>
      <c r="H3" s="376"/>
      <c r="I3" s="376"/>
      <c r="J3" s="377"/>
      <c r="K3" s="377"/>
      <c r="L3" s="39"/>
      <c r="M3" s="39"/>
      <c r="N3" s="39"/>
      <c r="O3" s="39"/>
    </row>
    <row r="4" spans="1:18" ht="45" customHeight="1" x14ac:dyDescent="0.25">
      <c r="A4" s="657" t="s">
        <v>511</v>
      </c>
      <c r="B4" s="658"/>
      <c r="C4" s="658"/>
      <c r="D4" s="658"/>
      <c r="E4" s="658"/>
      <c r="F4" s="658"/>
      <c r="G4" s="658"/>
      <c r="H4" s="658"/>
      <c r="I4" s="658"/>
      <c r="J4" s="656"/>
      <c r="K4" s="656"/>
      <c r="L4" s="39"/>
      <c r="M4" s="39"/>
      <c r="N4" s="39"/>
      <c r="O4" s="39"/>
    </row>
    <row r="5" spans="1:18" ht="17.25" customHeight="1" x14ac:dyDescent="0.25">
      <c r="A5" s="39"/>
      <c r="B5" s="59"/>
      <c r="C5" s="59"/>
      <c r="D5" s="59"/>
      <c r="E5" s="59"/>
      <c r="F5" s="59"/>
      <c r="G5" s="59"/>
      <c r="H5" s="59"/>
      <c r="I5" s="59"/>
      <c r="J5" s="39"/>
      <c r="K5" s="39"/>
      <c r="L5" s="39"/>
      <c r="M5" s="39"/>
      <c r="N5" s="39"/>
      <c r="O5" s="39"/>
    </row>
    <row r="6" spans="1:18" ht="44.25" customHeight="1" x14ac:dyDescent="0.2">
      <c r="A6" s="646" t="s">
        <v>220</v>
      </c>
      <c r="B6" s="647"/>
      <c r="C6" s="647"/>
      <c r="D6" s="647"/>
      <c r="E6" s="647"/>
      <c r="F6" s="647"/>
      <c r="G6" s="647"/>
      <c r="H6" s="647"/>
      <c r="I6" s="647"/>
      <c r="J6" s="636"/>
      <c r="K6" s="636"/>
    </row>
    <row r="7" spans="1:18" ht="15" thickBot="1" x14ac:dyDescent="0.25"/>
    <row r="8" spans="1:18" ht="18" customHeight="1" thickBot="1" x14ac:dyDescent="0.25">
      <c r="F8" s="164" t="s">
        <v>207</v>
      </c>
      <c r="G8" s="164" t="s">
        <v>208</v>
      </c>
      <c r="H8" s="161" t="s">
        <v>209</v>
      </c>
      <c r="I8" s="42" t="s">
        <v>346</v>
      </c>
      <c r="J8" s="42" t="s">
        <v>353</v>
      </c>
      <c r="K8" s="42" t="s">
        <v>354</v>
      </c>
    </row>
    <row r="9" spans="1:18" ht="21" customHeight="1" thickBot="1" x14ac:dyDescent="0.25">
      <c r="A9" s="609" t="s">
        <v>215</v>
      </c>
      <c r="B9" s="480"/>
      <c r="C9" s="480"/>
      <c r="D9" s="480"/>
      <c r="E9" s="642"/>
      <c r="F9" s="257">
        <f t="shared" ref="F9:K9" si="0">F20</f>
        <v>0</v>
      </c>
      <c r="G9" s="257">
        <f t="shared" si="0"/>
        <v>0</v>
      </c>
      <c r="H9" s="266">
        <f t="shared" si="0"/>
        <v>0</v>
      </c>
      <c r="I9" s="255">
        <f t="shared" si="0"/>
        <v>0</v>
      </c>
      <c r="J9" s="255">
        <f t="shared" si="0"/>
        <v>0</v>
      </c>
      <c r="K9" s="255">
        <f t="shared" si="0"/>
        <v>0</v>
      </c>
    </row>
    <row r="10" spans="1:18" ht="20.25" customHeight="1" thickBot="1" x14ac:dyDescent="0.25">
      <c r="A10" s="609" t="s">
        <v>236</v>
      </c>
      <c r="B10" s="480"/>
      <c r="C10" s="480"/>
      <c r="D10" s="480"/>
      <c r="E10" s="642"/>
      <c r="F10" s="257">
        <f t="shared" ref="F10:K10" si="1">F9/12</f>
        <v>0</v>
      </c>
      <c r="G10" s="268">
        <f t="shared" si="1"/>
        <v>0</v>
      </c>
      <c r="H10" s="267">
        <f t="shared" si="1"/>
        <v>0</v>
      </c>
      <c r="I10" s="267">
        <f t="shared" si="1"/>
        <v>0</v>
      </c>
      <c r="J10" s="267">
        <f t="shared" si="1"/>
        <v>0</v>
      </c>
      <c r="K10" s="267">
        <f t="shared" si="1"/>
        <v>0</v>
      </c>
      <c r="L10" s="273"/>
    </row>
    <row r="11" spans="1:18" ht="38.25" customHeight="1" thickBot="1" x14ac:dyDescent="0.25">
      <c r="A11" s="648" t="s">
        <v>451</v>
      </c>
      <c r="B11" s="649"/>
      <c r="C11" s="649"/>
      <c r="D11" s="649"/>
      <c r="E11" s="649"/>
      <c r="F11" s="344">
        <f>(F10+('Mão de Obra Tratador'!G119*F10)+('Mão de Obra Tratador'!G129*F10))/(1-'Mão de Obra Tratador'!G120)</f>
        <v>0</v>
      </c>
      <c r="G11" s="344">
        <f>(G10+('Mão de Obra Tratador'!G119*G10)+('Mão de Obra Tratador'!G129*G10))/(1-'Mão de Obra Tratador'!G120)</f>
        <v>0</v>
      </c>
      <c r="H11" s="344">
        <f>(H10+('Mão de Obra Tratador'!G119*H10)+('Mão de Obra Tratador'!G129*H10))/(1-'Mão de Obra Tratador'!G120)</f>
        <v>0</v>
      </c>
      <c r="I11" s="344">
        <f>(I10+('Mão de Obra Tratador'!G119*I10)+('Mão de Obra Tratador'!G129*I10))/(1-'Mão de Obra Tratador'!G120)</f>
        <v>0</v>
      </c>
      <c r="J11" s="344">
        <f>(J10+('Mão de Obra Tratador'!G119*J10)+('Mão de Obra Tratador'!G129*J10))/(1-'Mão de Obra Tratador'!G120)</f>
        <v>0</v>
      </c>
      <c r="K11" s="344">
        <f>(K10+('Mão de Obra Tratador'!G119*K10)+('Mão de Obra Tratador'!G129*K10))/(1-'Mão de Obra Tratador'!G120)</f>
        <v>0</v>
      </c>
      <c r="L11" s="273"/>
      <c r="M11" s="273"/>
      <c r="N11" s="273"/>
      <c r="O11" s="273"/>
      <c r="P11" s="273"/>
      <c r="Q11" s="273"/>
      <c r="R11" s="273"/>
    </row>
    <row r="12" spans="1:18" ht="15" thickBot="1" x14ac:dyDescent="0.25"/>
    <row r="13" spans="1:18" ht="16.5" thickBot="1" x14ac:dyDescent="0.25">
      <c r="F13" s="162" t="s">
        <v>207</v>
      </c>
      <c r="G13" s="164" t="s">
        <v>208</v>
      </c>
      <c r="H13" s="161" t="s">
        <v>209</v>
      </c>
      <c r="I13" s="42" t="s">
        <v>346</v>
      </c>
      <c r="J13" s="42" t="s">
        <v>353</v>
      </c>
      <c r="K13" s="42" t="s">
        <v>354</v>
      </c>
    </row>
    <row r="14" spans="1:18" ht="21" customHeight="1" thickBot="1" x14ac:dyDescent="0.25">
      <c r="A14" s="643" t="s">
        <v>216</v>
      </c>
      <c r="B14" s="644"/>
      <c r="C14" s="644"/>
      <c r="D14" s="644"/>
      <c r="E14" s="645"/>
      <c r="F14" s="271">
        <f>F24+F25</f>
        <v>0</v>
      </c>
      <c r="G14" s="257">
        <f>G24+G25</f>
        <v>0</v>
      </c>
      <c r="H14" s="266">
        <f>H24+H25</f>
        <v>0</v>
      </c>
      <c r="I14" s="255">
        <f>SUM(I24:I25)</f>
        <v>0</v>
      </c>
      <c r="J14" s="255">
        <f>SUM(J24:J25)</f>
        <v>0</v>
      </c>
      <c r="K14" s="255">
        <f>SUM(K24:K25)</f>
        <v>0</v>
      </c>
    </row>
    <row r="15" spans="1:18" ht="33.75" customHeight="1" thickBot="1" x14ac:dyDescent="0.25">
      <c r="A15" s="639" t="s">
        <v>237</v>
      </c>
      <c r="B15" s="640"/>
      <c r="C15" s="640"/>
      <c r="D15" s="640"/>
      <c r="E15" s="641"/>
      <c r="F15" s="271">
        <f t="shared" ref="F15:K15" si="2">F14/12</f>
        <v>0</v>
      </c>
      <c r="G15" s="269">
        <f t="shared" si="2"/>
        <v>0</v>
      </c>
      <c r="H15" s="266">
        <f t="shared" si="2"/>
        <v>0</v>
      </c>
      <c r="I15" s="270">
        <f t="shared" si="2"/>
        <v>0</v>
      </c>
      <c r="J15" s="256">
        <f t="shared" si="2"/>
        <v>0</v>
      </c>
      <c r="K15" s="256">
        <f t="shared" si="2"/>
        <v>0</v>
      </c>
    </row>
    <row r="16" spans="1:18" ht="39.75" customHeight="1" thickBot="1" x14ac:dyDescent="0.25">
      <c r="A16" s="606" t="s">
        <v>452</v>
      </c>
      <c r="B16" s="659"/>
      <c r="C16" s="659"/>
      <c r="D16" s="659"/>
      <c r="E16" s="659"/>
      <c r="F16" s="344">
        <f>(F15+('Mão de Obra Tratador'!G119*F15)+('Mão de Obra Tratador'!G129*F15))/(1-'Mão de Obra Tratador'!G120)</f>
        <v>0</v>
      </c>
      <c r="G16" s="344">
        <f>(G15+('Mão de Obra Tratador'!G119*G15)+('Mão de Obra Tratador'!G129*G15))/(1-'Mão de Obra Tratador'!G120)</f>
        <v>0</v>
      </c>
      <c r="H16" s="344">
        <f>(H15+('Mão de Obra Tratador'!G119*H15)+('Mão de Obra Tratador'!G129*H15))/(1-'Mão de Obra Tratador'!G120)</f>
        <v>0</v>
      </c>
      <c r="I16" s="344">
        <f>(I15+('Mão de Obra Tratador'!G119*I15)+('Mão de Obra Tratador'!G129*I15))/(1-'Mão de Obra Tratador'!G120)</f>
        <v>0</v>
      </c>
      <c r="J16" s="344">
        <f>(J15+('Mão de Obra Tratador'!G119*J15)+('Mão de Obra Tratador'!G129*J15))/(1-'Mão de Obra Tratador'!G120)</f>
        <v>0</v>
      </c>
      <c r="K16" s="344">
        <f>(K15+('Mão de Obra Tratador'!G119*K15)+('Mão de Obra Tratador'!G129*K15))/(1-'Mão de Obra Tratador'!G120)</f>
        <v>0</v>
      </c>
      <c r="L16" s="273"/>
      <c r="M16" s="273"/>
      <c r="N16" s="273"/>
      <c r="O16" s="273"/>
      <c r="P16" s="273"/>
      <c r="Q16" s="273"/>
    </row>
    <row r="17" spans="1:13" ht="26.25" customHeight="1" x14ac:dyDescent="0.2"/>
    <row r="18" spans="1:13" ht="31.5" customHeight="1" x14ac:dyDescent="0.2">
      <c r="A18" s="650" t="s">
        <v>352</v>
      </c>
      <c r="B18" s="651"/>
      <c r="C18" s="651"/>
      <c r="D18" s="651"/>
      <c r="E18" s="651"/>
      <c r="F18" s="651"/>
      <c r="G18" s="651"/>
      <c r="H18" s="651"/>
      <c r="I18" s="651"/>
      <c r="J18" s="652"/>
      <c r="K18" s="652"/>
      <c r="L18" s="653"/>
      <c r="M18" s="272"/>
    </row>
    <row r="19" spans="1:13" ht="66.75" customHeight="1" x14ac:dyDescent="0.2">
      <c r="A19" s="64" t="s">
        <v>214</v>
      </c>
      <c r="B19" s="65" t="s">
        <v>0</v>
      </c>
      <c r="C19" s="66" t="s">
        <v>499</v>
      </c>
      <c r="D19" s="660" t="s">
        <v>217</v>
      </c>
      <c r="E19" s="661"/>
      <c r="F19" s="67" t="s">
        <v>347</v>
      </c>
      <c r="G19" s="67" t="s">
        <v>348</v>
      </c>
      <c r="H19" s="67" t="s">
        <v>349</v>
      </c>
      <c r="I19" s="67" t="s">
        <v>350</v>
      </c>
      <c r="J19" s="67" t="s">
        <v>355</v>
      </c>
      <c r="K19" s="170" t="s">
        <v>356</v>
      </c>
      <c r="L19" s="170" t="s">
        <v>446</v>
      </c>
    </row>
    <row r="20" spans="1:13" ht="21" customHeight="1" x14ac:dyDescent="0.2">
      <c r="A20" s="36">
        <v>1</v>
      </c>
      <c r="B20" s="263" t="s">
        <v>453</v>
      </c>
      <c r="C20" s="261">
        <f>141.81</f>
        <v>141.81</v>
      </c>
      <c r="D20" s="654"/>
      <c r="E20" s="655"/>
      <c r="F20" s="400">
        <f>D20*L20</f>
        <v>0</v>
      </c>
      <c r="G20" s="400">
        <f>F20*2</f>
        <v>0</v>
      </c>
      <c r="H20" s="400">
        <f>F20*3</f>
        <v>0</v>
      </c>
      <c r="I20" s="401">
        <f>F20*4</f>
        <v>0</v>
      </c>
      <c r="J20" s="401">
        <f>I20</f>
        <v>0</v>
      </c>
      <c r="K20" s="402">
        <f>J20</f>
        <v>0</v>
      </c>
      <c r="L20" s="295">
        <v>30</v>
      </c>
    </row>
    <row r="21" spans="1:13" ht="28.5" customHeight="1" x14ac:dyDescent="0.2">
      <c r="I21" s="3"/>
      <c r="J21" s="2"/>
    </row>
    <row r="22" spans="1:13" ht="30.75" customHeight="1" x14ac:dyDescent="0.2">
      <c r="A22" s="650" t="s">
        <v>351</v>
      </c>
      <c r="B22" s="651"/>
      <c r="C22" s="651"/>
      <c r="D22" s="651"/>
      <c r="E22" s="651"/>
      <c r="F22" s="651"/>
      <c r="G22" s="651"/>
      <c r="H22" s="651"/>
      <c r="I22" s="651"/>
      <c r="J22" s="652"/>
      <c r="K22" s="652"/>
      <c r="L22" s="653"/>
      <c r="M22" s="272"/>
    </row>
    <row r="23" spans="1:13" ht="83.25" customHeight="1" x14ac:dyDescent="0.2">
      <c r="A23" s="64" t="s">
        <v>214</v>
      </c>
      <c r="B23" s="65" t="s">
        <v>0</v>
      </c>
      <c r="C23" s="66" t="s">
        <v>187</v>
      </c>
      <c r="D23" s="68" t="s">
        <v>186</v>
      </c>
      <c r="E23" s="68" t="s">
        <v>232</v>
      </c>
      <c r="F23" s="67" t="s">
        <v>347</v>
      </c>
      <c r="G23" s="67" t="s">
        <v>348</v>
      </c>
      <c r="H23" s="67" t="s">
        <v>349</v>
      </c>
      <c r="I23" s="67" t="s">
        <v>350</v>
      </c>
      <c r="J23" s="67" t="s">
        <v>355</v>
      </c>
      <c r="K23" s="170" t="s">
        <v>356</v>
      </c>
      <c r="L23" s="170" t="s">
        <v>446</v>
      </c>
    </row>
    <row r="24" spans="1:13" ht="31.5" x14ac:dyDescent="0.2">
      <c r="A24" s="36">
        <v>1</v>
      </c>
      <c r="B24" s="264" t="s">
        <v>228</v>
      </c>
      <c r="C24" s="261">
        <f>2.9</f>
        <v>2.9</v>
      </c>
      <c r="D24" s="262"/>
      <c r="E24" s="294">
        <v>100</v>
      </c>
      <c r="F24" s="403">
        <f>D24*E24*L24</f>
        <v>0</v>
      </c>
      <c r="G24" s="403">
        <f>F24</f>
        <v>0</v>
      </c>
      <c r="H24" s="403">
        <f>F24</f>
        <v>0</v>
      </c>
      <c r="I24" s="404">
        <f>F24*2</f>
        <v>0</v>
      </c>
      <c r="J24" s="405">
        <f>I24</f>
        <v>0</v>
      </c>
      <c r="K24" s="403">
        <f>I24</f>
        <v>0</v>
      </c>
      <c r="L24" s="295">
        <v>60</v>
      </c>
    </row>
    <row r="25" spans="1:13" s="11" customFormat="1" ht="21" customHeight="1" x14ac:dyDescent="0.2">
      <c r="A25" s="36">
        <v>2</v>
      </c>
      <c r="B25" s="264" t="s">
        <v>213</v>
      </c>
      <c r="C25" s="261">
        <f>19.92*1.25</f>
        <v>24.900000000000002</v>
      </c>
      <c r="D25" s="262"/>
      <c r="E25" s="294">
        <v>200</v>
      </c>
      <c r="F25" s="403">
        <f>E25*D25*L25</f>
        <v>0</v>
      </c>
      <c r="G25" s="403">
        <f>F25</f>
        <v>0</v>
      </c>
      <c r="H25" s="403">
        <f>F25</f>
        <v>0</v>
      </c>
      <c r="I25" s="404">
        <f>F25</f>
        <v>0</v>
      </c>
      <c r="J25" s="406">
        <f>F25</f>
        <v>0</v>
      </c>
      <c r="K25" s="403">
        <f>F25</f>
        <v>0</v>
      </c>
      <c r="L25" s="296">
        <v>2</v>
      </c>
    </row>
    <row r="26" spans="1:13" ht="15" customHeight="1" x14ac:dyDescent="0.2">
      <c r="A26" s="11"/>
      <c r="B26" s="11"/>
      <c r="C26" s="11"/>
      <c r="D26" s="11"/>
      <c r="E26" s="12"/>
      <c r="F26" s="12"/>
      <c r="G26" s="12"/>
      <c r="H26" s="12"/>
      <c r="I26" s="10"/>
      <c r="J26" s="156"/>
      <c r="K26" s="156"/>
    </row>
    <row r="27" spans="1:13" ht="67.5" customHeight="1" x14ac:dyDescent="0.2">
      <c r="A27" s="635"/>
      <c r="B27" s="636"/>
      <c r="C27" s="636"/>
      <c r="D27" s="636"/>
      <c r="E27" s="636"/>
      <c r="F27" s="636"/>
      <c r="G27" s="636"/>
      <c r="H27" s="636"/>
      <c r="I27" s="636"/>
      <c r="J27" s="636"/>
      <c r="K27" s="636"/>
      <c r="L27" s="636"/>
    </row>
    <row r="28" spans="1:13" ht="18" x14ac:dyDescent="0.2">
      <c r="A28" s="37"/>
      <c r="B28" s="40"/>
      <c r="C28" s="73"/>
      <c r="D28" s="11"/>
      <c r="E28" s="11"/>
      <c r="F28" s="11"/>
      <c r="G28" s="11"/>
      <c r="H28" s="11"/>
      <c r="I28" s="38"/>
    </row>
    <row r="29" spans="1:13" ht="15.75" x14ac:dyDescent="0.25">
      <c r="A29" s="37"/>
      <c r="B29" s="37"/>
      <c r="C29" s="12"/>
      <c r="D29" s="74"/>
      <c r="E29" s="75"/>
      <c r="F29" s="72"/>
      <c r="G29" s="72"/>
      <c r="H29" s="72"/>
      <c r="I29" s="37"/>
    </row>
    <row r="30" spans="1:13" ht="15.75" x14ac:dyDescent="0.25">
      <c r="B30" s="37"/>
      <c r="C30" s="11"/>
      <c r="D30" s="74"/>
      <c r="E30" s="75"/>
      <c r="F30" s="72"/>
      <c r="G30" s="72"/>
      <c r="H30" s="72"/>
      <c r="I30" s="37"/>
    </row>
    <row r="31" spans="1:13" x14ac:dyDescent="0.2">
      <c r="B31" s="265"/>
      <c r="C31" s="11"/>
      <c r="D31" s="11"/>
      <c r="E31" s="11"/>
      <c r="F31" s="11"/>
      <c r="G31" s="11"/>
      <c r="H31" s="11"/>
    </row>
    <row r="32" spans="1:13" x14ac:dyDescent="0.2">
      <c r="C32" s="11"/>
      <c r="D32" s="11"/>
      <c r="E32" s="11"/>
      <c r="F32" s="11"/>
      <c r="G32" s="11"/>
      <c r="H32" s="11"/>
    </row>
  </sheetData>
  <mergeCells count="15">
    <mergeCell ref="A27:L27"/>
    <mergeCell ref="A1:K1"/>
    <mergeCell ref="A15:E15"/>
    <mergeCell ref="A9:E9"/>
    <mergeCell ref="A10:E10"/>
    <mergeCell ref="A14:E14"/>
    <mergeCell ref="A6:K6"/>
    <mergeCell ref="A11:E11"/>
    <mergeCell ref="A22:L22"/>
    <mergeCell ref="A18:L18"/>
    <mergeCell ref="D20:E20"/>
    <mergeCell ref="A2:K2"/>
    <mergeCell ref="A4:K4"/>
    <mergeCell ref="A16:E16"/>
    <mergeCell ref="D19:E19"/>
  </mergeCells>
  <phoneticPr fontId="7" type="noConversion"/>
  <pageMargins left="0.70866141732283472" right="0.70866141732283472" top="0.74803149606299213" bottom="0.74803149606299213" header="0.31496062992125984" footer="0.31496062992125984"/>
  <pageSetup paperSize="8" scale="57" fitToHeight="0" orientation="landscape" r:id="rId1"/>
  <headerFooter>
    <oddHeader>&amp;C&amp;10Anexo III - Aba
Hospedagem e Transporte&amp;R&amp;D</oddHeader>
    <oddFooter>Página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A81FA-58AD-4382-9264-1E9D0CD06C0C}">
  <sheetPr>
    <pageSetUpPr fitToPage="1"/>
  </sheetPr>
  <dimension ref="A1:M25"/>
  <sheetViews>
    <sheetView topLeftCell="A19" zoomScale="70" zoomScaleNormal="70" zoomScaleSheetLayoutView="150" workbookViewId="0">
      <selection activeCell="B26" sqref="B26"/>
    </sheetView>
  </sheetViews>
  <sheetFormatPr defaultColWidth="9" defaultRowHeight="12.75" x14ac:dyDescent="0.2"/>
  <cols>
    <col min="1" max="1" width="6.625" style="98" customWidth="1"/>
    <col min="2" max="2" width="46.625" style="98" customWidth="1"/>
    <col min="3" max="3" width="10.75" style="98" customWidth="1"/>
    <col min="4" max="5" width="14.375" style="98" customWidth="1"/>
    <col min="6" max="6" width="15.375" style="98" customWidth="1"/>
    <col min="7" max="7" width="18.125" style="98" customWidth="1"/>
    <col min="8" max="8" width="18.375" style="98" customWidth="1"/>
    <col min="9" max="9" width="16.875" style="98" customWidth="1"/>
    <col min="10" max="10" width="17" style="98" customWidth="1"/>
    <col min="11" max="11" width="16.875" style="98" customWidth="1"/>
    <col min="12" max="12" width="16.25" style="98" customWidth="1"/>
    <col min="13" max="16384" width="9" style="98"/>
  </cols>
  <sheetData>
    <row r="1" spans="1:13" ht="36" customHeight="1" x14ac:dyDescent="0.2">
      <c r="A1" s="671" t="s">
        <v>234</v>
      </c>
      <c r="B1" s="672"/>
      <c r="C1" s="672"/>
      <c r="D1" s="672"/>
      <c r="E1" s="672"/>
      <c r="F1" s="672"/>
      <c r="G1" s="672"/>
      <c r="H1" s="636"/>
      <c r="I1" s="636"/>
      <c r="J1" s="636"/>
      <c r="K1" s="636"/>
      <c r="L1" s="636"/>
    </row>
    <row r="2" spans="1:13" ht="41.25" customHeight="1" x14ac:dyDescent="0.2">
      <c r="A2" s="637" t="s">
        <v>444</v>
      </c>
      <c r="B2" s="670"/>
      <c r="C2" s="670"/>
      <c r="D2" s="670"/>
      <c r="E2" s="670"/>
      <c r="F2" s="670"/>
      <c r="G2" s="670"/>
      <c r="H2" s="636"/>
      <c r="I2" s="636"/>
      <c r="J2" s="636"/>
      <c r="K2" s="636"/>
      <c r="L2" s="636"/>
    </row>
    <row r="3" spans="1:13" ht="18.75" customHeight="1" thickBot="1" x14ac:dyDescent="0.25">
      <c r="A3" s="369"/>
      <c r="B3" s="370"/>
      <c r="C3" s="370"/>
      <c r="D3" s="370"/>
      <c r="E3" s="370"/>
      <c r="F3" s="370"/>
      <c r="G3" s="370"/>
      <c r="H3" s="372"/>
      <c r="I3" s="372"/>
      <c r="J3" s="372"/>
      <c r="K3" s="372"/>
      <c r="L3" s="372"/>
    </row>
    <row r="4" spans="1:13" ht="41.25" customHeight="1" thickBot="1" x14ac:dyDescent="0.25">
      <c r="A4" s="687" t="s">
        <v>513</v>
      </c>
      <c r="B4" s="688"/>
      <c r="C4" s="688"/>
      <c r="D4" s="688"/>
      <c r="E4" s="688"/>
      <c r="F4" s="688"/>
      <c r="G4" s="688"/>
      <c r="H4" s="688"/>
      <c r="I4" s="688"/>
      <c r="J4" s="688"/>
      <c r="K4" s="688"/>
      <c r="L4" s="689"/>
    </row>
    <row r="5" spans="1:13" x14ac:dyDescent="0.2">
      <c r="A5" s="303"/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3"/>
    </row>
    <row r="6" spans="1:13" ht="33" customHeight="1" x14ac:dyDescent="0.2">
      <c r="A6" s="664" t="s">
        <v>220</v>
      </c>
      <c r="B6" s="665"/>
      <c r="C6" s="665"/>
      <c r="D6" s="665"/>
      <c r="E6" s="665"/>
      <c r="F6" s="665"/>
      <c r="G6" s="665"/>
      <c r="H6" s="666"/>
      <c r="I6" s="666"/>
      <c r="J6" s="666"/>
      <c r="K6" s="666"/>
      <c r="L6" s="666"/>
      <c r="M6" s="374"/>
    </row>
    <row r="7" spans="1:13" ht="14.25" customHeight="1" x14ac:dyDescent="0.2">
      <c r="A7" s="667"/>
      <c r="B7" s="668"/>
      <c r="C7" s="668"/>
      <c r="D7" s="668"/>
      <c r="E7" s="668"/>
      <c r="F7" s="668"/>
      <c r="G7" s="668"/>
      <c r="H7" s="669"/>
      <c r="I7" s="669"/>
      <c r="J7" s="669"/>
      <c r="K7" s="669"/>
      <c r="L7" s="669"/>
    </row>
    <row r="8" spans="1:13" ht="13.5" customHeight="1" thickBot="1" x14ac:dyDescent="0.25">
      <c r="A8" s="302"/>
      <c r="B8" s="302"/>
      <c r="C8" s="302"/>
      <c r="D8" s="302"/>
      <c r="E8" s="302"/>
      <c r="F8" s="302"/>
      <c r="G8" s="302"/>
      <c r="H8" s="303"/>
      <c r="I8" s="303"/>
      <c r="L8" s="373"/>
    </row>
    <row r="9" spans="1:13" ht="16.5" thickBot="1" x14ac:dyDescent="0.25">
      <c r="A9" s="306"/>
      <c r="B9" s="306"/>
      <c r="C9" s="306"/>
      <c r="D9" s="303"/>
      <c r="E9" s="303"/>
      <c r="F9" s="303"/>
      <c r="G9" s="162" t="s">
        <v>207</v>
      </c>
      <c r="H9" s="166" t="s">
        <v>208</v>
      </c>
      <c r="I9" s="166" t="s">
        <v>209</v>
      </c>
      <c r="J9" s="42" t="s">
        <v>346</v>
      </c>
      <c r="K9" s="166" t="s">
        <v>353</v>
      </c>
      <c r="L9" s="42" t="s">
        <v>354</v>
      </c>
    </row>
    <row r="10" spans="1:13" ht="57" customHeight="1" thickBot="1" x14ac:dyDescent="0.25">
      <c r="A10" s="643" t="s">
        <v>472</v>
      </c>
      <c r="B10" s="674"/>
      <c r="C10" s="674"/>
      <c r="D10" s="675"/>
      <c r="E10" s="676"/>
      <c r="F10" s="677"/>
      <c r="G10" s="249">
        <f>G24</f>
        <v>0</v>
      </c>
      <c r="H10" s="249">
        <f t="shared" ref="H10:L10" si="0">H24</f>
        <v>0</v>
      </c>
      <c r="I10" s="249">
        <f t="shared" si="0"/>
        <v>0</v>
      </c>
      <c r="J10" s="249">
        <f t="shared" si="0"/>
        <v>0</v>
      </c>
      <c r="K10" s="249">
        <f t="shared" si="0"/>
        <v>0</v>
      </c>
      <c r="L10" s="158">
        <f t="shared" si="0"/>
        <v>0</v>
      </c>
    </row>
    <row r="11" spans="1:13" ht="57" customHeight="1" thickBot="1" x14ac:dyDescent="0.25">
      <c r="A11" s="678" t="s">
        <v>473</v>
      </c>
      <c r="B11" s="679"/>
      <c r="C11" s="679"/>
      <c r="D11" s="680"/>
      <c r="E11" s="681"/>
      <c r="F11" s="681"/>
      <c r="G11" s="158">
        <f>G10/12</f>
        <v>0</v>
      </c>
      <c r="H11" s="157">
        <f t="shared" ref="H11:L11" si="1">H10/12</f>
        <v>0</v>
      </c>
      <c r="I11" s="158">
        <f t="shared" si="1"/>
        <v>0</v>
      </c>
      <c r="J11" s="158">
        <f t="shared" si="1"/>
        <v>0</v>
      </c>
      <c r="K11" s="158">
        <f t="shared" si="1"/>
        <v>0</v>
      </c>
      <c r="L11" s="158">
        <f t="shared" si="1"/>
        <v>0</v>
      </c>
      <c r="M11" s="314"/>
    </row>
    <row r="12" spans="1:13" ht="70.5" customHeight="1" thickBot="1" x14ac:dyDescent="0.25">
      <c r="A12" s="682" t="s">
        <v>481</v>
      </c>
      <c r="B12" s="683"/>
      <c r="C12" s="683"/>
      <c r="D12" s="684"/>
      <c r="E12" s="685"/>
      <c r="F12" s="686"/>
      <c r="G12" s="350">
        <f>(G11+('Mão de Obra Tratador'!G119*G11+('Mão de Obra Tratador'!G129*G11))/(1-'Mão de Obra Tratador'!G120))</f>
        <v>0</v>
      </c>
      <c r="H12" s="350">
        <f>(H11+('Mão de Obra Tratador'!G119*H11+('Mão de Obra Tratador'!G129*H11))/(1-'Mão de Obra Tratador'!G120))</f>
        <v>0</v>
      </c>
      <c r="I12" s="350">
        <f>(I11+('Mão de Obra Tratador'!G119*I11+('Mão de Obra Tratador'!G129*I11))/(1-'Mão de Obra Tratador'!G120))</f>
        <v>0</v>
      </c>
      <c r="J12" s="350">
        <f>(J11+('Mão de Obra Tratador'!G119*J11+('Mão de Obra Tratador'!G129*J11))/(1-'Mão de Obra Tratador'!G120))</f>
        <v>0</v>
      </c>
      <c r="K12" s="350">
        <f>(K11+('Mão de Obra Tratador'!G119*K11+('Mão de Obra Tratador'!G129*K11))/(1-'Mão de Obra Tratador'!G120))</f>
        <v>0</v>
      </c>
      <c r="L12" s="350">
        <f>(L11+('Mão de Obra Tratador'!G119*L11+('Mão de Obra Tratador'!G129*L11))/(1-'Mão de Obra Tratador'!G120))</f>
        <v>0</v>
      </c>
    </row>
    <row r="13" spans="1:13" x14ac:dyDescent="0.2">
      <c r="A13" s="303"/>
      <c r="B13" s="303"/>
      <c r="C13" s="303"/>
      <c r="D13" s="303"/>
      <c r="E13" s="303"/>
      <c r="F13" s="303"/>
      <c r="G13" s="303"/>
      <c r="H13" s="303"/>
      <c r="I13" s="303"/>
      <c r="J13" s="303"/>
      <c r="K13" s="303"/>
      <c r="L13" s="303"/>
    </row>
    <row r="14" spans="1:13" ht="18" x14ac:dyDescent="0.2">
      <c r="A14" s="673" t="s">
        <v>480</v>
      </c>
      <c r="B14" s="673"/>
      <c r="C14" s="673"/>
      <c r="D14" s="673"/>
      <c r="E14" s="673"/>
      <c r="F14" s="673"/>
      <c r="G14" s="673"/>
      <c r="H14" s="603"/>
      <c r="I14" s="603"/>
      <c r="J14" s="603"/>
      <c r="K14" s="603"/>
      <c r="L14" s="603"/>
    </row>
    <row r="15" spans="1:13" ht="94.5" x14ac:dyDescent="0.2">
      <c r="A15" s="301" t="s">
        <v>420</v>
      </c>
      <c r="B15" s="301" t="s">
        <v>421</v>
      </c>
      <c r="C15" s="301" t="s">
        <v>422</v>
      </c>
      <c r="D15" s="301" t="s">
        <v>497</v>
      </c>
      <c r="E15" s="304" t="s">
        <v>505</v>
      </c>
      <c r="F15" s="304" t="s">
        <v>423</v>
      </c>
      <c r="G15" s="305" t="s">
        <v>490</v>
      </c>
      <c r="H15" s="305" t="s">
        <v>491</v>
      </c>
      <c r="I15" s="305" t="s">
        <v>492</v>
      </c>
      <c r="J15" s="305" t="s">
        <v>493</v>
      </c>
      <c r="K15" s="305" t="s">
        <v>494</v>
      </c>
      <c r="L15" s="305" t="s">
        <v>495</v>
      </c>
    </row>
    <row r="16" spans="1:13" ht="101.25" customHeight="1" x14ac:dyDescent="0.2">
      <c r="A16" s="225">
        <v>1</v>
      </c>
      <c r="B16" s="226" t="s">
        <v>475</v>
      </c>
      <c r="C16" s="225" t="s">
        <v>424</v>
      </c>
      <c r="D16" s="300">
        <v>4</v>
      </c>
      <c r="E16" s="358">
        <v>93.85</v>
      </c>
      <c r="F16" s="227"/>
      <c r="G16" s="399">
        <f>F16*D16</f>
        <v>0</v>
      </c>
      <c r="H16" s="399">
        <f>G16*2</f>
        <v>0</v>
      </c>
      <c r="I16" s="399">
        <f>G16*3</f>
        <v>0</v>
      </c>
      <c r="J16" s="399">
        <f>G16*4</f>
        <v>0</v>
      </c>
      <c r="K16" s="399">
        <f>J16</f>
        <v>0</v>
      </c>
      <c r="L16" s="399">
        <f>J16</f>
        <v>0</v>
      </c>
    </row>
    <row r="17" spans="1:12" ht="55.5" customHeight="1" x14ac:dyDescent="0.2">
      <c r="A17" s="225">
        <v>2</v>
      </c>
      <c r="B17" s="312" t="s">
        <v>476</v>
      </c>
      <c r="C17" s="225" t="s">
        <v>424</v>
      </c>
      <c r="D17" s="300">
        <v>3</v>
      </c>
      <c r="E17" s="358">
        <v>69.900000000000006</v>
      </c>
      <c r="F17" s="227"/>
      <c r="G17" s="399">
        <f t="shared" ref="G17:G23" si="2">F17*D17</f>
        <v>0</v>
      </c>
      <c r="H17" s="399">
        <f t="shared" ref="H17:H23" si="3">G17*2</f>
        <v>0</v>
      </c>
      <c r="I17" s="399">
        <f t="shared" ref="I17:I23" si="4">G17*3</f>
        <v>0</v>
      </c>
      <c r="J17" s="399">
        <f t="shared" ref="J17:J23" si="5">G17*4</f>
        <v>0</v>
      </c>
      <c r="K17" s="399">
        <f t="shared" ref="K17:K23" si="6">J17</f>
        <v>0</v>
      </c>
      <c r="L17" s="399">
        <f t="shared" ref="L17:L23" si="7">J17</f>
        <v>0</v>
      </c>
    </row>
    <row r="18" spans="1:12" ht="36" customHeight="1" x14ac:dyDescent="0.2">
      <c r="A18" s="225">
        <v>3</v>
      </c>
      <c r="B18" s="226" t="s">
        <v>477</v>
      </c>
      <c r="C18" s="225" t="s">
        <v>424</v>
      </c>
      <c r="D18" s="300">
        <v>2</v>
      </c>
      <c r="E18" s="358">
        <v>24.97</v>
      </c>
      <c r="F18" s="227"/>
      <c r="G18" s="399">
        <f t="shared" si="2"/>
        <v>0</v>
      </c>
      <c r="H18" s="399">
        <f t="shared" si="3"/>
        <v>0</v>
      </c>
      <c r="I18" s="399">
        <f t="shared" si="4"/>
        <v>0</v>
      </c>
      <c r="J18" s="399">
        <f t="shared" si="5"/>
        <v>0</v>
      </c>
      <c r="K18" s="399">
        <f t="shared" si="6"/>
        <v>0</v>
      </c>
      <c r="L18" s="399">
        <f t="shared" si="7"/>
        <v>0</v>
      </c>
    </row>
    <row r="19" spans="1:12" ht="56.25" customHeight="1" x14ac:dyDescent="0.2">
      <c r="A19" s="225">
        <v>4</v>
      </c>
      <c r="B19" s="226" t="s">
        <v>478</v>
      </c>
      <c r="C19" s="225" t="s">
        <v>424</v>
      </c>
      <c r="D19" s="300">
        <v>1</v>
      </c>
      <c r="E19" s="358">
        <v>47.6</v>
      </c>
      <c r="F19" s="227"/>
      <c r="G19" s="399">
        <f t="shared" si="2"/>
        <v>0</v>
      </c>
      <c r="H19" s="399">
        <f t="shared" si="3"/>
        <v>0</v>
      </c>
      <c r="I19" s="399">
        <f t="shared" si="4"/>
        <v>0</v>
      </c>
      <c r="J19" s="399">
        <f t="shared" si="5"/>
        <v>0</v>
      </c>
      <c r="K19" s="399">
        <f t="shared" si="6"/>
        <v>0</v>
      </c>
      <c r="L19" s="399">
        <f t="shared" si="7"/>
        <v>0</v>
      </c>
    </row>
    <row r="20" spans="1:12" ht="162.75" customHeight="1" x14ac:dyDescent="0.2">
      <c r="A20" s="225">
        <v>5</v>
      </c>
      <c r="B20" s="226" t="s">
        <v>526</v>
      </c>
      <c r="C20" s="225" t="s">
        <v>424</v>
      </c>
      <c r="D20" s="300">
        <v>1</v>
      </c>
      <c r="E20" s="358">
        <v>1322.05</v>
      </c>
      <c r="F20" s="227"/>
      <c r="G20" s="399">
        <f>F20*D20/5</f>
        <v>0</v>
      </c>
      <c r="H20" s="399">
        <f>G20*D20</f>
        <v>0</v>
      </c>
      <c r="I20" s="399">
        <f>G20*D20</f>
        <v>0</v>
      </c>
      <c r="J20" s="399">
        <f>F20*1/5</f>
        <v>0</v>
      </c>
      <c r="K20" s="399">
        <f t="shared" si="6"/>
        <v>0</v>
      </c>
      <c r="L20" s="399">
        <f t="shared" si="7"/>
        <v>0</v>
      </c>
    </row>
    <row r="21" spans="1:12" ht="161.25" customHeight="1" x14ac:dyDescent="0.2">
      <c r="A21" s="309">
        <v>6</v>
      </c>
      <c r="B21" s="226" t="s">
        <v>525</v>
      </c>
      <c r="C21" s="225" t="s">
        <v>424</v>
      </c>
      <c r="D21" s="300">
        <v>1</v>
      </c>
      <c r="E21" s="358">
        <v>1712.9</v>
      </c>
      <c r="F21" s="227"/>
      <c r="G21" s="399" t="s">
        <v>489</v>
      </c>
      <c r="H21" s="399">
        <f>F21*D21/5</f>
        <v>0</v>
      </c>
      <c r="I21" s="399">
        <f>H21*2</f>
        <v>0</v>
      </c>
      <c r="J21" s="399">
        <f>H21*3</f>
        <v>0</v>
      </c>
      <c r="K21" s="399">
        <f t="shared" si="6"/>
        <v>0</v>
      </c>
      <c r="L21" s="399">
        <f t="shared" si="7"/>
        <v>0</v>
      </c>
    </row>
    <row r="22" spans="1:12" ht="99.75" customHeight="1" x14ac:dyDescent="0.2">
      <c r="A22" s="197">
        <v>7</v>
      </c>
      <c r="B22" s="226" t="s">
        <v>502</v>
      </c>
      <c r="C22" s="225" t="s">
        <v>424</v>
      </c>
      <c r="D22" s="300">
        <v>2</v>
      </c>
      <c r="E22" s="358">
        <v>99.9</v>
      </c>
      <c r="F22" s="227"/>
      <c r="G22" s="399">
        <f t="shared" si="2"/>
        <v>0</v>
      </c>
      <c r="H22" s="399">
        <f t="shared" si="3"/>
        <v>0</v>
      </c>
      <c r="I22" s="399">
        <f t="shared" si="4"/>
        <v>0</v>
      </c>
      <c r="J22" s="399">
        <f t="shared" si="5"/>
        <v>0</v>
      </c>
      <c r="K22" s="399">
        <f t="shared" si="6"/>
        <v>0</v>
      </c>
      <c r="L22" s="399">
        <f t="shared" si="7"/>
        <v>0</v>
      </c>
    </row>
    <row r="23" spans="1:12" ht="58.5" customHeight="1" x14ac:dyDescent="0.2">
      <c r="A23" s="197">
        <v>8</v>
      </c>
      <c r="B23" s="313" t="s">
        <v>479</v>
      </c>
      <c r="C23" s="225" t="s">
        <v>424</v>
      </c>
      <c r="D23" s="300">
        <v>156</v>
      </c>
      <c r="E23" s="358">
        <v>9.99</v>
      </c>
      <c r="F23" s="227"/>
      <c r="G23" s="399">
        <f t="shared" si="2"/>
        <v>0</v>
      </c>
      <c r="H23" s="399">
        <f t="shared" si="3"/>
        <v>0</v>
      </c>
      <c r="I23" s="399">
        <f t="shared" si="4"/>
        <v>0</v>
      </c>
      <c r="J23" s="399">
        <f t="shared" si="5"/>
        <v>0</v>
      </c>
      <c r="K23" s="399">
        <f t="shared" si="6"/>
        <v>0</v>
      </c>
      <c r="L23" s="399">
        <f t="shared" si="7"/>
        <v>0</v>
      </c>
    </row>
    <row r="24" spans="1:12" ht="21" customHeight="1" x14ac:dyDescent="0.2">
      <c r="A24" s="311"/>
      <c r="B24" s="310"/>
      <c r="C24" s="310"/>
      <c r="D24" s="662" t="s">
        <v>474</v>
      </c>
      <c r="E24" s="662"/>
      <c r="F24" s="663"/>
      <c r="G24" s="307">
        <f t="shared" ref="G24:L24" si="8">SUM(G16:G23)</f>
        <v>0</v>
      </c>
      <c r="H24" s="228">
        <f t="shared" si="8"/>
        <v>0</v>
      </c>
      <c r="I24" s="228">
        <f t="shared" si="8"/>
        <v>0</v>
      </c>
      <c r="J24" s="228">
        <f t="shared" si="8"/>
        <v>0</v>
      </c>
      <c r="K24" s="228">
        <f t="shared" si="8"/>
        <v>0</v>
      </c>
      <c r="L24" s="228">
        <f t="shared" si="8"/>
        <v>0</v>
      </c>
    </row>
    <row r="25" spans="1:12" x14ac:dyDescent="0.2">
      <c r="B25" s="308"/>
      <c r="C25" s="308"/>
      <c r="D25" s="308"/>
      <c r="E25" s="308"/>
      <c r="G25" s="274"/>
    </row>
  </sheetData>
  <mergeCells count="9">
    <mergeCell ref="D24:F24"/>
    <mergeCell ref="A6:L7"/>
    <mergeCell ref="A2:L2"/>
    <mergeCell ref="A1:L1"/>
    <mergeCell ref="A14:L14"/>
    <mergeCell ref="A10:F10"/>
    <mergeCell ref="A11:F11"/>
    <mergeCell ref="A12:F12"/>
    <mergeCell ref="A4:L4"/>
  </mergeCells>
  <pageMargins left="0.70866141732283472" right="0.70866141732283472" top="0.74803149606299213" bottom="0.74803149606299213" header="0.31496062992125984" footer="0.31496062992125984"/>
  <pageSetup paperSize="8" scale="56" fitToHeight="0" orientation="landscape" r:id="rId1"/>
  <headerFooter>
    <oddHeader>&amp;CAnexo III - Aba
Materiais de Consumo&amp;R&amp;D</oddHeader>
    <oddFooter>Página &amp;P de &amp;N</oddFooter>
  </headerFooter>
  <ignoredErrors>
    <ignoredError sqref="I2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V117"/>
  <sheetViews>
    <sheetView showGridLines="0" tabSelected="1" view="pageBreakPreview" zoomScale="75" zoomScaleNormal="70" workbookViewId="0">
      <selection activeCell="Q8" sqref="Q8"/>
    </sheetView>
  </sheetViews>
  <sheetFormatPr defaultColWidth="8.25" defaultRowHeight="12.75" x14ac:dyDescent="0.2"/>
  <cols>
    <col min="1" max="1" width="19.125" style="16" customWidth="1"/>
    <col min="2" max="2" width="17.625" style="16" customWidth="1"/>
    <col min="3" max="3" width="8" style="16" customWidth="1"/>
    <col min="4" max="4" width="22.125" style="16" customWidth="1"/>
    <col min="5" max="5" width="9.875" style="16" customWidth="1"/>
    <col min="6" max="6" width="23" style="16" customWidth="1"/>
    <col min="7" max="7" width="11.25" style="16" customWidth="1"/>
    <col min="8" max="8" width="19.625" style="16" customWidth="1"/>
    <col min="9" max="9" width="21" style="16" customWidth="1"/>
    <col min="10" max="10" width="20.875" style="16" customWidth="1"/>
    <col min="11" max="11" width="21.125" style="16" customWidth="1"/>
    <col min="12" max="12" width="20.375" style="16" customWidth="1"/>
    <col min="13" max="13" width="28.375" style="16" customWidth="1"/>
    <col min="14" max="16384" width="8.25" style="16"/>
  </cols>
  <sheetData>
    <row r="1" spans="1:15" ht="35.25" customHeight="1" x14ac:dyDescent="0.2">
      <c r="A1" s="711" t="s">
        <v>234</v>
      </c>
      <c r="B1" s="712"/>
      <c r="C1" s="712"/>
      <c r="D1" s="712"/>
      <c r="E1" s="712"/>
      <c r="F1" s="712"/>
      <c r="G1" s="712"/>
      <c r="H1" s="712"/>
      <c r="I1" s="712"/>
      <c r="J1" s="712"/>
      <c r="K1" s="713"/>
      <c r="L1" s="713"/>
      <c r="M1" s="714"/>
      <c r="N1" s="233"/>
      <c r="O1" s="233"/>
    </row>
    <row r="2" spans="1:15" s="13" customFormat="1" ht="24.95" customHeight="1" x14ac:dyDescent="0.2">
      <c r="A2" s="671" t="s">
        <v>233</v>
      </c>
      <c r="B2" s="672"/>
      <c r="C2" s="672"/>
      <c r="D2" s="672"/>
      <c r="E2" s="672"/>
      <c r="F2" s="672"/>
      <c r="G2" s="672"/>
      <c r="H2" s="672"/>
      <c r="I2" s="672"/>
      <c r="J2" s="672"/>
      <c r="K2" s="635"/>
      <c r="L2" s="635"/>
      <c r="M2" s="715"/>
      <c r="N2" s="234"/>
      <c r="O2" s="234"/>
    </row>
    <row r="3" spans="1:15" s="13" customFormat="1" ht="45" customHeight="1" x14ac:dyDescent="0.2">
      <c r="A3" s="716" t="s">
        <v>220</v>
      </c>
      <c r="B3" s="647"/>
      <c r="C3" s="647"/>
      <c r="D3" s="647"/>
      <c r="E3" s="647"/>
      <c r="F3" s="647"/>
      <c r="G3" s="647"/>
      <c r="H3" s="647"/>
      <c r="I3" s="647"/>
      <c r="J3" s="647"/>
      <c r="K3" s="635"/>
      <c r="L3" s="635"/>
      <c r="M3" s="715"/>
      <c r="N3" s="234"/>
      <c r="O3" s="234"/>
    </row>
    <row r="4" spans="1:15" s="13" customFormat="1" ht="45" customHeight="1" thickBot="1" x14ac:dyDescent="0.25">
      <c r="A4" s="717" t="s">
        <v>425</v>
      </c>
      <c r="B4" s="718"/>
      <c r="C4" s="718"/>
      <c r="D4" s="718"/>
      <c r="E4" s="718"/>
      <c r="F4" s="718"/>
      <c r="G4" s="718"/>
      <c r="H4" s="718"/>
      <c r="I4" s="718"/>
      <c r="J4" s="718"/>
      <c r="K4" s="719"/>
      <c r="L4" s="719"/>
      <c r="M4" s="720"/>
      <c r="N4" s="234"/>
      <c r="O4" s="234"/>
    </row>
    <row r="5" spans="1:15" s="15" customFormat="1" ht="21.95" customHeight="1" x14ac:dyDescent="0.2">
      <c r="A5" s="728" t="s">
        <v>524</v>
      </c>
      <c r="B5" s="729"/>
      <c r="C5" s="729"/>
      <c r="D5" s="729"/>
      <c r="E5" s="729"/>
      <c r="F5" s="729"/>
      <c r="G5" s="729"/>
      <c r="H5" s="729"/>
      <c r="I5" s="729"/>
      <c r="J5" s="729"/>
      <c r="K5" s="713"/>
      <c r="L5" s="713"/>
      <c r="M5" s="714"/>
      <c r="N5" s="235"/>
      <c r="O5" s="235"/>
    </row>
    <row r="6" spans="1:15" s="15" customFormat="1" ht="21.95" customHeight="1" x14ac:dyDescent="0.2">
      <c r="A6" s="730" t="s">
        <v>514</v>
      </c>
      <c r="B6" s="731"/>
      <c r="C6" s="731"/>
      <c r="D6" s="731"/>
      <c r="E6" s="731"/>
      <c r="F6" s="731"/>
      <c r="G6" s="731"/>
      <c r="H6" s="731"/>
      <c r="I6" s="731"/>
      <c r="J6" s="731"/>
      <c r="K6" s="635"/>
      <c r="L6" s="635"/>
      <c r="M6" s="715"/>
      <c r="N6" s="235"/>
      <c r="O6" s="235"/>
    </row>
    <row r="7" spans="1:15" ht="21.95" customHeight="1" thickBot="1" x14ac:dyDescent="0.25">
      <c r="A7" s="743" t="s">
        <v>529</v>
      </c>
      <c r="B7" s="744"/>
      <c r="C7" s="744"/>
      <c r="D7" s="744"/>
      <c r="E7" s="744"/>
      <c r="F7" s="744"/>
      <c r="G7" s="744"/>
      <c r="H7" s="744"/>
      <c r="I7" s="744"/>
      <c r="J7" s="744"/>
      <c r="K7" s="745"/>
      <c r="L7" s="745"/>
      <c r="M7" s="746"/>
    </row>
    <row r="8" spans="1:15" ht="20.100000000000001" customHeight="1" x14ac:dyDescent="0.2">
      <c r="A8" s="732" t="s">
        <v>189</v>
      </c>
      <c r="B8" s="733"/>
      <c r="C8" s="733"/>
      <c r="D8" s="733"/>
      <c r="E8" s="733"/>
      <c r="F8" s="733"/>
      <c r="G8" s="733"/>
      <c r="H8" s="733"/>
      <c r="I8" s="733"/>
      <c r="J8" s="733"/>
      <c r="K8" s="713"/>
      <c r="L8" s="713"/>
      <c r="M8" s="714"/>
    </row>
    <row r="9" spans="1:15" s="17" customFormat="1" ht="20.100000000000001" customHeight="1" x14ac:dyDescent="0.2">
      <c r="A9" s="78" t="s">
        <v>190</v>
      </c>
      <c r="B9" s="702" t="s">
        <v>191</v>
      </c>
      <c r="C9" s="702"/>
      <c r="D9" s="702"/>
      <c r="E9" s="702"/>
      <c r="F9" s="702"/>
      <c r="G9" s="702"/>
      <c r="H9" s="703"/>
      <c r="I9" s="703"/>
      <c r="J9" s="703"/>
      <c r="K9" s="734"/>
      <c r="L9" s="735"/>
      <c r="M9" s="736"/>
    </row>
    <row r="10" spans="1:15" s="17" customFormat="1" ht="20.100000000000001" customHeight="1" x14ac:dyDescent="0.2">
      <c r="A10" s="78" t="s">
        <v>192</v>
      </c>
      <c r="B10" s="702" t="s">
        <v>193</v>
      </c>
      <c r="C10" s="702"/>
      <c r="D10" s="702"/>
      <c r="E10" s="702"/>
      <c r="F10" s="702"/>
      <c r="G10" s="702"/>
      <c r="H10" s="703"/>
      <c r="I10" s="703"/>
      <c r="J10" s="703"/>
      <c r="K10" s="726" t="s">
        <v>194</v>
      </c>
      <c r="L10" s="726"/>
      <c r="M10" s="727"/>
    </row>
    <row r="11" spans="1:15" s="17" customFormat="1" ht="20.100000000000001" customHeight="1" x14ac:dyDescent="0.2">
      <c r="A11" s="78" t="s">
        <v>202</v>
      </c>
      <c r="B11" s="702" t="s">
        <v>196</v>
      </c>
      <c r="C11" s="702"/>
      <c r="D11" s="702"/>
      <c r="E11" s="702"/>
      <c r="F11" s="702"/>
      <c r="G11" s="702"/>
      <c r="H11" s="703"/>
      <c r="I11" s="703"/>
      <c r="J11" s="703"/>
      <c r="K11" s="726">
        <v>12</v>
      </c>
      <c r="L11" s="726"/>
      <c r="M11" s="727"/>
    </row>
    <row r="12" spans="1:15" ht="20.100000000000001" customHeight="1" x14ac:dyDescent="0.2">
      <c r="A12" s="690" t="s">
        <v>197</v>
      </c>
      <c r="B12" s="691"/>
      <c r="C12" s="691"/>
      <c r="D12" s="691"/>
      <c r="E12" s="691"/>
      <c r="F12" s="691"/>
      <c r="G12" s="691"/>
      <c r="H12" s="691"/>
      <c r="I12" s="691"/>
      <c r="J12" s="691"/>
      <c r="K12" s="692"/>
      <c r="L12" s="692"/>
      <c r="M12" s="693"/>
    </row>
    <row r="13" spans="1:15" s="18" customFormat="1" ht="25.7" customHeight="1" x14ac:dyDescent="0.2">
      <c r="A13" s="694" t="s">
        <v>198</v>
      </c>
      <c r="B13" s="695"/>
      <c r="C13" s="695"/>
      <c r="D13" s="695"/>
      <c r="E13" s="695"/>
      <c r="F13" s="695"/>
      <c r="G13" s="695"/>
      <c r="H13" s="695"/>
      <c r="I13" s="695"/>
      <c r="J13" s="695"/>
      <c r="K13" s="696"/>
      <c r="L13" s="696"/>
      <c r="M13" s="697"/>
    </row>
    <row r="14" spans="1:15" s="18" customFormat="1" ht="20.100000000000001" customHeight="1" thickBot="1" x14ac:dyDescent="0.25">
      <c r="A14" s="698" t="s">
        <v>238</v>
      </c>
      <c r="B14" s="699"/>
      <c r="C14" s="699"/>
      <c r="D14" s="699"/>
      <c r="E14" s="699"/>
      <c r="F14" s="699"/>
      <c r="G14" s="699"/>
      <c r="H14" s="699"/>
      <c r="I14" s="699"/>
      <c r="J14" s="699"/>
      <c r="K14" s="700"/>
      <c r="L14" s="700"/>
      <c r="M14" s="701"/>
    </row>
    <row r="15" spans="1:15" s="18" customFormat="1" ht="15" customHeight="1" x14ac:dyDescent="0.2">
      <c r="A15" s="26"/>
      <c r="B15" s="26"/>
      <c r="C15" s="26"/>
      <c r="D15" s="26"/>
      <c r="E15" s="26"/>
      <c r="F15" s="26"/>
      <c r="G15" s="26"/>
      <c r="H15" s="26"/>
      <c r="I15" s="27"/>
      <c r="J15" s="28"/>
    </row>
    <row r="16" spans="1:15" s="18" customFormat="1" ht="18.75" customHeight="1" x14ac:dyDescent="0.2">
      <c r="A16" s="26"/>
      <c r="B16" s="26"/>
      <c r="C16" s="26"/>
      <c r="D16" s="26"/>
      <c r="E16" s="26"/>
      <c r="F16" s="26"/>
      <c r="G16" s="26"/>
      <c r="H16" s="26"/>
      <c r="I16" s="27"/>
      <c r="J16" s="28"/>
    </row>
    <row r="17" spans="1:19" s="18" customFormat="1" ht="135.75" customHeight="1" x14ac:dyDescent="0.2">
      <c r="A17" s="724" t="s">
        <v>498</v>
      </c>
      <c r="B17" s="725"/>
      <c r="C17" s="725"/>
      <c r="D17" s="725"/>
      <c r="E17" s="725"/>
      <c r="F17" s="725"/>
      <c r="G17" s="725"/>
      <c r="H17" s="725"/>
      <c r="I17" s="725"/>
      <c r="J17" s="725"/>
      <c r="K17" s="603"/>
      <c r="L17" s="603"/>
      <c r="M17" s="603"/>
    </row>
    <row r="18" spans="1:19" s="18" customFormat="1" ht="80.25" customHeight="1" x14ac:dyDescent="0.2">
      <c r="A18" s="721">
        <f>M30</f>
        <v>0</v>
      </c>
      <c r="B18" s="722"/>
      <c r="C18" s="722"/>
      <c r="D18" s="722"/>
      <c r="E18" s="722"/>
      <c r="F18" s="722"/>
      <c r="G18" s="722"/>
      <c r="H18" s="722"/>
      <c r="I18" s="722"/>
      <c r="J18" s="722"/>
      <c r="K18" s="696"/>
      <c r="L18" s="696"/>
      <c r="M18" s="723"/>
    </row>
    <row r="19" spans="1:19" s="19" customFormat="1" ht="29.25" customHeight="1" x14ac:dyDescent="0.2">
      <c r="A19" s="737"/>
      <c r="B19" s="737"/>
      <c r="C19" s="737"/>
      <c r="D19" s="737"/>
      <c r="E19" s="737"/>
      <c r="F19" s="737"/>
      <c r="G19" s="737"/>
      <c r="H19" s="737"/>
    </row>
    <row r="20" spans="1:19" s="14" customFormat="1" ht="21" customHeight="1" x14ac:dyDescent="0.2">
      <c r="A20" s="739" t="s">
        <v>199</v>
      </c>
      <c r="B20" s="740"/>
      <c r="C20" s="740"/>
      <c r="D20" s="740"/>
      <c r="E20" s="740"/>
      <c r="F20" s="740"/>
      <c r="G20" s="740"/>
      <c r="H20" s="740"/>
      <c r="I20" s="740"/>
      <c r="J20" s="740"/>
      <c r="K20" s="696"/>
      <c r="L20" s="696"/>
      <c r="M20" s="723"/>
    </row>
    <row r="21" spans="1:19" s="14" customFormat="1" ht="98.25" customHeight="1" x14ac:dyDescent="0.2">
      <c r="A21" s="77"/>
      <c r="B21" s="738" t="s">
        <v>200</v>
      </c>
      <c r="C21" s="738"/>
      <c r="D21" s="738"/>
      <c r="E21" s="738"/>
      <c r="F21" s="738"/>
      <c r="G21" s="738"/>
      <c r="H21" s="76" t="s">
        <v>438</v>
      </c>
      <c r="I21" s="76" t="s">
        <v>439</v>
      </c>
      <c r="J21" s="231" t="s">
        <v>440</v>
      </c>
      <c r="K21" s="232" t="s">
        <v>441</v>
      </c>
      <c r="L21" s="232" t="s">
        <v>442</v>
      </c>
      <c r="M21" s="229" t="s">
        <v>443</v>
      </c>
    </row>
    <row r="22" spans="1:19" s="17" customFormat="1" ht="20.100000000000001" customHeight="1" x14ac:dyDescent="0.2">
      <c r="A22" s="78" t="s">
        <v>190</v>
      </c>
      <c r="B22" s="710" t="s">
        <v>343</v>
      </c>
      <c r="C22" s="710"/>
      <c r="D22" s="710"/>
      <c r="E22" s="710"/>
      <c r="F22" s="710"/>
      <c r="G22" s="710"/>
      <c r="H22" s="237">
        <f>'Mão de Obra Tratador'!H139</f>
        <v>0</v>
      </c>
      <c r="I22" s="237">
        <f>'Mão de Obra Tratador'!H139</f>
        <v>0</v>
      </c>
      <c r="J22" s="252">
        <f>'Mão de Obra Tratador'!H139</f>
        <v>0</v>
      </c>
      <c r="K22" s="253">
        <f>'Mão de Obra Tratador'!H139</f>
        <v>0</v>
      </c>
      <c r="L22" s="254">
        <f>'Mão de Obra Tratador'!H139</f>
        <v>0</v>
      </c>
      <c r="M22" s="230">
        <f>'Mão de Obra Tratador'!H139</f>
        <v>0</v>
      </c>
    </row>
    <row r="23" spans="1:19" s="17" customFormat="1" ht="20.100000000000001" customHeight="1" x14ac:dyDescent="0.2">
      <c r="A23" s="77" t="s">
        <v>192</v>
      </c>
      <c r="B23" s="710" t="s">
        <v>227</v>
      </c>
      <c r="C23" s="710"/>
      <c r="D23" s="710"/>
      <c r="E23" s="710"/>
      <c r="F23" s="710"/>
      <c r="G23" s="710"/>
      <c r="H23" s="237">
        <f>'Procedimentos e Ração'!D12</f>
        <v>0</v>
      </c>
      <c r="I23" s="237">
        <f>'Procedimentos e Ração'!E12</f>
        <v>0</v>
      </c>
      <c r="J23" s="252">
        <f>'Procedimentos e Ração'!F12</f>
        <v>0</v>
      </c>
      <c r="K23" s="253">
        <f>'Procedimentos e Ração'!G12</f>
        <v>0</v>
      </c>
      <c r="L23" s="254">
        <f>'Procedimentos e Ração'!H12</f>
        <v>0</v>
      </c>
      <c r="M23" s="230">
        <f>'Procedimentos e Ração'!I12</f>
        <v>0</v>
      </c>
    </row>
    <row r="24" spans="1:19" s="17" customFormat="1" ht="20.100000000000001" customHeight="1" x14ac:dyDescent="0.2">
      <c r="A24" s="77" t="s">
        <v>202</v>
      </c>
      <c r="B24" s="710" t="s">
        <v>222</v>
      </c>
      <c r="C24" s="710"/>
      <c r="D24" s="710"/>
      <c r="E24" s="710"/>
      <c r="F24" s="710"/>
      <c r="G24" s="710"/>
      <c r="H24" s="237">
        <f>'Procedimentos e Ração'!D17</f>
        <v>0</v>
      </c>
      <c r="I24" s="237">
        <f>'Procedimentos e Ração'!E17</f>
        <v>0</v>
      </c>
      <c r="J24" s="252">
        <f>'Procedimentos e Ração'!F17</f>
        <v>0</v>
      </c>
      <c r="K24" s="253">
        <f>'Procedimentos e Ração'!G17</f>
        <v>0</v>
      </c>
      <c r="L24" s="254">
        <f>'Procedimentos e Ração'!H17</f>
        <v>0</v>
      </c>
      <c r="M24" s="230">
        <f>'Procedimentos e Ração'!I17</f>
        <v>0</v>
      </c>
    </row>
    <row r="25" spans="1:19" s="17" customFormat="1" ht="20.100000000000001" customHeight="1" x14ac:dyDescent="0.2">
      <c r="A25" s="77" t="s">
        <v>195</v>
      </c>
      <c r="B25" s="741" t="s">
        <v>471</v>
      </c>
      <c r="C25" s="499"/>
      <c r="D25" s="499"/>
      <c r="E25" s="499"/>
      <c r="F25" s="499"/>
      <c r="G25" s="742"/>
      <c r="H25" s="237">
        <f>'Procedimentos e Ração'!D22</f>
        <v>0</v>
      </c>
      <c r="I25" s="237">
        <f>'Procedimentos e Ração'!E22</f>
        <v>0</v>
      </c>
      <c r="J25" s="252">
        <f>'Procedimentos e Ração'!F22</f>
        <v>0</v>
      </c>
      <c r="K25" s="253">
        <f>'Procedimentos e Ração'!G22</f>
        <v>0</v>
      </c>
      <c r="L25" s="254">
        <f>'Procedimentos e Ração'!H22</f>
        <v>0</v>
      </c>
      <c r="M25" s="230">
        <f>'Procedimentos e Ração'!I22</f>
        <v>0</v>
      </c>
    </row>
    <row r="26" spans="1:19" s="17" customFormat="1" ht="20.100000000000001" customHeight="1" x14ac:dyDescent="0.2">
      <c r="A26" s="173" t="s">
        <v>226</v>
      </c>
      <c r="B26" s="710" t="s">
        <v>201</v>
      </c>
      <c r="C26" s="710"/>
      <c r="D26" s="710"/>
      <c r="E26" s="710"/>
      <c r="F26" s="710"/>
      <c r="G26" s="710"/>
      <c r="H26" s="237">
        <f>'Hospedagem e Transporte'!F11</f>
        <v>0</v>
      </c>
      <c r="I26" s="237">
        <f>'Hospedagem e Transporte'!G11</f>
        <v>0</v>
      </c>
      <c r="J26" s="252">
        <f>'Hospedagem e Transporte'!H11</f>
        <v>0</v>
      </c>
      <c r="K26" s="253">
        <f>'Hospedagem e Transporte'!I11</f>
        <v>0</v>
      </c>
      <c r="L26" s="254">
        <f>'Hospedagem e Transporte'!J11</f>
        <v>0</v>
      </c>
      <c r="M26" s="230">
        <f>'Hospedagem e Transporte'!K11</f>
        <v>0</v>
      </c>
    </row>
    <row r="27" spans="1:19" s="17" customFormat="1" ht="20.100000000000001" customHeight="1" x14ac:dyDescent="0.2">
      <c r="A27" s="77" t="s">
        <v>261</v>
      </c>
      <c r="B27" s="710" t="s">
        <v>212</v>
      </c>
      <c r="C27" s="710"/>
      <c r="D27" s="710"/>
      <c r="E27" s="710"/>
      <c r="F27" s="710"/>
      <c r="G27" s="710"/>
      <c r="H27" s="237">
        <f>'Hospedagem e Transporte'!F16</f>
        <v>0</v>
      </c>
      <c r="I27" s="237">
        <f>'Hospedagem e Transporte'!G16</f>
        <v>0</v>
      </c>
      <c r="J27" s="252">
        <f>'Hospedagem e Transporte'!H16</f>
        <v>0</v>
      </c>
      <c r="K27" s="253">
        <f>'Hospedagem e Transporte'!I16</f>
        <v>0</v>
      </c>
      <c r="L27" s="254">
        <f>'Hospedagem e Transporte'!J16</f>
        <v>0</v>
      </c>
      <c r="M27" s="230">
        <f>'Hospedagem e Transporte'!K16</f>
        <v>0</v>
      </c>
    </row>
    <row r="28" spans="1:19" s="17" customFormat="1" ht="20.100000000000001" customHeight="1" x14ac:dyDescent="0.2">
      <c r="A28" s="290" t="s">
        <v>262</v>
      </c>
      <c r="B28" s="710" t="s">
        <v>445</v>
      </c>
      <c r="C28" s="710"/>
      <c r="D28" s="710"/>
      <c r="E28" s="710"/>
      <c r="F28" s="710"/>
      <c r="G28" s="710"/>
      <c r="H28" s="237">
        <f>Materiais!G12</f>
        <v>0</v>
      </c>
      <c r="I28" s="237">
        <f>Materiais!H12</f>
        <v>0</v>
      </c>
      <c r="J28" s="252">
        <f>Materiais!I12</f>
        <v>0</v>
      </c>
      <c r="K28" s="253">
        <f>Materiais!J12</f>
        <v>0</v>
      </c>
      <c r="L28" s="254">
        <f>Materiais!K12</f>
        <v>0</v>
      </c>
      <c r="M28" s="230">
        <f>Materiais!L12</f>
        <v>0</v>
      </c>
    </row>
    <row r="29" spans="1:19" s="17" customFormat="1" ht="24" customHeight="1" thickBot="1" x14ac:dyDescent="0.25">
      <c r="A29" s="707" t="s">
        <v>203</v>
      </c>
      <c r="B29" s="708"/>
      <c r="C29" s="708"/>
      <c r="D29" s="708"/>
      <c r="E29" s="708"/>
      <c r="F29" s="708"/>
      <c r="G29" s="709"/>
      <c r="H29" s="351">
        <f t="shared" ref="H29:M29" si="0">SUM(H22:H28)</f>
        <v>0</v>
      </c>
      <c r="I29" s="351">
        <f t="shared" si="0"/>
        <v>0</v>
      </c>
      <c r="J29" s="352">
        <f t="shared" si="0"/>
        <v>0</v>
      </c>
      <c r="K29" s="353">
        <f t="shared" si="0"/>
        <v>0</v>
      </c>
      <c r="L29" s="354">
        <f t="shared" si="0"/>
        <v>0</v>
      </c>
      <c r="M29" s="355">
        <f t="shared" si="0"/>
        <v>0</v>
      </c>
    </row>
    <row r="30" spans="1:19" s="14" customFormat="1" ht="23.25" customHeight="1" thickBot="1" x14ac:dyDescent="0.25">
      <c r="A30" s="704" t="s">
        <v>239</v>
      </c>
      <c r="B30" s="705"/>
      <c r="C30" s="705"/>
      <c r="D30" s="705"/>
      <c r="E30" s="705"/>
      <c r="F30" s="705"/>
      <c r="G30" s="706"/>
      <c r="H30" s="70">
        <f t="shared" ref="H30:M30" si="1">H29*12</f>
        <v>0</v>
      </c>
      <c r="I30" s="70">
        <f t="shared" si="1"/>
        <v>0</v>
      </c>
      <c r="J30" s="70">
        <f t="shared" si="1"/>
        <v>0</v>
      </c>
      <c r="K30" s="70">
        <f t="shared" si="1"/>
        <v>0</v>
      </c>
      <c r="L30" s="357">
        <f t="shared" si="1"/>
        <v>0</v>
      </c>
      <c r="M30" s="356">
        <f t="shared" si="1"/>
        <v>0</v>
      </c>
      <c r="O30"/>
      <c r="P30"/>
      <c r="Q30"/>
      <c r="R30"/>
      <c r="S30"/>
    </row>
    <row r="31" spans="1:19" s="14" customFormat="1" ht="14.25" x14ac:dyDescent="0.2">
      <c r="A31"/>
      <c r="B31"/>
      <c r="C31"/>
      <c r="D31"/>
      <c r="E31"/>
      <c r="F31"/>
      <c r="G31"/>
      <c r="H31" s="35"/>
      <c r="I31" s="35"/>
      <c r="J31" s="35"/>
      <c r="O31"/>
      <c r="P31"/>
      <c r="Q31"/>
      <c r="R31"/>
      <c r="S31"/>
    </row>
    <row r="32" spans="1:19" s="14" customFormat="1" ht="44.25" customHeight="1" x14ac:dyDescent="0.2"/>
    <row r="33" spans="1:9" s="14" customFormat="1" ht="104.25" customHeight="1" x14ac:dyDescent="0.2"/>
    <row r="34" spans="1:9" s="14" customFormat="1" ht="20.100000000000001" customHeight="1" x14ac:dyDescent="0.2">
      <c r="A34" s="30"/>
      <c r="B34" s="30"/>
      <c r="C34" s="30"/>
      <c r="D34" s="30"/>
      <c r="E34" s="30"/>
      <c r="F34" s="30"/>
      <c r="G34" s="30"/>
      <c r="I34" s="29"/>
    </row>
    <row r="35" spans="1:9" s="14" customFormat="1" ht="15" customHeight="1" x14ac:dyDescent="0.2">
      <c r="A35" s="16"/>
      <c r="B35" s="16"/>
      <c r="C35" s="16"/>
      <c r="D35" s="16"/>
      <c r="E35" s="16"/>
      <c r="F35" s="16"/>
      <c r="G35" s="16"/>
      <c r="H35" s="16"/>
    </row>
    <row r="36" spans="1:9" s="14" customFormat="1" ht="15" customHeight="1" x14ac:dyDescent="0.2">
      <c r="A36" s="16"/>
      <c r="B36" s="16"/>
      <c r="C36" s="16"/>
      <c r="D36" s="16"/>
      <c r="E36" s="16"/>
      <c r="F36" s="16"/>
      <c r="G36" s="16"/>
      <c r="H36" s="16"/>
    </row>
    <row r="37" spans="1:9" s="14" customFormat="1" ht="15" customHeight="1" x14ac:dyDescent="0.2">
      <c r="A37" s="16"/>
      <c r="B37" s="16"/>
      <c r="C37" s="16"/>
      <c r="D37" s="16"/>
      <c r="E37" s="16"/>
      <c r="F37" s="16"/>
      <c r="G37" s="16"/>
      <c r="H37" s="16"/>
    </row>
    <row r="38" spans="1:9" s="20" customFormat="1" ht="17.45" customHeight="1" x14ac:dyDescent="0.2">
      <c r="A38" s="16"/>
      <c r="B38" s="16"/>
      <c r="C38" s="16"/>
      <c r="D38" s="16"/>
      <c r="E38" s="16"/>
      <c r="F38" s="16"/>
      <c r="G38" s="16"/>
      <c r="H38" s="16"/>
    </row>
    <row r="39" spans="1:9" s="14" customFormat="1" ht="20.100000000000001" customHeight="1" x14ac:dyDescent="0.2">
      <c r="A39" s="16"/>
      <c r="B39" s="16"/>
      <c r="C39" s="16"/>
      <c r="D39" s="16"/>
      <c r="E39" s="16"/>
      <c r="F39" s="16"/>
      <c r="G39" s="16"/>
      <c r="H39" s="16"/>
    </row>
    <row r="40" spans="1:9" s="14" customFormat="1" ht="20.100000000000001" customHeight="1" x14ac:dyDescent="0.2">
      <c r="A40" s="16"/>
      <c r="B40" s="16"/>
      <c r="C40" s="16"/>
      <c r="D40" s="16"/>
      <c r="E40" s="16"/>
      <c r="F40" s="16"/>
      <c r="G40" s="16"/>
      <c r="H40" s="16"/>
    </row>
    <row r="41" spans="1:9" s="14" customFormat="1" ht="20.100000000000001" customHeight="1" x14ac:dyDescent="0.2">
      <c r="A41" s="16"/>
      <c r="B41" s="16"/>
      <c r="C41" s="16"/>
      <c r="D41" s="16"/>
      <c r="E41" s="16"/>
      <c r="F41" s="16"/>
      <c r="G41" s="16"/>
      <c r="H41" s="16"/>
    </row>
    <row r="42" spans="1:9" ht="20.100000000000001" customHeight="1" x14ac:dyDescent="0.2"/>
    <row r="43" spans="1:9" s="14" customFormat="1" ht="20.100000000000001" customHeight="1" x14ac:dyDescent="0.2">
      <c r="A43" s="16"/>
      <c r="B43" s="16"/>
      <c r="C43" s="16"/>
      <c r="D43" s="16"/>
      <c r="E43" s="16"/>
      <c r="F43" s="16"/>
      <c r="G43" s="16"/>
      <c r="H43" s="16"/>
    </row>
    <row r="44" spans="1:9" s="14" customFormat="1" ht="20.100000000000001" customHeight="1" x14ac:dyDescent="0.2">
      <c r="A44" s="16"/>
      <c r="B44" s="16"/>
      <c r="C44" s="16"/>
      <c r="D44" s="16"/>
      <c r="E44" s="16"/>
      <c r="F44" s="16"/>
      <c r="G44" s="16"/>
      <c r="H44" s="16"/>
    </row>
    <row r="45" spans="1:9" s="14" customFormat="1" ht="12" customHeight="1" x14ac:dyDescent="0.2">
      <c r="A45" s="16"/>
      <c r="B45" s="16"/>
      <c r="C45" s="16"/>
      <c r="D45" s="16"/>
      <c r="E45" s="16"/>
      <c r="F45" s="16"/>
      <c r="G45" s="16"/>
      <c r="H45" s="16"/>
    </row>
    <row r="46" spans="1:9" s="14" customFormat="1" ht="24.6" customHeight="1" x14ac:dyDescent="0.2">
      <c r="A46" s="16"/>
      <c r="B46" s="16"/>
      <c r="C46" s="16"/>
      <c r="D46" s="16"/>
      <c r="E46" s="16"/>
      <c r="F46" s="16"/>
      <c r="G46" s="16"/>
      <c r="H46" s="16"/>
    </row>
    <row r="47" spans="1:9" s="14" customFormat="1" ht="16.149999999999999" customHeight="1" x14ac:dyDescent="0.2">
      <c r="A47" s="16"/>
      <c r="B47" s="16"/>
      <c r="C47" s="16"/>
      <c r="D47" s="16"/>
      <c r="E47" s="16"/>
      <c r="F47" s="16"/>
      <c r="G47" s="16"/>
      <c r="H47" s="16"/>
    </row>
    <row r="48" spans="1:9" s="14" customFormat="1" ht="16.149999999999999" customHeight="1" x14ac:dyDescent="0.2">
      <c r="A48" s="16"/>
      <c r="B48" s="16"/>
      <c r="C48" s="16"/>
      <c r="D48" s="16"/>
      <c r="E48" s="16"/>
      <c r="F48" s="16"/>
      <c r="G48" s="16"/>
      <c r="H48" s="16"/>
    </row>
    <row r="49" spans="1:8" s="14" customFormat="1" ht="20.100000000000001" customHeight="1" x14ac:dyDescent="0.2">
      <c r="A49" s="16"/>
      <c r="B49" s="16"/>
      <c r="C49" s="16"/>
      <c r="D49" s="16"/>
      <c r="E49" s="16"/>
      <c r="F49" s="16"/>
      <c r="G49" s="16"/>
      <c r="H49" s="16"/>
    </row>
    <row r="50" spans="1:8" s="14" customFormat="1" ht="20.100000000000001" customHeight="1" x14ac:dyDescent="0.2">
      <c r="A50" s="16"/>
      <c r="B50" s="16"/>
      <c r="C50" s="16"/>
      <c r="D50" s="16"/>
      <c r="E50" s="16"/>
      <c r="F50" s="16"/>
      <c r="G50" s="16"/>
      <c r="H50" s="16"/>
    </row>
    <row r="51" spans="1:8" s="14" customFormat="1" ht="20.100000000000001" customHeight="1" x14ac:dyDescent="0.2">
      <c r="A51" s="16"/>
      <c r="B51" s="16"/>
      <c r="C51" s="16"/>
      <c r="D51" s="16"/>
      <c r="E51" s="16"/>
      <c r="F51" s="16"/>
      <c r="G51" s="16"/>
      <c r="H51" s="16"/>
    </row>
    <row r="52" spans="1:8" s="14" customFormat="1" ht="20.100000000000001" customHeight="1" x14ac:dyDescent="0.2">
      <c r="A52" s="16"/>
      <c r="B52" s="16"/>
      <c r="C52" s="16"/>
      <c r="D52" s="16"/>
      <c r="E52" s="16"/>
      <c r="F52" s="16"/>
      <c r="G52" s="16"/>
      <c r="H52" s="16"/>
    </row>
    <row r="53" spans="1:8" s="14" customFormat="1" ht="20.100000000000001" customHeight="1" x14ac:dyDescent="0.2">
      <c r="A53" s="16"/>
      <c r="B53" s="16"/>
      <c r="C53" s="16"/>
      <c r="D53" s="16"/>
      <c r="E53" s="16"/>
      <c r="F53" s="16"/>
      <c r="G53" s="16"/>
      <c r="H53" s="16"/>
    </row>
    <row r="54" spans="1:8" s="14" customFormat="1" ht="20.100000000000001" customHeight="1" x14ac:dyDescent="0.2">
      <c r="A54" s="16"/>
      <c r="B54" s="16"/>
      <c r="C54" s="16"/>
      <c r="D54" s="16"/>
      <c r="E54" s="16"/>
      <c r="F54" s="16"/>
      <c r="G54" s="16"/>
      <c r="H54" s="16"/>
    </row>
    <row r="55" spans="1:8" s="14" customFormat="1" x14ac:dyDescent="0.2">
      <c r="A55" s="16"/>
      <c r="B55" s="16"/>
      <c r="C55" s="16"/>
      <c r="D55" s="16"/>
      <c r="E55" s="16"/>
      <c r="F55" s="16"/>
      <c r="G55" s="16"/>
      <c r="H55" s="16"/>
    </row>
    <row r="56" spans="1:8" ht="20.100000000000001" customHeight="1" x14ac:dyDescent="0.2"/>
    <row r="57" spans="1:8" s="14" customFormat="1" ht="20.100000000000001" customHeight="1" x14ac:dyDescent="0.2">
      <c r="A57" s="16"/>
      <c r="B57" s="16"/>
      <c r="C57" s="16"/>
      <c r="D57" s="16"/>
      <c r="E57" s="16"/>
      <c r="F57" s="16"/>
      <c r="G57" s="16"/>
      <c r="H57" s="16"/>
    </row>
    <row r="58" spans="1:8" s="14" customFormat="1" ht="20.100000000000001" customHeight="1" x14ac:dyDescent="0.2">
      <c r="A58" s="16"/>
      <c r="B58" s="16"/>
      <c r="C58" s="16"/>
      <c r="D58" s="16"/>
      <c r="E58" s="16"/>
      <c r="F58" s="16"/>
      <c r="G58" s="16"/>
      <c r="H58" s="16"/>
    </row>
    <row r="59" spans="1:8" s="14" customFormat="1" ht="20.100000000000001" customHeight="1" x14ac:dyDescent="0.2">
      <c r="A59" s="16"/>
      <c r="B59" s="16"/>
      <c r="C59" s="16"/>
      <c r="D59" s="16"/>
      <c r="E59" s="16"/>
      <c r="F59" s="16"/>
      <c r="G59" s="16"/>
      <c r="H59" s="16"/>
    </row>
    <row r="60" spans="1:8" s="14" customFormat="1" ht="20.100000000000001" customHeight="1" x14ac:dyDescent="0.2">
      <c r="A60" s="16"/>
      <c r="B60" s="16"/>
      <c r="C60" s="16"/>
      <c r="D60" s="16"/>
      <c r="E60" s="16"/>
      <c r="F60" s="16"/>
      <c r="G60" s="16"/>
      <c r="H60" s="16"/>
    </row>
    <row r="61" spans="1:8" s="14" customFormat="1" x14ac:dyDescent="0.2">
      <c r="A61" s="16"/>
      <c r="B61" s="16"/>
      <c r="C61" s="16"/>
      <c r="D61" s="16"/>
      <c r="E61" s="16"/>
      <c r="F61" s="16"/>
      <c r="G61" s="16"/>
      <c r="H61" s="16"/>
    </row>
    <row r="62" spans="1:8" s="14" customFormat="1" ht="28.15" customHeight="1" x14ac:dyDescent="0.2">
      <c r="A62" s="16"/>
      <c r="B62" s="16"/>
      <c r="C62" s="16"/>
      <c r="D62" s="16"/>
      <c r="E62" s="16"/>
      <c r="F62" s="16"/>
      <c r="G62" s="16"/>
      <c r="H62" s="16"/>
    </row>
    <row r="63" spans="1:8" s="14" customFormat="1" ht="22.15" customHeight="1" x14ac:dyDescent="0.2">
      <c r="A63" s="16"/>
      <c r="B63" s="16"/>
      <c r="C63" s="16"/>
      <c r="D63" s="16"/>
      <c r="E63" s="16"/>
      <c r="F63" s="16"/>
      <c r="G63" s="16"/>
      <c r="H63" s="16"/>
    </row>
    <row r="64" spans="1:8" s="14" customFormat="1" ht="20.45" customHeight="1" x14ac:dyDescent="0.2">
      <c r="A64" s="16"/>
      <c r="B64" s="16"/>
      <c r="C64" s="16"/>
      <c r="D64" s="16"/>
      <c r="E64" s="16"/>
      <c r="F64" s="16"/>
      <c r="G64" s="16"/>
      <c r="H64" s="16"/>
    </row>
    <row r="65" spans="1:8" s="14" customFormat="1" ht="18.600000000000001" customHeight="1" x14ac:dyDescent="0.2">
      <c r="A65" s="16"/>
      <c r="B65" s="16"/>
      <c r="C65" s="16"/>
      <c r="D65" s="16"/>
      <c r="E65" s="16"/>
      <c r="F65" s="16"/>
      <c r="G65" s="16"/>
      <c r="H65" s="16"/>
    </row>
    <row r="66" spans="1:8" s="14" customFormat="1" ht="28.15" customHeight="1" x14ac:dyDescent="0.2">
      <c r="A66" s="16"/>
      <c r="B66" s="16"/>
      <c r="C66" s="16"/>
      <c r="D66" s="16"/>
      <c r="E66" s="16"/>
      <c r="F66" s="16"/>
      <c r="G66" s="16"/>
      <c r="H66" s="16"/>
    </row>
    <row r="67" spans="1:8" s="14" customFormat="1" x14ac:dyDescent="0.2">
      <c r="A67" s="16"/>
      <c r="B67" s="16"/>
      <c r="C67" s="16"/>
      <c r="D67" s="16"/>
      <c r="E67" s="16"/>
      <c r="F67" s="16"/>
      <c r="G67" s="16"/>
      <c r="H67" s="16"/>
    </row>
    <row r="68" spans="1:8" s="14" customFormat="1" x14ac:dyDescent="0.2">
      <c r="A68" s="16"/>
      <c r="B68" s="16"/>
      <c r="C68" s="16"/>
      <c r="D68" s="16"/>
      <c r="E68" s="16"/>
      <c r="F68" s="16"/>
      <c r="G68" s="16"/>
      <c r="H68" s="16"/>
    </row>
    <row r="69" spans="1:8" s="14" customFormat="1" x14ac:dyDescent="0.2">
      <c r="A69" s="16"/>
      <c r="B69" s="16"/>
      <c r="C69" s="16"/>
      <c r="D69" s="16"/>
      <c r="E69" s="16"/>
      <c r="F69" s="16"/>
      <c r="G69" s="16"/>
      <c r="H69" s="16"/>
    </row>
    <row r="70" spans="1:8" s="14" customFormat="1" x14ac:dyDescent="0.2">
      <c r="A70" s="16"/>
      <c r="B70" s="16"/>
      <c r="C70" s="16"/>
      <c r="D70" s="16"/>
      <c r="E70" s="16"/>
      <c r="F70" s="16"/>
      <c r="G70" s="16"/>
      <c r="H70" s="16"/>
    </row>
    <row r="71" spans="1:8" s="14" customFormat="1" x14ac:dyDescent="0.2">
      <c r="A71" s="16"/>
      <c r="B71" s="16"/>
      <c r="C71" s="16"/>
      <c r="D71" s="16"/>
      <c r="E71" s="16"/>
      <c r="F71" s="16"/>
      <c r="G71" s="16"/>
      <c r="H71" s="16"/>
    </row>
    <row r="72" spans="1:8" s="14" customFormat="1" x14ac:dyDescent="0.2">
      <c r="A72" s="16"/>
      <c r="B72" s="16"/>
      <c r="C72" s="16"/>
      <c r="D72" s="16"/>
      <c r="E72" s="16"/>
      <c r="F72" s="16"/>
      <c r="G72" s="16"/>
      <c r="H72" s="16"/>
    </row>
    <row r="73" spans="1:8" s="14" customFormat="1" x14ac:dyDescent="0.2">
      <c r="A73" s="16"/>
      <c r="B73" s="16"/>
      <c r="C73" s="16"/>
      <c r="D73" s="16"/>
      <c r="E73" s="16"/>
      <c r="F73" s="16"/>
      <c r="G73" s="16"/>
      <c r="H73" s="16"/>
    </row>
    <row r="74" spans="1:8" s="14" customFormat="1" ht="28.15" customHeight="1" x14ac:dyDescent="0.2">
      <c r="A74" s="16"/>
      <c r="B74" s="16"/>
      <c r="C74" s="16"/>
      <c r="D74" s="16"/>
      <c r="E74" s="16"/>
      <c r="F74" s="16"/>
      <c r="G74" s="16"/>
      <c r="H74" s="16"/>
    </row>
    <row r="75" spans="1:8" s="14" customFormat="1" ht="28.15" customHeight="1" x14ac:dyDescent="0.2">
      <c r="A75" s="16"/>
      <c r="B75" s="16"/>
      <c r="C75" s="16"/>
      <c r="D75" s="16"/>
      <c r="E75" s="16"/>
      <c r="F75" s="16"/>
      <c r="G75" s="16"/>
      <c r="H75" s="16"/>
    </row>
    <row r="76" spans="1:8" s="14" customFormat="1" x14ac:dyDescent="0.2">
      <c r="A76" s="16"/>
      <c r="B76" s="16"/>
      <c r="C76" s="16"/>
      <c r="D76" s="16"/>
      <c r="E76" s="16"/>
      <c r="F76" s="16"/>
      <c r="G76" s="16"/>
      <c r="H76" s="16"/>
    </row>
    <row r="77" spans="1:8" s="14" customFormat="1" ht="26.1" customHeight="1" x14ac:dyDescent="0.2">
      <c r="A77" s="16"/>
      <c r="B77" s="16"/>
      <c r="C77" s="16"/>
      <c r="D77" s="16"/>
      <c r="E77" s="16"/>
      <c r="F77" s="16"/>
      <c r="G77" s="16"/>
      <c r="H77" s="16"/>
    </row>
    <row r="78" spans="1:8" s="14" customFormat="1" ht="20.100000000000001" customHeight="1" x14ac:dyDescent="0.2">
      <c r="A78" s="16"/>
      <c r="B78" s="16"/>
      <c r="C78" s="16"/>
      <c r="D78" s="16"/>
      <c r="E78" s="16"/>
      <c r="F78" s="16"/>
      <c r="G78" s="16"/>
      <c r="H78" s="16"/>
    </row>
    <row r="79" spans="1:8" s="14" customFormat="1" ht="20.100000000000001" customHeight="1" x14ac:dyDescent="0.2">
      <c r="A79" s="16"/>
      <c r="B79" s="16"/>
      <c r="C79" s="16"/>
      <c r="D79" s="16"/>
      <c r="E79" s="16"/>
      <c r="F79" s="16"/>
      <c r="G79" s="16"/>
      <c r="H79" s="16"/>
    </row>
    <row r="80" spans="1:8" s="14" customFormat="1" ht="20.100000000000001" customHeight="1" x14ac:dyDescent="0.2">
      <c r="A80" s="16"/>
      <c r="B80" s="16"/>
      <c r="C80" s="16"/>
      <c r="D80" s="16"/>
      <c r="E80" s="16"/>
      <c r="F80" s="16"/>
      <c r="G80" s="16"/>
      <c r="H80" s="16"/>
    </row>
    <row r="81" spans="1:8" s="14" customFormat="1" ht="20.100000000000001" customHeight="1" x14ac:dyDescent="0.2">
      <c r="A81" s="16"/>
      <c r="B81" s="16"/>
      <c r="C81" s="16"/>
      <c r="D81" s="16"/>
      <c r="E81" s="16"/>
      <c r="F81" s="16"/>
      <c r="G81" s="16"/>
      <c r="H81" s="16"/>
    </row>
    <row r="82" spans="1:8" s="14" customFormat="1" ht="15" customHeight="1" x14ac:dyDescent="0.2">
      <c r="A82" s="16"/>
      <c r="B82" s="16"/>
      <c r="C82" s="16"/>
      <c r="D82" s="16"/>
      <c r="E82" s="16"/>
      <c r="F82" s="16"/>
      <c r="G82" s="16"/>
      <c r="H82" s="16"/>
    </row>
    <row r="83" spans="1:8" s="14" customFormat="1" ht="15" customHeight="1" x14ac:dyDescent="0.2">
      <c r="A83" s="16"/>
      <c r="B83" s="16"/>
      <c r="C83" s="16"/>
      <c r="D83" s="16"/>
      <c r="E83" s="16"/>
      <c r="F83" s="16"/>
      <c r="G83" s="16"/>
      <c r="H83" s="16"/>
    </row>
    <row r="84" spans="1:8" s="14" customFormat="1" ht="19.5" customHeight="1" x14ac:dyDescent="0.2">
      <c r="A84" s="16"/>
      <c r="B84" s="16"/>
      <c r="C84" s="16"/>
      <c r="D84" s="16"/>
      <c r="E84" s="16"/>
      <c r="F84" s="16"/>
      <c r="G84" s="16"/>
      <c r="H84" s="16"/>
    </row>
    <row r="85" spans="1:8" s="14" customFormat="1" ht="18.600000000000001" customHeight="1" x14ac:dyDescent="0.2">
      <c r="A85" s="16"/>
      <c r="B85" s="16"/>
      <c r="C85" s="16"/>
      <c r="D85" s="16"/>
      <c r="E85" s="16"/>
      <c r="F85" s="16"/>
      <c r="G85" s="16"/>
      <c r="H85" s="16"/>
    </row>
    <row r="86" spans="1:8" s="14" customFormat="1" ht="18.600000000000001" customHeight="1" x14ac:dyDescent="0.2">
      <c r="A86" s="16"/>
      <c r="B86" s="16"/>
      <c r="C86" s="16"/>
      <c r="D86" s="16"/>
      <c r="E86" s="16"/>
      <c r="F86" s="16"/>
      <c r="G86" s="16"/>
      <c r="H86" s="16"/>
    </row>
    <row r="87" spans="1:8" s="14" customFormat="1" ht="18.600000000000001" customHeight="1" x14ac:dyDescent="0.2">
      <c r="A87" s="16"/>
      <c r="B87" s="16"/>
      <c r="C87" s="16"/>
      <c r="D87" s="16"/>
      <c r="E87" s="16"/>
      <c r="F87" s="16"/>
      <c r="G87" s="16"/>
      <c r="H87" s="16"/>
    </row>
    <row r="88" spans="1:8" s="14" customFormat="1" ht="15" customHeight="1" x14ac:dyDescent="0.2">
      <c r="A88" s="16"/>
      <c r="B88" s="16"/>
      <c r="C88" s="16"/>
      <c r="D88" s="16"/>
      <c r="E88" s="16"/>
      <c r="F88" s="16"/>
      <c r="G88" s="16"/>
      <c r="H88" s="16"/>
    </row>
    <row r="89" spans="1:8" s="14" customFormat="1" ht="15" customHeight="1" x14ac:dyDescent="0.2">
      <c r="A89" s="16"/>
      <c r="B89" s="16"/>
      <c r="C89" s="16"/>
      <c r="D89" s="16"/>
      <c r="E89" s="16"/>
      <c r="F89" s="16"/>
      <c r="G89" s="16"/>
      <c r="H89" s="16"/>
    </row>
    <row r="90" spans="1:8" s="14" customFormat="1" ht="15" customHeight="1" x14ac:dyDescent="0.2">
      <c r="A90" s="16"/>
      <c r="B90" s="16"/>
      <c r="C90" s="16"/>
      <c r="D90" s="16"/>
      <c r="E90" s="16"/>
      <c r="F90" s="16"/>
      <c r="G90" s="16"/>
      <c r="H90" s="16"/>
    </row>
    <row r="91" spans="1:8" s="14" customFormat="1" ht="20.100000000000001" customHeight="1" x14ac:dyDescent="0.2">
      <c r="A91" s="16"/>
      <c r="B91" s="16"/>
      <c r="C91" s="16"/>
      <c r="D91" s="16"/>
      <c r="E91" s="16"/>
      <c r="F91" s="16"/>
      <c r="G91" s="16"/>
      <c r="H91" s="16"/>
    </row>
    <row r="92" spans="1:8" s="14" customFormat="1" x14ac:dyDescent="0.2">
      <c r="A92" s="16"/>
      <c r="B92" s="16"/>
      <c r="C92" s="16"/>
      <c r="D92" s="16"/>
      <c r="E92" s="16"/>
      <c r="F92" s="16"/>
      <c r="G92" s="16"/>
      <c r="H92" s="16"/>
    </row>
    <row r="93" spans="1:8" s="14" customFormat="1" ht="26.1" customHeight="1" x14ac:dyDescent="0.2">
      <c r="A93" s="16"/>
      <c r="B93" s="16"/>
      <c r="C93" s="16"/>
      <c r="D93" s="16"/>
      <c r="E93" s="16"/>
      <c r="F93" s="16"/>
      <c r="G93" s="16"/>
      <c r="H93" s="16"/>
    </row>
    <row r="94" spans="1:8" s="14" customFormat="1" ht="20.100000000000001" customHeight="1" x14ac:dyDescent="0.2">
      <c r="A94" s="16"/>
      <c r="B94" s="16"/>
      <c r="C94" s="16"/>
      <c r="D94" s="16"/>
      <c r="E94" s="16"/>
      <c r="F94" s="16"/>
      <c r="G94" s="16"/>
      <c r="H94" s="16"/>
    </row>
    <row r="95" spans="1:8" s="14" customFormat="1" ht="20.100000000000001" customHeight="1" x14ac:dyDescent="0.2">
      <c r="A95" s="16"/>
      <c r="B95" s="16"/>
      <c r="C95" s="16"/>
      <c r="D95" s="16"/>
      <c r="E95" s="16"/>
      <c r="F95" s="16"/>
      <c r="G95" s="16"/>
      <c r="H95" s="16"/>
    </row>
    <row r="96" spans="1:8" s="14" customFormat="1" ht="20.100000000000001" customHeight="1" x14ac:dyDescent="0.2">
      <c r="A96" s="16"/>
      <c r="B96" s="16"/>
      <c r="C96" s="16"/>
      <c r="D96" s="16"/>
      <c r="E96" s="16"/>
      <c r="F96" s="16"/>
      <c r="G96" s="16"/>
      <c r="H96" s="16"/>
    </row>
    <row r="97" spans="1:10" s="14" customFormat="1" ht="20.100000000000001" customHeight="1" x14ac:dyDescent="0.2">
      <c r="A97" s="16"/>
      <c r="B97" s="16"/>
      <c r="C97" s="16"/>
      <c r="D97" s="16"/>
      <c r="E97" s="16"/>
      <c r="F97" s="16"/>
      <c r="G97" s="16"/>
      <c r="H97" s="16"/>
    </row>
    <row r="98" spans="1:10" s="14" customFormat="1" ht="20.100000000000001" customHeight="1" x14ac:dyDescent="0.2">
      <c r="A98" s="16"/>
      <c r="B98" s="16"/>
      <c r="C98" s="16"/>
      <c r="D98" s="16"/>
      <c r="E98" s="16"/>
      <c r="F98" s="16"/>
      <c r="G98" s="16"/>
      <c r="H98" s="16"/>
    </row>
    <row r="99" spans="1:10" s="14" customFormat="1" ht="20.100000000000001" customHeight="1" x14ac:dyDescent="0.2">
      <c r="A99" s="16"/>
      <c r="B99" s="16"/>
      <c r="C99" s="16"/>
      <c r="D99" s="16"/>
      <c r="E99" s="16"/>
      <c r="F99" s="16"/>
      <c r="G99" s="16"/>
      <c r="H99" s="16"/>
    </row>
    <row r="100" spans="1:10" s="14" customFormat="1" ht="20.100000000000001" customHeight="1" x14ac:dyDescent="0.2">
      <c r="A100" s="16"/>
      <c r="B100" s="16"/>
      <c r="C100" s="16"/>
      <c r="D100" s="16"/>
      <c r="E100" s="16"/>
      <c r="F100" s="16"/>
      <c r="G100" s="16"/>
      <c r="H100" s="16"/>
    </row>
    <row r="101" spans="1:10" s="14" customFormat="1" ht="20.100000000000001" customHeight="1" x14ac:dyDescent="0.2">
      <c r="A101" s="16"/>
      <c r="B101" s="16"/>
      <c r="C101" s="16"/>
      <c r="D101" s="16"/>
      <c r="E101" s="16"/>
      <c r="F101" s="16"/>
      <c r="G101" s="16"/>
      <c r="H101" s="16"/>
    </row>
    <row r="102" spans="1:10" s="14" customFormat="1" ht="20.100000000000001" customHeight="1" x14ac:dyDescent="0.2">
      <c r="A102" s="16"/>
      <c r="B102" s="16"/>
      <c r="C102" s="16"/>
      <c r="D102" s="16"/>
      <c r="E102" s="16"/>
      <c r="F102" s="16"/>
      <c r="G102" s="16"/>
      <c r="H102" s="16"/>
      <c r="J102" s="21"/>
    </row>
    <row r="103" spans="1:10" s="14" customFormat="1" ht="20.100000000000001" customHeight="1" x14ac:dyDescent="0.2">
      <c r="A103" s="16"/>
      <c r="B103" s="16"/>
      <c r="C103" s="16"/>
      <c r="D103" s="16"/>
      <c r="E103" s="16"/>
      <c r="F103" s="16"/>
      <c r="G103" s="16"/>
      <c r="H103" s="16"/>
    </row>
    <row r="110" spans="1:10" ht="24.6" customHeight="1" x14ac:dyDescent="0.2"/>
    <row r="113" spans="9:256" ht="14.25" x14ac:dyDescent="0.2">
      <c r="IU113" s="22"/>
      <c r="IV113" s="22"/>
    </row>
    <row r="114" spans="9:256" ht="14.25" x14ac:dyDescent="0.2">
      <c r="IP114" s="22"/>
      <c r="IQ114" s="22"/>
      <c r="IR114" s="22"/>
      <c r="IS114" s="22"/>
      <c r="IT114" s="22"/>
      <c r="IU114" s="22"/>
      <c r="IV114" s="22"/>
    </row>
    <row r="115" spans="9:256" ht="14.25" x14ac:dyDescent="0.2">
      <c r="IP115" s="22"/>
      <c r="IQ115" s="22"/>
      <c r="IR115" s="22"/>
      <c r="IS115" s="22"/>
      <c r="IT115" s="22"/>
      <c r="IU115" s="22"/>
      <c r="IV115" s="22"/>
    </row>
    <row r="116" spans="9:256" ht="14.25" x14ac:dyDescent="0.2">
      <c r="IR116" s="22"/>
      <c r="IS116" s="22"/>
      <c r="IT116" s="22"/>
      <c r="IU116" s="22"/>
      <c r="IV116" s="22"/>
    </row>
    <row r="117" spans="9:256" ht="14.25" x14ac:dyDescent="0.2">
      <c r="I117" s="23"/>
      <c r="IU117" s="22"/>
      <c r="IV117" s="22"/>
    </row>
  </sheetData>
  <mergeCells count="31">
    <mergeCell ref="A19:H19"/>
    <mergeCell ref="B21:G21"/>
    <mergeCell ref="B23:G23"/>
    <mergeCell ref="B26:G26"/>
    <mergeCell ref="B28:G28"/>
    <mergeCell ref="B27:G27"/>
    <mergeCell ref="A20:M20"/>
    <mergeCell ref="B24:G24"/>
    <mergeCell ref="B25:G25"/>
    <mergeCell ref="A30:G30"/>
    <mergeCell ref="A29:G29"/>
    <mergeCell ref="B22:G22"/>
    <mergeCell ref="A1:M1"/>
    <mergeCell ref="A2:M2"/>
    <mergeCell ref="A3:M3"/>
    <mergeCell ref="A4:M4"/>
    <mergeCell ref="A18:M18"/>
    <mergeCell ref="A17:M17"/>
    <mergeCell ref="K10:M10"/>
    <mergeCell ref="K11:M11"/>
    <mergeCell ref="A5:M5"/>
    <mergeCell ref="A6:M6"/>
    <mergeCell ref="A7:M7"/>
    <mergeCell ref="A8:M8"/>
    <mergeCell ref="K9:M9"/>
    <mergeCell ref="A12:M12"/>
    <mergeCell ref="A13:M13"/>
    <mergeCell ref="A14:M14"/>
    <mergeCell ref="B9:J9"/>
    <mergeCell ref="B10:J10"/>
    <mergeCell ref="B11:J11"/>
  </mergeCells>
  <phoneticPr fontId="0" type="noConversion"/>
  <printOptions horizontalCentered="1" verticalCentered="1"/>
  <pageMargins left="7.874015748031496E-2" right="3.937007874015748E-2" top="0.39370078740157483" bottom="0.43307086614173229" header="0.15748031496062992" footer="0.27559055118110237"/>
  <pageSetup paperSize="8" scale="64" pageOrder="overThenDown" orientation="landscape" useFirstPageNumber="1" horizontalDpi="300" verticalDpi="300" r:id="rId1"/>
  <headerFooter alignWithMargins="0">
    <oddHeader>&amp;C&amp;"Arial,Negrito"&amp;10Anexo III - Aba 
#VALOR DA PROPOSTA#&amp;R&amp;D</oddHeader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405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Mão de Obra Tratador</vt:lpstr>
      <vt:lpstr>Benefícios da Mão de Obra</vt:lpstr>
      <vt:lpstr>Procedimentos e Ração</vt:lpstr>
      <vt:lpstr>Hospedagem e Transporte</vt:lpstr>
      <vt:lpstr>Materiais</vt:lpstr>
      <vt:lpstr>#VALOR DA PROPOSTA#</vt:lpstr>
      <vt:lpstr>'Benefícios da Mão de Obra'!Area_de_impressao</vt:lpstr>
      <vt:lpstr>Materiais!Area_de_impressao</vt:lpstr>
      <vt:lpstr>'Benefícios da Mão de Obra'!Excel_BuiltIn_Print_Area</vt:lpstr>
      <vt:lpstr>'Procedimentos e Ração'!Titulos_de_impressao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Gobbo</dc:creator>
  <cp:lastModifiedBy>Ursula Moreira de Carvalho</cp:lastModifiedBy>
  <cp:revision>32</cp:revision>
  <cp:lastPrinted>2021-09-13T18:17:02Z</cp:lastPrinted>
  <dcterms:created xsi:type="dcterms:W3CDTF">2018-06-28T15:34:04Z</dcterms:created>
  <dcterms:modified xsi:type="dcterms:W3CDTF">2021-09-14T20:09:11Z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1065256969</vt:i4>
  </property>
  <property fmtid="{D5CDD505-2E9C-101B-9397-08002B2CF9AE}" pid="3" name="_NewReviewCycle">
    <vt:lpwstr/>
  </property>
  <property fmtid="{D5CDD505-2E9C-101B-9397-08002B2CF9AE}" pid="4" name="_EmailSubject">
    <vt:lpwstr>ENC: Solicitação de orçamento - serviços médico-veterinários para cão de faro - Alfândega da RFB do Aeroporto Internacional de Viracopos</vt:lpwstr>
  </property>
  <property fmtid="{D5CDD505-2E9C-101B-9397-08002B2CF9AE}" pid="5" name="_AuthorEmail">
    <vt:lpwstr>rodrigo@cvcambui.com.br</vt:lpwstr>
  </property>
  <property fmtid="{D5CDD505-2E9C-101B-9397-08002B2CF9AE}" pid="6" name="_AuthorEmailDisplayName">
    <vt:lpwstr>Rodrigo</vt:lpwstr>
  </property>
  <property fmtid="{D5CDD505-2E9C-101B-9397-08002B2CF9AE}" pid="7" name="_ReviewingToolsShownOnce">
    <vt:lpwstr/>
  </property>
</Properties>
</file>