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85491153\Documents\SEPOL 2024\Limpeza CBA e PAL\"/>
    </mc:Choice>
  </mc:AlternateContent>
  <xr:revisionPtr revIDLastSave="0" documentId="13_ncr:1_{FF16D431-4A0F-44D9-904A-2A8E34CBB943}" xr6:coauthVersionLast="47" xr6:coauthVersionMax="47" xr10:uidLastSave="{00000000-0000-0000-0000-000000000000}"/>
  <bookViews>
    <workbookView xWindow="-120" yWindow="-120" windowWidth="29040" windowHeight="15840" tabRatio="881" xr2:uid="{2E6E5DCD-E8BD-40C5-9EFE-28880F4E0224}"/>
  </bookViews>
  <sheets>
    <sheet name="CONSOLIDAÇÃO G2" sheetId="21" r:id="rId1"/>
    <sheet name="G2 BGR-MT Servente" sheetId="3" r:id="rId2"/>
    <sheet name="M² Barra das Garças" sheetId="19" r:id="rId3"/>
    <sheet name="G2 ROO-MT Servente" sheetId="1" r:id="rId4"/>
    <sheet name="M² Rondonópolis" sheetId="20" r:id="rId5"/>
    <sheet name="G2 TSE-MT Servente" sheetId="6" r:id="rId6"/>
    <sheet name="M² Tangará da Serra" sheetId="23" r:id="rId7"/>
    <sheet name="G2 CAC-MT Servente" sheetId="8" r:id="rId8"/>
    <sheet name="M² Cáceres" sheetId="22" r:id="rId9"/>
    <sheet name="G2 CORIXA-MT Servente" sheetId="10" r:id="rId10"/>
    <sheet name="M² Corixa" sheetId="24" r:id="rId11"/>
    <sheet name="G2 DVAVG-MT Servente" sheetId="16" r:id="rId12"/>
    <sheet name="M² DVAVG" sheetId="25" r:id="rId13"/>
    <sheet name="G2 - Qtd Servente" sheetId="18" r:id="rId14"/>
    <sheet name="Insumos Diversos" sheetId="17" r:id="rId15"/>
  </sheets>
  <externalReferences>
    <externalReference r:id="rId16"/>
  </externalReferences>
  <definedNames>
    <definedName name="Excel_BuiltIn_Print_Area" localSheetId="0">#REF!</definedName>
    <definedName name="Excel_BuiltIn_Print_Area" localSheetId="13">#REF!</definedName>
    <definedName name="Excel_BuiltIn_Print_Area" localSheetId="2">#REF!</definedName>
    <definedName name="Excel_BuiltIn_Print_Area" localSheetId="8">#REF!</definedName>
    <definedName name="Excel_BuiltIn_Print_Area" localSheetId="10">#REF!</definedName>
    <definedName name="Excel_BuiltIn_Print_Area" localSheetId="12">#REF!</definedName>
    <definedName name="Excel_BuiltIn_Print_Area" localSheetId="4">#REF!</definedName>
    <definedName name="Excel_BuiltIn_Print_Area" localSheetId="6">#REF!</definedName>
    <definedName name="Excel_BuiltIn_Print_Area">#REF!</definedName>
    <definedName name="SHARED_FORMULA_10_33_10_33_3">"""#ref!""-""#ref!"""</definedName>
    <definedName name="SHARED_FORMULA_13_33_13_33_3">"""#ref!""-""#ref!"""</definedName>
    <definedName name="SHARED_FORMULA_7_22_7_22_3">"""#ref!""/""#ref!"""</definedName>
    <definedName name="Tipo">[1]TABELA!$B$7:$B$16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4" i="1"/>
  <c r="G24" i="3"/>
  <c r="G25" i="16"/>
  <c r="G25" i="10"/>
  <c r="G25" i="8"/>
  <c r="G25" i="1"/>
  <c r="G25" i="3"/>
  <c r="G25" i="6"/>
  <c r="O3" i="18" l="1"/>
  <c r="D3" i="18" s="1"/>
  <c r="G46" i="16"/>
  <c r="G46" i="10"/>
  <c r="G46" i="8"/>
  <c r="G46" i="6"/>
  <c r="G46" i="1"/>
  <c r="G46" i="3"/>
  <c r="F34" i="24"/>
  <c r="F29" i="24"/>
  <c r="N10" i="23"/>
  <c r="C40" i="23" s="1"/>
  <c r="F40" i="23" s="1"/>
  <c r="N9" i="23"/>
  <c r="C35" i="23" s="1"/>
  <c r="F35" i="23" s="1"/>
  <c r="N8" i="23"/>
  <c r="C30" i="23" s="1"/>
  <c r="N7" i="23"/>
  <c r="C27" i="23" s="1"/>
  <c r="N6" i="23"/>
  <c r="C24" i="23" s="1"/>
  <c r="N5" i="23"/>
  <c r="C17" i="23" s="1"/>
  <c r="N4" i="23"/>
  <c r="C14" i="23" s="1"/>
  <c r="N3" i="23"/>
  <c r="C11" i="23" s="1"/>
  <c r="N2" i="23"/>
  <c r="C8" i="23" s="1"/>
  <c r="N3" i="20"/>
  <c r="C11" i="20" s="1"/>
  <c r="N2" i="20"/>
  <c r="C8" i="20" s="1"/>
  <c r="F39" i="22"/>
  <c r="F35" i="22"/>
  <c r="N10" i="20"/>
  <c r="C40" i="20" s="1"/>
  <c r="N9" i="20"/>
  <c r="C35" i="20" s="1"/>
  <c r="N8" i="20"/>
  <c r="C30" i="20" s="1"/>
  <c r="N7" i="20"/>
  <c r="C27" i="20" s="1"/>
  <c r="N6" i="20"/>
  <c r="C24" i="20" s="1"/>
  <c r="N5" i="20"/>
  <c r="C17" i="20" s="1"/>
  <c r="N4" i="20"/>
  <c r="C14" i="20" s="1"/>
  <c r="C3" i="21"/>
  <c r="F40" i="20" l="1"/>
  <c r="F35" i="20"/>
  <c r="N11" i="19"/>
  <c r="C40" i="19" s="1"/>
  <c r="F40" i="19" s="1"/>
  <c r="N10" i="19"/>
  <c r="C35" i="19" s="1"/>
  <c r="F35" i="19" s="1"/>
  <c r="N9" i="19"/>
  <c r="C30" i="19" s="1"/>
  <c r="N8" i="19"/>
  <c r="C27" i="19" s="1"/>
  <c r="N7" i="19"/>
  <c r="C24" i="19" s="1"/>
  <c r="N6" i="19"/>
  <c r="C17" i="19" s="1"/>
  <c r="N5" i="19"/>
  <c r="C14" i="19" s="1"/>
  <c r="N4" i="19"/>
  <c r="C11" i="19" s="1"/>
  <c r="N3" i="19"/>
  <c r="C8" i="19" s="1"/>
  <c r="O31" i="18"/>
  <c r="D31" i="18" s="1"/>
  <c r="O30" i="18"/>
  <c r="D30" i="18" s="1"/>
  <c r="O29" i="18"/>
  <c r="D29" i="18" s="1"/>
  <c r="O28" i="18"/>
  <c r="D28" i="18" s="1"/>
  <c r="O27" i="18"/>
  <c r="D27" i="18" s="1"/>
  <c r="O26" i="18"/>
  <c r="D26" i="18" s="1"/>
  <c r="O25" i="18"/>
  <c r="D25" i="18" s="1"/>
  <c r="O24" i="18"/>
  <c r="D24" i="18" s="1"/>
  <c r="O23" i="18"/>
  <c r="D23" i="18" s="1"/>
  <c r="O21" i="18"/>
  <c r="D21" i="18" s="1"/>
  <c r="O20" i="18"/>
  <c r="D20" i="18" s="1"/>
  <c r="O19" i="18"/>
  <c r="D19" i="18" s="1"/>
  <c r="O18" i="18"/>
  <c r="D18" i="18" s="1"/>
  <c r="O17" i="18"/>
  <c r="D17" i="18" s="1"/>
  <c r="O16" i="18"/>
  <c r="D16" i="18" s="1"/>
  <c r="O15" i="18"/>
  <c r="D15" i="18" s="1"/>
  <c r="O14" i="18"/>
  <c r="D14" i="18" s="1"/>
  <c r="O13" i="18"/>
  <c r="D13" i="18" s="1"/>
  <c r="O4" i="18"/>
  <c r="D4" i="18" s="1"/>
  <c r="O5" i="18"/>
  <c r="D5" i="18" s="1"/>
  <c r="O6" i="18"/>
  <c r="D6" i="18" s="1"/>
  <c r="O7" i="18"/>
  <c r="D7" i="18" s="1"/>
  <c r="O8" i="18"/>
  <c r="D8" i="18" s="1"/>
  <c r="O9" i="18"/>
  <c r="D9" i="18" s="1"/>
  <c r="O11" i="18"/>
  <c r="D11" i="18" s="1"/>
  <c r="O10" i="18"/>
  <c r="D10" i="18" s="1"/>
  <c r="G59" i="18" l="1"/>
  <c r="H59" i="18" s="1"/>
  <c r="G58" i="18"/>
  <c r="H58" i="18" s="1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5" i="18"/>
  <c r="H5" i="18" s="1"/>
  <c r="G4" i="18"/>
  <c r="H4" i="18" s="1"/>
  <c r="G3" i="18"/>
  <c r="H3" i="18" s="1"/>
  <c r="H42" i="18" l="1"/>
  <c r="H22" i="18"/>
  <c r="H51" i="18"/>
  <c r="H12" i="18"/>
  <c r="H60" i="18"/>
  <c r="H32" i="18"/>
  <c r="H61" i="18" l="1"/>
  <c r="J90" i="17"/>
  <c r="J89" i="17"/>
  <c r="J88" i="17"/>
  <c r="J87" i="17"/>
  <c r="J86" i="17"/>
  <c r="J85" i="17"/>
  <c r="J84" i="17"/>
  <c r="J83" i="17"/>
  <c r="J82" i="17"/>
  <c r="Q72" i="17"/>
  <c r="P72" i="17"/>
  <c r="O72" i="17"/>
  <c r="N72" i="17"/>
  <c r="M72" i="17"/>
  <c r="L72" i="17"/>
  <c r="J72" i="17"/>
  <c r="Q71" i="17"/>
  <c r="P71" i="17"/>
  <c r="O71" i="17"/>
  <c r="N71" i="17"/>
  <c r="M71" i="17"/>
  <c r="L71" i="17"/>
  <c r="J71" i="17"/>
  <c r="Q70" i="17"/>
  <c r="P70" i="17"/>
  <c r="O70" i="17"/>
  <c r="N70" i="17"/>
  <c r="M70" i="17"/>
  <c r="L70" i="17"/>
  <c r="J70" i="17"/>
  <c r="Q69" i="17"/>
  <c r="P69" i="17"/>
  <c r="O69" i="17"/>
  <c r="N69" i="17"/>
  <c r="M69" i="17"/>
  <c r="L69" i="17"/>
  <c r="J69" i="17"/>
  <c r="Q68" i="17"/>
  <c r="P68" i="17"/>
  <c r="O68" i="17"/>
  <c r="N68" i="17"/>
  <c r="M68" i="17"/>
  <c r="L68" i="17"/>
  <c r="J68" i="17"/>
  <c r="Q67" i="17"/>
  <c r="P67" i="17"/>
  <c r="O67" i="17"/>
  <c r="N67" i="17"/>
  <c r="M67" i="17"/>
  <c r="L67" i="17"/>
  <c r="J67" i="17"/>
  <c r="Q66" i="17"/>
  <c r="P66" i="17"/>
  <c r="O66" i="17"/>
  <c r="N66" i="17"/>
  <c r="M66" i="17"/>
  <c r="L66" i="17"/>
  <c r="J66" i="17"/>
  <c r="Q65" i="17"/>
  <c r="P65" i="17"/>
  <c r="O65" i="17"/>
  <c r="N65" i="17"/>
  <c r="M65" i="17"/>
  <c r="L65" i="17"/>
  <c r="J65" i="17"/>
  <c r="Q64" i="17"/>
  <c r="P64" i="17"/>
  <c r="O64" i="17"/>
  <c r="N64" i="17"/>
  <c r="M64" i="17"/>
  <c r="L64" i="17"/>
  <c r="J64" i="17"/>
  <c r="Q63" i="17"/>
  <c r="P63" i="17"/>
  <c r="O63" i="17"/>
  <c r="N63" i="17"/>
  <c r="M63" i="17"/>
  <c r="L63" i="17"/>
  <c r="J63" i="17"/>
  <c r="Q62" i="17"/>
  <c r="P62" i="17"/>
  <c r="O62" i="17"/>
  <c r="N62" i="17"/>
  <c r="M62" i="17"/>
  <c r="L62" i="17"/>
  <c r="J62" i="17"/>
  <c r="Q61" i="17"/>
  <c r="P61" i="17"/>
  <c r="O61" i="17"/>
  <c r="N61" i="17"/>
  <c r="M61" i="17"/>
  <c r="L61" i="17"/>
  <c r="J61" i="17"/>
  <c r="Q60" i="17"/>
  <c r="P60" i="17"/>
  <c r="O60" i="17"/>
  <c r="N60" i="17"/>
  <c r="M60" i="17"/>
  <c r="L60" i="17"/>
  <c r="J60" i="17"/>
  <c r="Q59" i="17"/>
  <c r="P59" i="17"/>
  <c r="O59" i="17"/>
  <c r="N59" i="17"/>
  <c r="M59" i="17"/>
  <c r="L59" i="17"/>
  <c r="J59" i="17"/>
  <c r="Q58" i="17"/>
  <c r="P58" i="17"/>
  <c r="O58" i="17"/>
  <c r="N58" i="17"/>
  <c r="M58" i="17"/>
  <c r="L58" i="17"/>
  <c r="J58" i="17"/>
  <c r="Q57" i="17"/>
  <c r="P57" i="17"/>
  <c r="O57" i="17"/>
  <c r="N57" i="17"/>
  <c r="M57" i="17"/>
  <c r="L57" i="17"/>
  <c r="J57" i="17"/>
  <c r="Q44" i="17"/>
  <c r="P44" i="17"/>
  <c r="O44" i="17"/>
  <c r="N44" i="17"/>
  <c r="M44" i="17"/>
  <c r="L44" i="17"/>
  <c r="J44" i="17"/>
  <c r="Q43" i="17"/>
  <c r="P43" i="17"/>
  <c r="O43" i="17"/>
  <c r="N43" i="17"/>
  <c r="M43" i="17"/>
  <c r="L43" i="17"/>
  <c r="J43" i="17"/>
  <c r="Q42" i="17"/>
  <c r="P42" i="17"/>
  <c r="O42" i="17"/>
  <c r="N42" i="17"/>
  <c r="M42" i="17"/>
  <c r="L42" i="17"/>
  <c r="J42" i="17"/>
  <c r="Q41" i="17"/>
  <c r="P41" i="17"/>
  <c r="O41" i="17"/>
  <c r="N41" i="17"/>
  <c r="M41" i="17"/>
  <c r="L41" i="17"/>
  <c r="J41" i="17"/>
  <c r="Q40" i="17"/>
  <c r="P40" i="17"/>
  <c r="O40" i="17"/>
  <c r="N40" i="17"/>
  <c r="M40" i="17"/>
  <c r="L40" i="17"/>
  <c r="J40" i="17"/>
  <c r="Q39" i="17"/>
  <c r="P39" i="17"/>
  <c r="O39" i="17"/>
  <c r="N39" i="17"/>
  <c r="M39" i="17"/>
  <c r="L39" i="17"/>
  <c r="J39" i="17"/>
  <c r="Q38" i="17"/>
  <c r="P38" i="17"/>
  <c r="O38" i="17"/>
  <c r="N38" i="17"/>
  <c r="M38" i="17"/>
  <c r="L38" i="17"/>
  <c r="J38" i="17"/>
  <c r="Q37" i="17"/>
  <c r="P37" i="17"/>
  <c r="O37" i="17"/>
  <c r="N37" i="17"/>
  <c r="M37" i="17"/>
  <c r="L37" i="17"/>
  <c r="J37" i="17"/>
  <c r="Q36" i="17"/>
  <c r="P36" i="17"/>
  <c r="O36" i="17"/>
  <c r="N36" i="17"/>
  <c r="M36" i="17"/>
  <c r="L36" i="17"/>
  <c r="J36" i="17"/>
  <c r="Q35" i="17"/>
  <c r="P35" i="17"/>
  <c r="O35" i="17"/>
  <c r="N35" i="17"/>
  <c r="M35" i="17"/>
  <c r="L35" i="17"/>
  <c r="J35" i="17"/>
  <c r="Q34" i="17"/>
  <c r="P34" i="17"/>
  <c r="O34" i="17"/>
  <c r="N34" i="17"/>
  <c r="M34" i="17"/>
  <c r="L34" i="17"/>
  <c r="J34" i="17"/>
  <c r="Q33" i="17"/>
  <c r="P33" i="17"/>
  <c r="O33" i="17"/>
  <c r="N33" i="17"/>
  <c r="M33" i="17"/>
  <c r="L33" i="17"/>
  <c r="J33" i="17"/>
  <c r="Q32" i="17"/>
  <c r="P32" i="17"/>
  <c r="O32" i="17"/>
  <c r="N32" i="17"/>
  <c r="M32" i="17"/>
  <c r="L32" i="17"/>
  <c r="J32" i="17"/>
  <c r="Q31" i="17"/>
  <c r="P31" i="17"/>
  <c r="O31" i="17"/>
  <c r="N31" i="17"/>
  <c r="M31" i="17"/>
  <c r="L31" i="17"/>
  <c r="J31" i="17"/>
  <c r="Q30" i="17"/>
  <c r="P30" i="17"/>
  <c r="O30" i="17"/>
  <c r="N30" i="17"/>
  <c r="M30" i="17"/>
  <c r="L30" i="17"/>
  <c r="J30" i="17"/>
  <c r="Q29" i="17"/>
  <c r="P29" i="17"/>
  <c r="O29" i="17"/>
  <c r="N29" i="17"/>
  <c r="M29" i="17"/>
  <c r="L29" i="17"/>
  <c r="J29" i="17"/>
  <c r="Q28" i="17"/>
  <c r="P28" i="17"/>
  <c r="O28" i="17"/>
  <c r="N28" i="17"/>
  <c r="M28" i="17"/>
  <c r="L28" i="17"/>
  <c r="J28" i="17"/>
  <c r="Q27" i="17"/>
  <c r="P27" i="17"/>
  <c r="O27" i="17"/>
  <c r="N27" i="17"/>
  <c r="M27" i="17"/>
  <c r="L27" i="17"/>
  <c r="J27" i="17"/>
  <c r="Q26" i="17"/>
  <c r="P26" i="17"/>
  <c r="O26" i="17"/>
  <c r="N26" i="17"/>
  <c r="M26" i="17"/>
  <c r="L26" i="17"/>
  <c r="J26" i="17"/>
  <c r="Q25" i="17"/>
  <c r="P25" i="17"/>
  <c r="O25" i="17"/>
  <c r="N25" i="17"/>
  <c r="M25" i="17"/>
  <c r="L25" i="17"/>
  <c r="J25" i="17"/>
  <c r="Q24" i="17"/>
  <c r="P24" i="17"/>
  <c r="O24" i="17"/>
  <c r="N24" i="17"/>
  <c r="M24" i="17"/>
  <c r="L24" i="17"/>
  <c r="J24" i="17"/>
  <c r="Q23" i="17"/>
  <c r="P23" i="17"/>
  <c r="O23" i="17"/>
  <c r="N23" i="17"/>
  <c r="M23" i="17"/>
  <c r="L23" i="17"/>
  <c r="J23" i="17"/>
  <c r="Q22" i="17"/>
  <c r="P22" i="17"/>
  <c r="O22" i="17"/>
  <c r="N22" i="17"/>
  <c r="M22" i="17"/>
  <c r="L22" i="17"/>
  <c r="J22" i="17"/>
  <c r="Q21" i="17"/>
  <c r="P21" i="17"/>
  <c r="O21" i="17"/>
  <c r="N21" i="17"/>
  <c r="M21" i="17"/>
  <c r="L21" i="17"/>
  <c r="J21" i="17"/>
  <c r="Q20" i="17"/>
  <c r="P20" i="17"/>
  <c r="O20" i="17"/>
  <c r="N20" i="17"/>
  <c r="M20" i="17"/>
  <c r="L20" i="17"/>
  <c r="J20" i="17"/>
  <c r="Q19" i="17"/>
  <c r="P19" i="17"/>
  <c r="O19" i="17"/>
  <c r="N19" i="17"/>
  <c r="M19" i="17"/>
  <c r="L19" i="17"/>
  <c r="J19" i="17"/>
  <c r="Q18" i="17"/>
  <c r="P18" i="17"/>
  <c r="O18" i="17"/>
  <c r="N18" i="17"/>
  <c r="M18" i="17"/>
  <c r="L18" i="17"/>
  <c r="J18" i="17"/>
  <c r="Q17" i="17"/>
  <c r="P17" i="17"/>
  <c r="O17" i="17"/>
  <c r="N17" i="17"/>
  <c r="M17" i="17"/>
  <c r="L17" i="17"/>
  <c r="J17" i="17"/>
  <c r="Q16" i="17"/>
  <c r="P16" i="17"/>
  <c r="O16" i="17"/>
  <c r="N16" i="17"/>
  <c r="M16" i="17"/>
  <c r="L16" i="17"/>
  <c r="J16" i="17"/>
  <c r="Q15" i="17"/>
  <c r="P15" i="17"/>
  <c r="O15" i="17"/>
  <c r="N15" i="17"/>
  <c r="M15" i="17"/>
  <c r="L15" i="17"/>
  <c r="J15" i="17"/>
  <c r="Q14" i="17"/>
  <c r="P14" i="17"/>
  <c r="O14" i="17"/>
  <c r="N14" i="17"/>
  <c r="M14" i="17"/>
  <c r="L14" i="17"/>
  <c r="J14" i="17"/>
  <c r="Q13" i="17"/>
  <c r="P13" i="17"/>
  <c r="O13" i="17"/>
  <c r="N13" i="17"/>
  <c r="M13" i="17"/>
  <c r="L13" i="17"/>
  <c r="J13" i="17"/>
  <c r="Q12" i="17"/>
  <c r="P12" i="17"/>
  <c r="O12" i="17"/>
  <c r="N12" i="17"/>
  <c r="M12" i="17"/>
  <c r="L12" i="17"/>
  <c r="J12" i="17"/>
  <c r="Q11" i="17"/>
  <c r="P11" i="17"/>
  <c r="O11" i="17"/>
  <c r="N11" i="17"/>
  <c r="M11" i="17"/>
  <c r="L11" i="17"/>
  <c r="J11" i="17"/>
  <c r="Q10" i="17"/>
  <c r="P10" i="17"/>
  <c r="O10" i="17"/>
  <c r="N10" i="17"/>
  <c r="M10" i="17"/>
  <c r="L10" i="17"/>
  <c r="J10" i="17"/>
  <c r="Q9" i="17"/>
  <c r="P9" i="17"/>
  <c r="O9" i="17"/>
  <c r="N9" i="17"/>
  <c r="M9" i="17"/>
  <c r="L9" i="17"/>
  <c r="J9" i="17"/>
  <c r="Q8" i="17"/>
  <c r="P8" i="17"/>
  <c r="O8" i="17"/>
  <c r="N8" i="17"/>
  <c r="M8" i="17"/>
  <c r="L8" i="17"/>
  <c r="J8" i="17"/>
  <c r="Q7" i="17"/>
  <c r="P7" i="17"/>
  <c r="O7" i="17"/>
  <c r="N7" i="17"/>
  <c r="M7" i="17"/>
  <c r="L7" i="17"/>
  <c r="J7" i="17"/>
  <c r="Q6" i="17"/>
  <c r="P6" i="17"/>
  <c r="O6" i="17"/>
  <c r="N6" i="17"/>
  <c r="M6" i="17"/>
  <c r="L6" i="17"/>
  <c r="J6" i="17"/>
  <c r="L73" i="17" l="1"/>
  <c r="L74" i="17" s="1"/>
  <c r="L76" i="17" s="1"/>
  <c r="G82" i="3" s="1"/>
  <c r="P73" i="17"/>
  <c r="P74" i="17" s="1"/>
  <c r="P76" i="17" s="1"/>
  <c r="G82" i="10" s="1"/>
  <c r="M73" i="17"/>
  <c r="M74" i="17" s="1"/>
  <c r="M76" i="17" s="1"/>
  <c r="G82" i="1" s="1"/>
  <c r="Q73" i="17"/>
  <c r="Q74" i="17" s="1"/>
  <c r="Q76" i="17" s="1"/>
  <c r="G82" i="16" s="1"/>
  <c r="Q45" i="17"/>
  <c r="Q46" i="17" s="1"/>
  <c r="Q48" i="17" s="1"/>
  <c r="G81" i="16" s="1"/>
  <c r="L45" i="17"/>
  <c r="L46" i="17" s="1"/>
  <c r="L48" i="17" s="1"/>
  <c r="G81" i="3" s="1"/>
  <c r="P45" i="17"/>
  <c r="P46" i="17" s="1"/>
  <c r="P48" i="17" s="1"/>
  <c r="G81" i="10" s="1"/>
  <c r="N73" i="17"/>
  <c r="N74" i="17" s="1"/>
  <c r="N76" i="17" s="1"/>
  <c r="G82" i="6" s="1"/>
  <c r="O73" i="17"/>
  <c r="O74" i="17" s="1"/>
  <c r="O76" i="17" s="1"/>
  <c r="G82" i="8" s="1"/>
  <c r="J91" i="17"/>
  <c r="J92" i="17" s="1"/>
  <c r="O45" i="17"/>
  <c r="O46" i="17" s="1"/>
  <c r="O48" i="17" s="1"/>
  <c r="G81" i="8" s="1"/>
  <c r="N45" i="17"/>
  <c r="N46" i="17" s="1"/>
  <c r="N48" i="17" s="1"/>
  <c r="G81" i="6" s="1"/>
  <c r="M45" i="17"/>
  <c r="M46" i="17" s="1"/>
  <c r="M48" i="17" s="1"/>
  <c r="G81" i="1" s="1"/>
  <c r="G80" i="3" l="1"/>
  <c r="G80" i="10"/>
  <c r="G80" i="8" a="1"/>
  <c r="G80" i="8" s="1"/>
  <c r="G83" i="8" s="1"/>
  <c r="G102" i="8" s="1"/>
  <c r="G83" i="10"/>
  <c r="G102" i="10" s="1"/>
  <c r="G80" i="1" a="1"/>
  <c r="G80" i="1" s="1"/>
  <c r="G80" i="16" a="1"/>
  <c r="G80" i="16" s="1"/>
  <c r="G83" i="16" s="1"/>
  <c r="G102" i="16" s="1"/>
  <c r="G80" i="6" a="1"/>
  <c r="G80" i="6" s="1"/>
  <c r="G83" i="6" s="1"/>
  <c r="G102" i="6" s="1"/>
  <c r="G111" i="10"/>
  <c r="G111" i="8"/>
  <c r="E88" i="16"/>
  <c r="E72" i="16"/>
  <c r="E70" i="16"/>
  <c r="E68" i="16"/>
  <c r="E66" i="16"/>
  <c r="E57" i="16"/>
  <c r="E54" i="16"/>
  <c r="G49" i="16"/>
  <c r="F44" i="16"/>
  <c r="E58" i="16" s="1"/>
  <c r="E34" i="16"/>
  <c r="G24" i="16"/>
  <c r="E88" i="10"/>
  <c r="E72" i="10"/>
  <c r="E70" i="10"/>
  <c r="E68" i="10"/>
  <c r="E66" i="10"/>
  <c r="E58" i="10"/>
  <c r="E57" i="10"/>
  <c r="E54" i="10"/>
  <c r="G49" i="10"/>
  <c r="F44" i="10"/>
  <c r="E34" i="10"/>
  <c r="G24" i="10"/>
  <c r="E88" i="8"/>
  <c r="E72" i="8"/>
  <c r="E70" i="8"/>
  <c r="E68" i="8"/>
  <c r="E66" i="8"/>
  <c r="E57" i="8"/>
  <c r="E54" i="8"/>
  <c r="G49" i="8"/>
  <c r="F44" i="8"/>
  <c r="E58" i="8" s="1"/>
  <c r="E34" i="8"/>
  <c r="G24" i="8"/>
  <c r="E88" i="6"/>
  <c r="E72" i="6"/>
  <c r="E70" i="6"/>
  <c r="E68" i="6"/>
  <c r="E66" i="6"/>
  <c r="E58" i="6"/>
  <c r="E57" i="6"/>
  <c r="E54" i="6"/>
  <c r="G49" i="6"/>
  <c r="F44" i="6"/>
  <c r="E34" i="6"/>
  <c r="G47" i="6"/>
  <c r="G27" i="16" l="1"/>
  <c r="G33" i="16" s="1"/>
  <c r="G47" i="16"/>
  <c r="G27" i="10"/>
  <c r="G98" i="10" s="1"/>
  <c r="G50" i="10"/>
  <c r="G50" i="6"/>
  <c r="G50" i="16"/>
  <c r="G27" i="8"/>
  <c r="G33" i="8" s="1"/>
  <c r="G47" i="8"/>
  <c r="G50" i="8" s="1"/>
  <c r="G27" i="6"/>
  <c r="G98" i="16" l="1"/>
  <c r="G33" i="10"/>
  <c r="G32" i="10"/>
  <c r="G32" i="16"/>
  <c r="G34" i="16" s="1"/>
  <c r="G72" i="16"/>
  <c r="G98" i="8"/>
  <c r="G32" i="8"/>
  <c r="G34" i="8" s="1"/>
  <c r="G72" i="8"/>
  <c r="G72" i="10"/>
  <c r="G34" i="10"/>
  <c r="G32" i="6"/>
  <c r="G98" i="6"/>
  <c r="G72" i="6"/>
  <c r="G33" i="6"/>
  <c r="G42" i="16" l="1"/>
  <c r="G39" i="16"/>
  <c r="G37" i="16"/>
  <c r="G57" i="16"/>
  <c r="G58" i="16" s="1"/>
  <c r="G43" i="16"/>
  <c r="G59" i="16"/>
  <c r="G40" i="16"/>
  <c r="G54" i="16"/>
  <c r="G56" i="16" s="1"/>
  <c r="G36" i="16"/>
  <c r="G41" i="16"/>
  <c r="G38" i="16"/>
  <c r="G44" i="16" s="1"/>
  <c r="G34" i="6"/>
  <c r="G57" i="6" s="1"/>
  <c r="G58" i="6" s="1"/>
  <c r="G42" i="10"/>
  <c r="G39" i="10"/>
  <c r="G54" i="10"/>
  <c r="G59" i="10"/>
  <c r="G37" i="10"/>
  <c r="G36" i="10"/>
  <c r="G38" i="10"/>
  <c r="G41" i="10"/>
  <c r="G57" i="10"/>
  <c r="G58" i="10" s="1"/>
  <c r="G40" i="10"/>
  <c r="G43" i="10"/>
  <c r="G43" i="8"/>
  <c r="G57" i="8"/>
  <c r="G58" i="8" s="1"/>
  <c r="G37" i="8"/>
  <c r="G59" i="8"/>
  <c r="G36" i="8"/>
  <c r="G38" i="8"/>
  <c r="G39" i="8"/>
  <c r="G40" i="8"/>
  <c r="G41" i="8"/>
  <c r="G42" i="8"/>
  <c r="G54" i="8"/>
  <c r="G54" i="6" l="1"/>
  <c r="G56" i="6" s="1"/>
  <c r="G60" i="16"/>
  <c r="G100" i="16" s="1"/>
  <c r="G39" i="6"/>
  <c r="G37" i="6"/>
  <c r="G38" i="6"/>
  <c r="G42" i="6"/>
  <c r="G40" i="6"/>
  <c r="G43" i="6"/>
  <c r="G36" i="6"/>
  <c r="G59" i="6"/>
  <c r="G41" i="6"/>
  <c r="G51" i="16"/>
  <c r="G99" i="16" s="1"/>
  <c r="G68" i="16"/>
  <c r="G70" i="16"/>
  <c r="G66" i="16"/>
  <c r="G44" i="8"/>
  <c r="G44" i="10"/>
  <c r="G56" i="10"/>
  <c r="G60" i="10" s="1"/>
  <c r="G100" i="10" s="1"/>
  <c r="G56" i="8"/>
  <c r="G60" i="8" s="1"/>
  <c r="G100" i="8" s="1"/>
  <c r="G44" i="6" l="1"/>
  <c r="G70" i="6" s="1"/>
  <c r="G64" i="16"/>
  <c r="G74" i="16" s="1"/>
  <c r="G77" i="16" s="1"/>
  <c r="G101" i="16" s="1"/>
  <c r="G103" i="16" s="1"/>
  <c r="G86" i="16" s="1"/>
  <c r="G87" i="16" s="1"/>
  <c r="G105" i="16" s="1"/>
  <c r="G60" i="6"/>
  <c r="G100" i="6" s="1"/>
  <c r="G51" i="8"/>
  <c r="G99" i="8" s="1"/>
  <c r="G66" i="8"/>
  <c r="G68" i="8"/>
  <c r="G70" i="8"/>
  <c r="G51" i="10"/>
  <c r="G70" i="10"/>
  <c r="G68" i="10"/>
  <c r="G66" i="10"/>
  <c r="G51" i="6"/>
  <c r="G68" i="6"/>
  <c r="G66" i="6"/>
  <c r="G64" i="8" l="1"/>
  <c r="G74" i="8" s="1"/>
  <c r="G77" i="8" s="1"/>
  <c r="G101" i="8" s="1"/>
  <c r="G103" i="8" s="1"/>
  <c r="G86" i="8" s="1"/>
  <c r="G87" i="8" s="1"/>
  <c r="G105" i="8" s="1"/>
  <c r="G91" i="16"/>
  <c r="G90" i="16"/>
  <c r="G93" i="16"/>
  <c r="G89" i="16"/>
  <c r="G108" i="16"/>
  <c r="G110" i="16" s="1"/>
  <c r="G112" i="16" s="1"/>
  <c r="G92" i="16"/>
  <c r="G99" i="10"/>
  <c r="G64" i="10"/>
  <c r="G74" i="10" s="1"/>
  <c r="G77" i="10" s="1"/>
  <c r="G101" i="10" s="1"/>
  <c r="G99" i="6"/>
  <c r="G64" i="6"/>
  <c r="G74" i="6" s="1"/>
  <c r="G77" i="6" s="1"/>
  <c r="G101" i="6" s="1"/>
  <c r="D15" i="25" l="1"/>
  <c r="D11" i="25"/>
  <c r="D8" i="25"/>
  <c r="E8" i="25" s="1"/>
  <c r="E9" i="25" s="1"/>
  <c r="D52" i="21" s="1"/>
  <c r="E52" i="21" s="1"/>
  <c r="G114" i="16"/>
  <c r="G94" i="16"/>
  <c r="G95" i="16" s="1"/>
  <c r="G104" i="16" s="1"/>
  <c r="G103" i="10"/>
  <c r="G91" i="8"/>
  <c r="G90" i="8"/>
  <c r="G93" i="8"/>
  <c r="G89" i="8"/>
  <c r="G108" i="8"/>
  <c r="G110" i="8" s="1"/>
  <c r="G112" i="8" s="1"/>
  <c r="G92" i="8"/>
  <c r="G103" i="6"/>
  <c r="E88" i="3"/>
  <c r="G83" i="3"/>
  <c r="G102" i="3" s="1"/>
  <c r="E72" i="3"/>
  <c r="E70" i="3"/>
  <c r="E68" i="3"/>
  <c r="E66" i="3"/>
  <c r="E57" i="3"/>
  <c r="E54" i="3"/>
  <c r="F44" i="3"/>
  <c r="E58" i="3" s="1"/>
  <c r="E34" i="3"/>
  <c r="G47" i="3"/>
  <c r="E88" i="1"/>
  <c r="G83" i="1"/>
  <c r="G102" i="1" s="1"/>
  <c r="E72" i="1"/>
  <c r="E70" i="1"/>
  <c r="E68" i="1"/>
  <c r="E66" i="1"/>
  <c r="E57" i="1"/>
  <c r="E54" i="1"/>
  <c r="G49" i="1"/>
  <c r="F44" i="1"/>
  <c r="E58" i="1" s="1"/>
  <c r="E34" i="1"/>
  <c r="E11" i="25" l="1"/>
  <c r="E12" i="25" s="1"/>
  <c r="D53" i="21" s="1"/>
  <c r="E53" i="21" s="1"/>
  <c r="E15" i="25"/>
  <c r="E16" i="25" s="1"/>
  <c r="D54" i="21" s="1"/>
  <c r="E54" i="21" s="1"/>
  <c r="D11" i="22"/>
  <c r="E11" i="22" s="1"/>
  <c r="E12" i="22" s="1"/>
  <c r="D27" i="22"/>
  <c r="E27" i="22" s="1"/>
  <c r="E28" i="22" s="1"/>
  <c r="D38" i="21" s="1"/>
  <c r="E38" i="21" s="1"/>
  <c r="D8" i="22"/>
  <c r="E8" i="22" s="1"/>
  <c r="E9" i="22" s="1"/>
  <c r="D33" i="21" s="1"/>
  <c r="E33" i="21" s="1"/>
  <c r="D30" i="22"/>
  <c r="E30" i="22" s="1"/>
  <c r="E31" i="22" s="1"/>
  <c r="D39" i="21" s="1"/>
  <c r="E39" i="21" s="1"/>
  <c r="D14" i="22"/>
  <c r="E14" i="22" s="1"/>
  <c r="E15" i="22" s="1"/>
  <c r="D24" i="22"/>
  <c r="E24" i="22" s="1"/>
  <c r="E25" i="22" s="1"/>
  <c r="D37" i="21" s="1"/>
  <c r="E37" i="21" s="1"/>
  <c r="D17" i="22"/>
  <c r="E17" i="22" s="1"/>
  <c r="E18" i="22" s="1"/>
  <c r="D36" i="21" s="1"/>
  <c r="E36" i="21" s="1"/>
  <c r="G35" i="22"/>
  <c r="H35" i="22" s="1"/>
  <c r="H36" i="22" s="1"/>
  <c r="D40" i="21" s="1"/>
  <c r="E40" i="21" s="1"/>
  <c r="G39" i="22"/>
  <c r="H39" i="22" s="1"/>
  <c r="H40" i="22" s="1"/>
  <c r="D41" i="21" s="1"/>
  <c r="E41" i="21" s="1"/>
  <c r="G114" i="8"/>
  <c r="G86" i="10"/>
  <c r="G94" i="8"/>
  <c r="G95" i="8" s="1"/>
  <c r="G104" i="8" s="1"/>
  <c r="G86" i="6"/>
  <c r="G50" i="3"/>
  <c r="G27" i="3"/>
  <c r="G27" i="1"/>
  <c r="G72" i="1" s="1"/>
  <c r="G47" i="1"/>
  <c r="G50" i="1" s="1"/>
  <c r="E55" i="21" l="1"/>
  <c r="F55" i="21" s="1"/>
  <c r="D34" i="21"/>
  <c r="E34" i="21" s="1"/>
  <c r="D35" i="21"/>
  <c r="E35" i="21" s="1"/>
  <c r="G87" i="10"/>
  <c r="G105" i="10" s="1"/>
  <c r="G87" i="6"/>
  <c r="G105" i="6" s="1"/>
  <c r="G98" i="3"/>
  <c r="G32" i="3"/>
  <c r="G72" i="3"/>
  <c r="G33" i="3"/>
  <c r="G32" i="1"/>
  <c r="G33" i="1"/>
  <c r="G98" i="1"/>
  <c r="E42" i="21" l="1"/>
  <c r="F42" i="21" s="1"/>
  <c r="G91" i="10"/>
  <c r="G92" i="10"/>
  <c r="G90" i="10"/>
  <c r="G93" i="10"/>
  <c r="G89" i="10"/>
  <c r="G108" i="10"/>
  <c r="G110" i="10" s="1"/>
  <c r="G112" i="10" s="1"/>
  <c r="G91" i="6"/>
  <c r="G93" i="6"/>
  <c r="G89" i="6"/>
  <c r="G108" i="6"/>
  <c r="G110" i="6" s="1"/>
  <c r="G112" i="6" s="1"/>
  <c r="G92" i="6"/>
  <c r="G90" i="6"/>
  <c r="G34" i="3"/>
  <c r="G34" i="1"/>
  <c r="G40" i="1" s="1"/>
  <c r="G40" i="23" l="1"/>
  <c r="H40" i="23" s="1"/>
  <c r="H41" i="23" s="1"/>
  <c r="D31" i="21" s="1"/>
  <c r="E31" i="21" s="1"/>
  <c r="D24" i="23"/>
  <c r="E24" i="23" s="1"/>
  <c r="E25" i="23" s="1"/>
  <c r="D27" i="21" s="1"/>
  <c r="E27" i="21" s="1"/>
  <c r="D8" i="23"/>
  <c r="E8" i="23" s="1"/>
  <c r="E9" i="23" s="1"/>
  <c r="D23" i="21" s="1"/>
  <c r="E23" i="21" s="1"/>
  <c r="G35" i="23"/>
  <c r="H35" i="23" s="1"/>
  <c r="H36" i="23" s="1"/>
  <c r="D30" i="21" s="1"/>
  <c r="E30" i="21" s="1"/>
  <c r="D17" i="23"/>
  <c r="D30" i="23"/>
  <c r="E30" i="23" s="1"/>
  <c r="E31" i="23" s="1"/>
  <c r="D29" i="21" s="1"/>
  <c r="E29" i="21" s="1"/>
  <c r="D14" i="23"/>
  <c r="E14" i="23" s="1"/>
  <c r="E15" i="23" s="1"/>
  <c r="D25" i="21" s="1"/>
  <c r="E25" i="21" s="1"/>
  <c r="D27" i="23"/>
  <c r="E27" i="23" s="1"/>
  <c r="E28" i="23" s="1"/>
  <c r="D28" i="21" s="1"/>
  <c r="E28" i="21" s="1"/>
  <c r="D11" i="23"/>
  <c r="E11" i="23" s="1"/>
  <c r="E12" i="23" s="1"/>
  <c r="D24" i="21" s="1"/>
  <c r="E24" i="21" s="1"/>
  <c r="D24" i="24"/>
  <c r="D11" i="24"/>
  <c r="E11" i="24" s="1"/>
  <c r="E12" i="24" s="1"/>
  <c r="D44" i="21" s="1"/>
  <c r="E44" i="21" s="1"/>
  <c r="D8" i="24"/>
  <c r="D18" i="24"/>
  <c r="E18" i="24" s="1"/>
  <c r="E19" i="24" s="1"/>
  <c r="D45" i="21" s="1"/>
  <c r="E45" i="21" s="1"/>
  <c r="G29" i="24"/>
  <c r="H29" i="24" s="1"/>
  <c r="H30" i="24" s="1"/>
  <c r="D49" i="21" s="1"/>
  <c r="E49" i="21" s="1"/>
  <c r="D21" i="24"/>
  <c r="G34" i="24"/>
  <c r="H34" i="24" s="1"/>
  <c r="H35" i="24" s="1"/>
  <c r="D50" i="21" s="1"/>
  <c r="E50" i="21" s="1"/>
  <c r="G94" i="10"/>
  <c r="G95" i="10" s="1"/>
  <c r="G104" i="10" s="1"/>
  <c r="G114" i="10"/>
  <c r="G114" i="6"/>
  <c r="G94" i="6"/>
  <c r="G95" i="6" s="1"/>
  <c r="G104" i="6" s="1"/>
  <c r="G43" i="1"/>
  <c r="G37" i="1"/>
  <c r="G36" i="3"/>
  <c r="G40" i="3"/>
  <c r="G54" i="3"/>
  <c r="G37" i="3"/>
  <c r="G41" i="3"/>
  <c r="G39" i="3"/>
  <c r="G38" i="3"/>
  <c r="G42" i="3"/>
  <c r="G43" i="3"/>
  <c r="G59" i="3"/>
  <c r="G57" i="3"/>
  <c r="G58" i="3" s="1"/>
  <c r="G54" i="1"/>
  <c r="G56" i="1" s="1"/>
  <c r="G57" i="1"/>
  <c r="G58" i="1" s="1"/>
  <c r="G39" i="1"/>
  <c r="G42" i="1"/>
  <c r="G38" i="1"/>
  <c r="G41" i="1"/>
  <c r="G36" i="1"/>
  <c r="G59" i="1"/>
  <c r="E17" i="23" l="1"/>
  <c r="E18" i="23" s="1"/>
  <c r="D26" i="21" s="1"/>
  <c r="E26" i="21" s="1"/>
  <c r="E32" i="21" s="1"/>
  <c r="F32" i="21" s="1"/>
  <c r="E24" i="24"/>
  <c r="E25" i="24" s="1"/>
  <c r="E21" i="24"/>
  <c r="E22" i="24" s="1"/>
  <c r="D46" i="21" s="1"/>
  <c r="E46" i="21" s="1"/>
  <c r="E8" i="24"/>
  <c r="E9" i="24" s="1"/>
  <c r="D43" i="21" s="1"/>
  <c r="E43" i="21" s="1"/>
  <c r="G44" i="3"/>
  <c r="G56" i="3"/>
  <c r="G60" i="3" s="1"/>
  <c r="G100" i="3" s="1"/>
  <c r="G60" i="1"/>
  <c r="G100" i="1" s="1"/>
  <c r="G44" i="1"/>
  <c r="G51" i="1" s="1"/>
  <c r="D47" i="21" l="1"/>
  <c r="E47" i="21" s="1"/>
  <c r="D48" i="21"/>
  <c r="E48" i="21" s="1"/>
  <c r="G70" i="1"/>
  <c r="G70" i="3"/>
  <c r="G66" i="3"/>
  <c r="G68" i="3"/>
  <c r="G51" i="3"/>
  <c r="G68" i="1"/>
  <c r="G66" i="1"/>
  <c r="G99" i="1"/>
  <c r="G64" i="1"/>
  <c r="E51" i="21" l="1"/>
  <c r="F51" i="21" s="1"/>
  <c r="G99" i="3"/>
  <c r="G64" i="3"/>
  <c r="G74" i="3" s="1"/>
  <c r="G77" i="3" s="1"/>
  <c r="G101" i="3" s="1"/>
  <c r="G74" i="1"/>
  <c r="G77" i="1" s="1"/>
  <c r="G101" i="1" s="1"/>
  <c r="G103" i="1" s="1"/>
  <c r="G103" i="3" l="1"/>
  <c r="G86" i="3" s="1"/>
  <c r="G86" i="1"/>
  <c r="G87" i="3" l="1"/>
  <c r="G105" i="3" s="1"/>
  <c r="G91" i="3" s="1"/>
  <c r="G87" i="1"/>
  <c r="G105" i="1" s="1"/>
  <c r="G89" i="3" l="1"/>
  <c r="G93" i="3"/>
  <c r="G92" i="3"/>
  <c r="G90" i="3"/>
  <c r="G108" i="3"/>
  <c r="G110" i="3" s="1"/>
  <c r="G112" i="3" s="1"/>
  <c r="G91" i="1"/>
  <c r="G90" i="1"/>
  <c r="G93" i="1"/>
  <c r="G89" i="1"/>
  <c r="G108" i="1"/>
  <c r="G110" i="1" s="1"/>
  <c r="G112" i="1" s="1"/>
  <c r="G92" i="1"/>
  <c r="D17" i="20" l="1"/>
  <c r="E17" i="20" s="1"/>
  <c r="E18" i="20" s="1"/>
  <c r="D16" i="21" s="1"/>
  <c r="E16" i="21" s="1"/>
  <c r="G35" i="20"/>
  <c r="H35" i="20" s="1"/>
  <c r="H36" i="20" s="1"/>
  <c r="D20" i="21" s="1"/>
  <c r="E20" i="21" s="1"/>
  <c r="D11" i="20"/>
  <c r="E11" i="20" s="1"/>
  <c r="E12" i="20" s="1"/>
  <c r="D14" i="21" s="1"/>
  <c r="E14" i="21" s="1"/>
  <c r="D27" i="20"/>
  <c r="E27" i="20" s="1"/>
  <c r="E28" i="20" s="1"/>
  <c r="D18" i="21" s="1"/>
  <c r="E18" i="21" s="1"/>
  <c r="D30" i="20"/>
  <c r="E30" i="20" s="1"/>
  <c r="E31" i="20" s="1"/>
  <c r="D19" i="21" s="1"/>
  <c r="E19" i="21" s="1"/>
  <c r="D14" i="20"/>
  <c r="E14" i="20" s="1"/>
  <c r="E15" i="20" s="1"/>
  <c r="D15" i="21" s="1"/>
  <c r="E15" i="21" s="1"/>
  <c r="D24" i="20"/>
  <c r="E24" i="20" s="1"/>
  <c r="E25" i="20" s="1"/>
  <c r="D17" i="21" s="1"/>
  <c r="E17" i="21" s="1"/>
  <c r="G40" i="20"/>
  <c r="H40" i="20" s="1"/>
  <c r="H41" i="20" s="1"/>
  <c r="D21" i="21" s="1"/>
  <c r="E21" i="21" s="1"/>
  <c r="D8" i="20"/>
  <c r="E8" i="20" s="1"/>
  <c r="E9" i="20" s="1"/>
  <c r="D13" i="21" s="1"/>
  <c r="E13" i="21" s="1"/>
  <c r="D27" i="19"/>
  <c r="E27" i="19" s="1"/>
  <c r="E28" i="19" s="1"/>
  <c r="D8" i="21" s="1"/>
  <c r="E8" i="21" s="1"/>
  <c r="D30" i="19"/>
  <c r="D11" i="19"/>
  <c r="G40" i="19"/>
  <c r="H40" i="19" s="1"/>
  <c r="H41" i="19" s="1"/>
  <c r="D11" i="21" s="1"/>
  <c r="E11" i="21" s="1"/>
  <c r="D24" i="19"/>
  <c r="E24" i="19" s="1"/>
  <c r="E25" i="19" s="1"/>
  <c r="D7" i="21" s="1"/>
  <c r="E7" i="21" s="1"/>
  <c r="D8" i="19"/>
  <c r="D17" i="19"/>
  <c r="E17" i="19" s="1"/>
  <c r="E18" i="19" s="1"/>
  <c r="D6" i="21" s="1"/>
  <c r="E6" i="21" s="1"/>
  <c r="G35" i="19"/>
  <c r="H35" i="19" s="1"/>
  <c r="H36" i="19" s="1"/>
  <c r="D10" i="21" s="1"/>
  <c r="E10" i="21" s="1"/>
  <c r="D14" i="19"/>
  <c r="E14" i="19" s="1"/>
  <c r="E15" i="19" s="1"/>
  <c r="D5" i="21" s="1"/>
  <c r="E5" i="21" s="1"/>
  <c r="G114" i="1"/>
  <c r="G94" i="3"/>
  <c r="G95" i="3" s="1"/>
  <c r="G104" i="3" s="1"/>
  <c r="G114" i="3"/>
  <c r="G94" i="1"/>
  <c r="G95" i="1" s="1"/>
  <c r="G104" i="1" s="1"/>
  <c r="E11" i="19" l="1"/>
  <c r="E12" i="19" s="1"/>
  <c r="D4" i="21" s="1"/>
  <c r="E4" i="21" s="1"/>
  <c r="E8" i="19"/>
  <c r="E9" i="19" s="1"/>
  <c r="D3" i="21" s="1"/>
  <c r="E3" i="21" s="1"/>
  <c r="E30" i="19"/>
  <c r="E31" i="19" s="1"/>
  <c r="D9" i="21" s="1"/>
  <c r="E9" i="21" s="1"/>
  <c r="E22" i="21"/>
  <c r="F22" i="21" s="1"/>
  <c r="E12" i="21" l="1"/>
  <c r="F56" i="21" s="1"/>
  <c r="F12" i="2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<sst xmlns="http://schemas.openxmlformats.org/spreadsheetml/2006/main" count="1838" uniqueCount="385">
  <si>
    <t>PLANILHA DE CUSTOS E FORMAÇÃO DE PREÇOS</t>
  </si>
  <si>
    <t xml:space="preserve">Número do  Processo: </t>
  </si>
  <si>
    <t>Número da Licitação:</t>
  </si>
  <si>
    <t>Data da Proposta _____/_____/________  às ____:_____ horas</t>
  </si>
  <si>
    <t>DADOS REFERENTES À CONTRATAÇÃO E DISCRIMINAÇÃO DOS SERVIÇOS</t>
  </si>
  <si>
    <t>A</t>
  </si>
  <si>
    <t>Município:</t>
  </si>
  <si>
    <t>B</t>
  </si>
  <si>
    <t>Sindicatos Vinculados (CNPJ) OU CCT Registrada:</t>
  </si>
  <si>
    <t>C</t>
  </si>
  <si>
    <t xml:space="preserve">Ano do Acordo, Convenção ou Sentença Normativa em Dissídio Coletivo: </t>
  </si>
  <si>
    <t>D</t>
  </si>
  <si>
    <t>Categoria profissional (vinculada a execução contratual):</t>
  </si>
  <si>
    <t>E</t>
  </si>
  <si>
    <t>Classificação Brasileira de Ocupações (CBO)</t>
  </si>
  <si>
    <t>F</t>
  </si>
  <si>
    <t>Data base da categoria:</t>
  </si>
  <si>
    <t>1º de janeiro</t>
  </si>
  <si>
    <t>G</t>
  </si>
  <si>
    <t>Piso salarial específico da categoria</t>
  </si>
  <si>
    <t>H</t>
  </si>
  <si>
    <t>Número de meses de execução contratual:</t>
  </si>
  <si>
    <t>I</t>
  </si>
  <si>
    <t>Unidade de medida:</t>
  </si>
  <si>
    <t>Posto</t>
  </si>
  <si>
    <t>J</t>
  </si>
  <si>
    <t>Quantidade total a contratar em função da unidade de medida (qtde de postos)</t>
  </si>
  <si>
    <t>MÓDULO 1 - COMPOSIÇÃO DA REMUNERAÇÃO</t>
  </si>
  <si>
    <t>VALOR</t>
  </si>
  <si>
    <t>Salário Base Mensal</t>
  </si>
  <si>
    <t>TOTAL - MÓDULO 1 - REMUNERAÇÃO</t>
  </si>
  <si>
    <t>MÓDULO 2 - ENCARGOS E BENEFÍCIOS ANUAIS, MENSAIS E DIÁRIOS</t>
  </si>
  <si>
    <t>Submódulo 2.1 - 13º Salário  e Adicional de Férias</t>
  </si>
  <si>
    <t>Alíquota</t>
  </si>
  <si>
    <r>
      <t>13º Salário</t>
    </r>
    <r>
      <rPr>
        <sz val="9"/>
        <color rgb="FF000000"/>
        <rFont val="Arial"/>
        <family val="2"/>
      </rPr>
      <t xml:space="preserve"> </t>
    </r>
    <r>
      <rPr>
        <sz val="8"/>
        <color rgb="FFC00000"/>
        <rFont val="Arial"/>
        <family val="2"/>
      </rPr>
      <t>{Cálculo do Valor = Remuneração X 8,33%}</t>
    </r>
  </si>
  <si>
    <r>
      <t>Adicional de Férias</t>
    </r>
    <r>
      <rPr>
        <sz val="8"/>
        <color rgb="FF000000"/>
        <rFont val="Arial"/>
        <family val="2"/>
      </rPr>
      <t xml:space="preserve"> </t>
    </r>
    <r>
      <rPr>
        <sz val="8"/>
        <color rgb="FFC00000"/>
        <rFont val="Arial"/>
        <family val="2"/>
      </rPr>
      <t>{Cálculo do Valor = Remuneração X 2,78%}</t>
    </r>
    <r>
      <rPr>
        <sz val="11"/>
        <color rgb="FF000000"/>
        <rFont val="Arial"/>
        <family val="2"/>
      </rPr>
      <t xml:space="preserve">
</t>
    </r>
  </si>
  <si>
    <t>TOTAL Submódulo 2.1</t>
  </si>
  <si>
    <t>Submódulo 2.2 - Encargos Previdenciários (GPS), Fundo de Garantia (FGTS) e Outas Contribuições</t>
  </si>
  <si>
    <t>INSS</t>
  </si>
  <si>
    <t>{Cálculo do Valor = Remuneração mensal e remuneração anual X Percentual Legal}</t>
  </si>
  <si>
    <t>Salário Educação</t>
  </si>
  <si>
    <t>{Cálculo do Valor =  Remuneração mensal e remuneração anual  X Percentual Legal}</t>
  </si>
  <si>
    <r>
      <t xml:space="preserve">Seguro Acidente de Trabalho = RAT x FAP </t>
    </r>
    <r>
      <rPr>
        <sz val="9"/>
        <color rgb="FFFF0000"/>
        <rFont val="Arial"/>
        <family val="2"/>
      </rPr>
      <t xml:space="preserve"> </t>
    </r>
    <r>
      <rPr>
        <sz val="8"/>
        <color rgb="FFC00000"/>
        <rFont val="Arial"/>
        <family val="2"/>
      </rPr>
      <t>{Estimativa de Valor Máximo Aceitável = 3% X 2,0000 = 6%}</t>
    </r>
  </si>
  <si>
    <t xml:space="preserve"> {Cálculo do Valor =  Remuneração mensal e remuneração anual  X Percentual Risco Leve, Médio ou Grave  X FAP (Fator - FapWeb - Obrigatório Comprovação)}</t>
  </si>
  <si>
    <t>SESC ou SESI</t>
  </si>
  <si>
    <t>SENAI ou SENAC</t>
  </si>
  <si>
    <t>SEBRAE</t>
  </si>
  <si>
    <t>INCRA</t>
  </si>
  <si>
    <t>FGTS</t>
  </si>
  <si>
    <t>TOTAL Submódulo 2.2</t>
  </si>
  <si>
    <t>Submódulo 2.3 - Benefícios Mensais e Diários</t>
  </si>
  <si>
    <r>
      <t>Auxílio Alimentação</t>
    </r>
    <r>
      <rPr>
        <sz val="8"/>
        <color rgb="FFC00000"/>
        <rFont val="Arial"/>
        <family val="2"/>
      </rPr>
      <t xml:space="preserve"> [Cálculo do valor = [(22 dias x VA ou VA mensal) x (1 - % de participação do empregado)]]</t>
    </r>
  </si>
  <si>
    <r>
      <t xml:space="preserve">Vale Transporte </t>
    </r>
    <r>
      <rPr>
        <sz val="8"/>
        <color rgb="FFC00000"/>
        <rFont val="Arial"/>
        <family val="2"/>
      </rPr>
      <t>{Cálculo do Valor: [(2 X VT X 22)]  - 6% X SB]}</t>
    </r>
  </si>
  <si>
    <t>TOTAL Submódulo 2.3</t>
  </si>
  <si>
    <t>TOTAL - MÓDULO 2 - ENCARGOS E BENEFÍCIOS ANUAIS, MENSAIS E DIÁRIOS</t>
  </si>
  <si>
    <t>MÓDULO 3 - PROVISÃO PARA RESCISÃO</t>
  </si>
  <si>
    <r>
      <t xml:space="preserve">Aviso Prévio Indenizado: Ocorrências ao longa da execução </t>
    </r>
    <r>
      <rPr>
        <sz val="8"/>
        <color rgb="FFC00000"/>
        <rFont val="Arial"/>
        <family val="2"/>
      </rPr>
      <t xml:space="preserve"> [Cálculo do valor = [(1/12) X 5%] = 0,42%. BC: remuneração mensal e a remuneração anual.] </t>
    </r>
  </si>
  <si>
    <r>
      <t xml:space="preserve">Percentual de dispensa sem justa causa com aviso Prévio Indenizado </t>
    </r>
    <r>
      <rPr>
        <sz val="8"/>
        <color rgb="FFC00000"/>
        <rFont val="Arial"/>
        <family val="2"/>
      </rPr>
      <t>(Considerado o percentual de 5% de probabilidade de dispensa. A empresa deverá cotar este percentual de acordo com a sua realidade e a quantidade de empregados no posto de trabalho.)</t>
    </r>
  </si>
  <si>
    <r>
      <t>Incidência do FGTS sobre o Aviso Prévio Indenizado</t>
    </r>
    <r>
      <rPr>
        <sz val="9"/>
        <color rgb="FFC00000"/>
        <rFont val="Arial"/>
        <family val="2"/>
      </rPr>
      <t xml:space="preserve"> [Cálculo do Valor: (Valor do Aviso Prévio Indenizado X Perc. FGTS)]</t>
    </r>
  </si>
  <si>
    <r>
      <t xml:space="preserve">Aviso Prévio Trabalhado: Término do Contrato </t>
    </r>
    <r>
      <rPr>
        <sz val="8"/>
        <color rgb="FFC00000"/>
        <rFont val="Arial"/>
        <family val="2"/>
      </rPr>
      <t>[Cálculo do valor:  [(7/30)/12] =1,94%; BC: remuneração mensal e a remuneração anual.] OBS: Após o primeiro ano de contrato ajustar o percentual: ((3/30)/12)=0,83%</t>
    </r>
  </si>
  <si>
    <t>Incidência dos encargos do submódulo 2.2 sobre o Aviso Prévio Trabalhado</t>
  </si>
  <si>
    <r>
      <t>Multa do FGTS sobre o Aviso Prévio Indenizado e Sobre o Aviso Prévio Trabalhado</t>
    </r>
    <r>
      <rPr>
        <sz val="9"/>
        <color rgb="FFC9211E"/>
        <rFont val="Arial"/>
        <family val="2"/>
      </rPr>
      <t xml:space="preserve"> [Cálculo do percentual = [40%x8%x 100% (Rem+13º+Férias+1/3xFérias)] = [(8% X 40%) X 100%] X [1+ 5/56 + 5/56 + 5/168] = 3,85%</t>
    </r>
  </si>
  <si>
    <t>TOTAL - MÓDULO 3 - PROVISÃO PARA RESCISÃO</t>
  </si>
  <si>
    <t>MÓDULO 4 - CUSTO DE REPOSIÇÃO DO PROFISSIONAL AUSENTE</t>
  </si>
  <si>
    <t>Submódulo 4.1 - Substituto nas Ausências Legais</t>
  </si>
  <si>
    <t>Férias</t>
  </si>
  <si>
    <r>
      <t>Percentual de férias</t>
    </r>
    <r>
      <rPr>
        <sz val="8"/>
        <color rgb="FFC00000"/>
        <rFont val="Arial"/>
        <family val="2"/>
      </rPr>
      <t xml:space="preserve">   {Percentual de 8,33% (1/12); BC: MOD 1, 2 e 3.}</t>
    </r>
  </si>
  <si>
    <t>Ausências Legais</t>
  </si>
  <si>
    <r>
      <t xml:space="preserve">Percentual de ausências legais </t>
    </r>
    <r>
      <rPr>
        <sz val="8"/>
        <color rgb="FFC00000"/>
        <rFont val="Arial"/>
        <family val="2"/>
      </rPr>
      <t>(Considerado 6 dias de afastamento por anos (atestados médicos, casamento, falecimento de parente, doação de sangue, ... e 360 dias anuais: (6/360) - BC: Remuneração, Encargos e Benefícios Anuais. A empresa deverá cotar este percentual de acordo com a sua realidade e a quantidade de empregados no posto de trabalho.)</t>
    </r>
  </si>
  <si>
    <t>Paternidade</t>
  </si>
  <si>
    <r>
      <t xml:space="preserve">Percentual de Afastamento Paternidade </t>
    </r>
    <r>
      <rPr>
        <sz val="8"/>
        <color rgb="FFC00000"/>
        <rFont val="Arial"/>
        <family val="2"/>
      </rPr>
      <t>{Considerado 5 dias de licença, 360 dias anuais e 1,399% de frequência anual estimada de paternidade [(5/360) X 1,399%] (fonte IBGE) BC: Remuneração, Encargos e Benefícios Anuais.}</t>
    </r>
  </si>
  <si>
    <t>Acidente trabalho</t>
  </si>
  <si>
    <r>
      <t xml:space="preserve">Percentual de Acidente de Trabalho </t>
    </r>
    <r>
      <rPr>
        <sz val="8"/>
        <color rgb="FFC00000"/>
        <rFont val="Arial"/>
        <family val="2"/>
      </rPr>
      <t>{Considerado 15 dias de licença, 360 dias anuais, 2,16% de percentual de frequência anual estimada BEPS dez/2019 ((15/360) X 2,16%) BC: Remuneração, Encargos e Benefícios Anuais.}</t>
    </r>
  </si>
  <si>
    <t>Maternidade</t>
  </si>
  <si>
    <r>
      <t>Percentual de Afastamento Maternidade</t>
    </r>
    <r>
      <rPr>
        <sz val="8"/>
        <color rgb="FFC00000"/>
        <rFont val="Arial"/>
        <family val="2"/>
      </rPr>
      <t xml:space="preserve"> {Considerado 50% dos trabalhadores do sexo feminino, 1,399% taxa de natalidade Brasil2020 e 4 meses de afastamento [50% * 1,399% * (4/12) * (8,93% + 8,93% + 2,98%)]; BC: Remuneração.}</t>
    </r>
  </si>
  <si>
    <t>TOTAL Submódulo 4.1</t>
  </si>
  <si>
    <t>TOTAL - MÓDULO 4 - CUSTO DE REPOSIÇÃO DO PROFISSIONAL AUSENTE</t>
  </si>
  <si>
    <t>MÓDULO 5 - INSUMOS DIVERSOS</t>
  </si>
  <si>
    <t>Uniformes</t>
  </si>
  <si>
    <t>Ferramentas e Equipamentos</t>
  </si>
  <si>
    <t>TOTAL - MÓDULO 5 - INSUMOS DIVERSOS</t>
  </si>
  <si>
    <t>MÓDULO 6 - CUSTOS INDIRETOS, TRIBUTOS E LUCRO</t>
  </si>
  <si>
    <r>
      <t xml:space="preserve">Custos Indiretos </t>
    </r>
    <r>
      <rPr>
        <sz val="8"/>
        <color rgb="FFC00000"/>
        <rFont val="Arial"/>
        <family val="2"/>
      </rPr>
      <t>(BC: Módulos 1 a 5)</t>
    </r>
  </si>
  <si>
    <r>
      <t xml:space="preserve">Lucro </t>
    </r>
    <r>
      <rPr>
        <sz val="8"/>
        <color rgb="FFC00000"/>
        <rFont val="Arial"/>
        <family val="2"/>
      </rPr>
      <t>(BC: Módulos 1 a 5 e Valor dos Custos Indiretos)</t>
    </r>
  </si>
  <si>
    <r>
      <t>Tributos</t>
    </r>
    <r>
      <rPr>
        <sz val="8"/>
        <color rgb="FFC00000"/>
        <rFont val="Arial"/>
        <family val="2"/>
      </rPr>
      <t xml:space="preserve"> (BC: Valor mensal total por empregado.)</t>
    </r>
  </si>
  <si>
    <t>Tributos Federais</t>
  </si>
  <si>
    <t>PIS</t>
  </si>
  <si>
    <t>COFINS</t>
  </si>
  <si>
    <t>OUTROS</t>
  </si>
  <si>
    <t>ISSQN</t>
  </si>
  <si>
    <r>
      <t>INSS PATRONAL</t>
    </r>
    <r>
      <rPr>
        <sz val="8"/>
        <color rgb="FFC00000"/>
        <rFont val="Arial"/>
        <family val="2"/>
      </rPr>
      <t xml:space="preserve"> (em caso de desoneração da folha de pagmentos - Lei 14.288 de 31/12/2021))</t>
    </r>
  </si>
  <si>
    <t>Total de tributos</t>
  </si>
  <si>
    <t>TOTAL - MÓDULO 6 - CUSTOS INDIRETOS, TRIBUTOS E LUCRO</t>
  </si>
  <si>
    <t>VALOR POR EMPREGADO - QUADRO RESUMO</t>
  </si>
  <si>
    <t>Módulo 1 - Composição da Remuneração</t>
  </si>
  <si>
    <t>Módulo 2 - Encargos e Benefícios Anuais, Mensais e Diários</t>
  </si>
  <si>
    <t>Módulo 3 - Provisão para Rescisão</t>
  </si>
  <si>
    <t>Módulo 4 - Custo para Reposição do Profissional Ausente</t>
  </si>
  <si>
    <t>Módulo 5 - Insumos Diversos</t>
  </si>
  <si>
    <t>Subtotal (Mód 1 + Mód 2 + Mód 3 + Mód 4 + Mód 5)</t>
  </si>
  <si>
    <t>Módulo 6 - Custos Indiretos, Tributos e Lucros</t>
  </si>
  <si>
    <r>
      <t xml:space="preserve">VALOR MENSAL TOTAL POR EMPREGADO                                                                                                </t>
    </r>
    <r>
      <rPr>
        <b/>
        <sz val="8"/>
        <color theme="2" tint="-0.249977111117893"/>
        <rFont val="Arial"/>
        <family val="2"/>
      </rPr>
      <t>{Cálculado na fórmula: =(Subtotal Mód. 1 a 5 + Lucro + Custos Indiretos) / (1 - Percentual total dos tributos)}</t>
    </r>
  </si>
  <si>
    <t>VALOR MENSAL E GLOBAL DOS SERVIÇOS</t>
  </si>
  <si>
    <t>VALOR MENSAL POR EMPREGADO (A)</t>
  </si>
  <si>
    <t>QTDE DE EMPREGADOS POR POSTO (B)</t>
  </si>
  <si>
    <t>VALOR MENSAL POR POSTO (C) = (A) X (B)</t>
  </si>
  <si>
    <t>QUANTIDADE DE POSTOS (D)</t>
  </si>
  <si>
    <t>VALOR MENSAL TOTAL (E) = (C) x (D)</t>
  </si>
  <si>
    <t xml:space="preserve">Serviços de Limpeza - Servente </t>
  </si>
  <si>
    <t>2024/2024</t>
  </si>
  <si>
    <t>Servente de Limpeza</t>
  </si>
  <si>
    <t>5143-20</t>
  </si>
  <si>
    <t>2024/2025</t>
  </si>
  <si>
    <t>Adicional de Insalubridade</t>
  </si>
  <si>
    <t>Outros (especificar)</t>
  </si>
  <si>
    <t>LOCAL</t>
  </si>
  <si>
    <t>TIPO DE ÁREA</t>
  </si>
  <si>
    <t>ÁREA                   M²</t>
  </si>
  <si>
    <t>Produtividade</t>
  </si>
  <si>
    <t>Nº de Serventes</t>
  </si>
  <si>
    <t xml:space="preserve">Área interna - Pisos Frios </t>
  </si>
  <si>
    <t>Área interna - Almoxarifados/Galpões</t>
  </si>
  <si>
    <t>Área interna - Áreas com espaços livres - Saguão, Hall e Salão</t>
  </si>
  <si>
    <t>Área interna - Banheiros</t>
  </si>
  <si>
    <t>Áreas ext - Pisos pav. Adj./com. às edif.</t>
  </si>
  <si>
    <t>Áreas ext - Pátios áreas verdes / média freq.</t>
  </si>
  <si>
    <t>Esquadrias ext. Face Interna</t>
  </si>
  <si>
    <t>Esquadrias ext. - Face ext. c/ exp a sit de risco</t>
  </si>
  <si>
    <t>SUBTOTAL</t>
  </si>
  <si>
    <t xml:space="preserve">Área interna Pisos Frios </t>
  </si>
  <si>
    <t>QUANTIDADE TOTAL DE SERVENTES</t>
  </si>
  <si>
    <t>VALOR PARA 20 MESES</t>
  </si>
  <si>
    <t>Cláusula 12ª, CCT TO 000017/2024 c/c Contrato nº 169/2023</t>
  </si>
  <si>
    <t>DIÁRIA</t>
  </si>
  <si>
    <t>SEMANAL</t>
  </si>
  <si>
    <t>MENSAL</t>
  </si>
  <si>
    <t>DIAS/SEMANA</t>
  </si>
  <si>
    <t>DIAS/MÊS</t>
  </si>
  <si>
    <t>DIAS/ANO</t>
  </si>
  <si>
    <t>SEG A SÁB.</t>
  </si>
  <si>
    <t>Metragem limpa por dia</t>
  </si>
  <si>
    <t>Frequência</t>
  </si>
  <si>
    <t>Periodicidade</t>
  </si>
  <si>
    <t>DVA/VG</t>
  </si>
  <si>
    <t>BGR/MT</t>
  </si>
  <si>
    <t>Área ext. - Varrição de passeios e arruamentos</t>
  </si>
  <si>
    <t>Áreas ext. - Pisos pav. Adj./com. às edif.</t>
  </si>
  <si>
    <t>Áreas ext. - Pátios áreas verdes / média freq.</t>
  </si>
  <si>
    <t>Esquadrias - Face interna</t>
  </si>
  <si>
    <t>Esquadrias ext. - Face ext. sem exp. a sit. de risco</t>
  </si>
  <si>
    <t>ROO/MT</t>
  </si>
  <si>
    <t>TSE/MT</t>
  </si>
  <si>
    <t>CAC/MT</t>
  </si>
  <si>
    <t>CORIXA/MT</t>
  </si>
  <si>
    <t>Esquadrias ext. - Face ext. com exp. a sit. de risco</t>
  </si>
  <si>
    <t>Áreas ext - Pátios áreas verdes / baixa freq.</t>
  </si>
  <si>
    <t>Barra das Garças</t>
  </si>
  <si>
    <t>MT</t>
  </si>
  <si>
    <t>Cláusula c/c Decreto nº 4.861/2022.</t>
  </si>
  <si>
    <r>
      <t xml:space="preserve">Tributos Municipais </t>
    </r>
    <r>
      <rPr>
        <sz val="8"/>
        <color rgb="FFC00000"/>
        <rFont val="Arial"/>
        <family val="2"/>
      </rPr>
      <t>(Lei Complementar nº 45, de 15/12/1997, art. 64)</t>
    </r>
  </si>
  <si>
    <t>Rondonópolis/MT</t>
  </si>
  <si>
    <t>Cláusula c/c 8.874/2019.</t>
  </si>
  <si>
    <r>
      <t xml:space="preserve">Tributos Municipais </t>
    </r>
    <r>
      <rPr>
        <sz val="8"/>
        <color rgb="FFC00000"/>
        <rFont val="Arial"/>
        <family val="2"/>
      </rPr>
      <t>(Lei Complementar nº 109, de 19/12/2014, art. 165.)</t>
    </r>
  </si>
  <si>
    <t>Tangará da Serra/MT</t>
  </si>
  <si>
    <t>Cáceres/MT</t>
  </si>
  <si>
    <t>Corixa/MT</t>
  </si>
  <si>
    <t>Várzea Grande/MT</t>
  </si>
  <si>
    <t>Serviços de Limpeza - Servente</t>
  </si>
  <si>
    <t>Cláusula c/c Decreto nº 24/2022.</t>
  </si>
  <si>
    <r>
      <t xml:space="preserve">Tributos Municipais </t>
    </r>
    <r>
      <rPr>
        <sz val="8"/>
        <color rgb="FFC00000"/>
        <rFont val="Arial"/>
        <family val="2"/>
      </rPr>
      <t>(Lei nº 1.178/91, art. 84, I)</t>
    </r>
  </si>
  <si>
    <r>
      <t xml:space="preserve">Tributos Municipais </t>
    </r>
    <r>
      <rPr>
        <sz val="8"/>
        <color rgb="FFC00000"/>
        <rFont val="Arial"/>
        <family val="2"/>
      </rPr>
      <t>(Lei Complementar nº 148, de 26/12/2019, Anexo, 7.10)</t>
    </r>
  </si>
  <si>
    <r>
      <t xml:space="preserve">Tributos Municipais </t>
    </r>
    <r>
      <rPr>
        <sz val="8"/>
        <color rgb="FFC00000"/>
        <rFont val="Arial"/>
        <family val="2"/>
      </rPr>
      <t>(Lei Complementar nº 81/2023 - Anexo I - item 7.10.01)</t>
    </r>
  </si>
  <si>
    <t>Cláusula c/c Decreto nº 153/2022.</t>
  </si>
  <si>
    <t>ESTIMATIVA DE MATERIAIS E UTENSÍLIOS</t>
  </si>
  <si>
    <t>Item</t>
  </si>
  <si>
    <t xml:space="preserve">Materiais e Utensílios </t>
  </si>
  <si>
    <t>Unidade</t>
  </si>
  <si>
    <t>Quantidade Estimada para 20 Meses</t>
  </si>
  <si>
    <t>Preço Médio</t>
  </si>
  <si>
    <t>Valor Estimado para 20 Meses</t>
  </si>
  <si>
    <t>BGR</t>
  </si>
  <si>
    <t>ROO</t>
  </si>
  <si>
    <t>TSE</t>
  </si>
  <si>
    <t>CAC</t>
  </si>
  <si>
    <t>CORIXA</t>
  </si>
  <si>
    <t>DVAVG</t>
  </si>
  <si>
    <t>Água Sanitária de 1ª qualidade</t>
  </si>
  <si>
    <t>5 litros</t>
  </si>
  <si>
    <t>Álcool de limpeza, 70º</t>
  </si>
  <si>
    <t>1 litro</t>
  </si>
  <si>
    <t>Álcool gel</t>
  </si>
  <si>
    <t xml:space="preserve">Álcool gel, 500ml c/ tampa push pull </t>
  </si>
  <si>
    <t>500 ml</t>
  </si>
  <si>
    <t xml:space="preserve">Balde plástico – 20L </t>
  </si>
  <si>
    <t>Balde plástico – 10L</t>
  </si>
  <si>
    <t>Desinfetante líquido uso geral</t>
  </si>
  <si>
    <t>Desodorante sanitário pedra</t>
  </si>
  <si>
    <t>Detergente líquido para lavar louça</t>
  </si>
  <si>
    <t xml:space="preserve">Escova nylon oval plástica </t>
  </si>
  <si>
    <t>Esponja de aço pac c/ 08</t>
  </si>
  <si>
    <t>Pacote</t>
  </si>
  <si>
    <t xml:space="preserve">Esponja dupla face </t>
  </si>
  <si>
    <t>Flanela de limpeza 28x58</t>
  </si>
  <si>
    <t>Fibra limpeza pesada verde</t>
  </si>
  <si>
    <t>Limpa vidros</t>
  </si>
  <si>
    <t>Limpador multiuso</t>
  </si>
  <si>
    <t>Lustra móveis lavanda (200 ml)</t>
  </si>
  <si>
    <t xml:space="preserve">Luva latex c/ forro amarela </t>
  </si>
  <si>
    <t>Mangueira 50 metros</t>
  </si>
  <si>
    <t>Pá de plástico com cabo</t>
  </si>
  <si>
    <t>Pá de plástico sem cabo</t>
  </si>
  <si>
    <t xml:space="preserve">Pano de chão </t>
  </si>
  <si>
    <t>Pano limpeza, pac c/ 05 – 30x50</t>
  </si>
  <si>
    <t>Pano de prato 50x70</t>
  </si>
  <si>
    <t>Papel higiênico branco de 1ª qualidade, contendo 30m cada rolo, folha dupla, (fardo com 64 rolos).</t>
  </si>
  <si>
    <t>Fardo</t>
  </si>
  <si>
    <t>Papel toalha, branco, 2 dobras, pacote com 1.250 fls de 21 x 22,5cm</t>
  </si>
  <si>
    <t>pac c/ 1000 fls</t>
  </si>
  <si>
    <t>Pulverizador c/ gatilho 500ml</t>
  </si>
  <si>
    <t xml:space="preserve">Rodo plast. 40 cm c/ cabo 120 cm </t>
  </si>
  <si>
    <t xml:space="preserve">Rodo madeira c/ espuma </t>
  </si>
  <si>
    <t>Sabão em barra</t>
  </si>
  <si>
    <t>Sabão em pó multi-ação - 1kg</t>
  </si>
  <si>
    <t>Sabonete líquido para mãos, cremoso</t>
  </si>
  <si>
    <t>Saco de lixo preto c/ 100 – 020L</t>
  </si>
  <si>
    <t>Saco de lixo preto c/ 100 – 040L</t>
  </si>
  <si>
    <t>Saco de lixo preto c/ 100 – 100L</t>
  </si>
  <si>
    <t>Saponáceo em pó ou cremoso com cloro</t>
  </si>
  <si>
    <t>250ml</t>
  </si>
  <si>
    <t xml:space="preserve">Vassoura nylon c/ cabo </t>
  </si>
  <si>
    <t>Vassoura palha</t>
  </si>
  <si>
    <t>Vassoura sanitária c/ pote</t>
  </si>
  <si>
    <t xml:space="preserve">Estimativa por Undidade </t>
  </si>
  <si>
    <t>Estimativa Mensal (20 meses)</t>
  </si>
  <si>
    <t>Número de Serventes</t>
  </si>
  <si>
    <t>Estimativa Mensal por Servente (Materiais e Utensílios)</t>
  </si>
  <si>
    <t>ESTIMATIVA DE EQUIPAMENTOS (TAXA DE DEPRECIAÇÃO)</t>
  </si>
  <si>
    <t>Equipamentos</t>
  </si>
  <si>
    <t>Depreciação (em meses)</t>
  </si>
  <si>
    <t>Quantidade Estimada (20 meses)</t>
  </si>
  <si>
    <t>Valor Estimado (20 meses)</t>
  </si>
  <si>
    <t>Kit Carrinho MOP completo com 30 litros(balde, espremedor, cabo, refil de algodão e  placa sinalizadora)</t>
  </si>
  <si>
    <t>Aparador de grama. Elétrico, com fio de nylon com avanço atomático. Aplicação acabamentos.</t>
  </si>
  <si>
    <t>Aspirador de pó. Potência em torno de 1200W.</t>
  </si>
  <si>
    <t>Carrinho de limpeza para carregar produtos como vassouras e baldes.</t>
  </si>
  <si>
    <t>Dispenser para papel higiênico. Tamanho e modelo a depender do papel higiênico.</t>
  </si>
  <si>
    <t>Dispenser para papel toalha. Tamanho e modelo a depender do papel toalha a ser fornecido.</t>
  </si>
  <si>
    <t>Dispenser (reservatório) para sabonete líquido.</t>
  </si>
  <si>
    <t>EPI para operador de roçadeira (kit óculos, luva, chapéu etc.</t>
  </si>
  <si>
    <t>Escada de alumínio com 8 degraus, fabricada conforme critérios da ABNT.</t>
  </si>
  <si>
    <t>Kit poda de árvores com 3 tipos de tesouras.</t>
  </si>
  <si>
    <t>Lava-jato de alta pressão de aproximadamente 1700 libras, 1400W e 3 metros de mangueira.</t>
  </si>
  <si>
    <t>Lixeira plástica com capacidade de 100 L, com rodas.</t>
  </si>
  <si>
    <t>Placa sinalizadora em polipropeleno injetado de 65X30 cm, pesando aproximadamente 1,1 Kg com os dizeres: Cuidado! Piso molhado.</t>
  </si>
  <si>
    <t>Placa sinalizadora em polipropeleno injetado de 65X30 cm, pesando aproximadamente 1,1 kg com os dizeres: "WC fora de uso".</t>
  </si>
  <si>
    <t>Roçadeira, semelhante ao modelo FS 160 Stihl, à gasolina.</t>
  </si>
  <si>
    <t>Serra Manual para poda</t>
  </si>
  <si>
    <t>Estimativa por Undidade</t>
  </si>
  <si>
    <t>Estimativa Mensal por Servente (taxa de depreciação)</t>
  </si>
  <si>
    <t>UNIFORMES</t>
  </si>
  <si>
    <t>Descrição</t>
  </si>
  <si>
    <t>Quant.</t>
  </si>
  <si>
    <t>Valor Total</t>
  </si>
  <si>
    <t>Bota de borracha</t>
  </si>
  <si>
    <t>Botina em couro, com elático e bico de PVC</t>
  </si>
  <si>
    <t>Calçado profissional tênis softwork com atiderrapante</t>
  </si>
  <si>
    <t>Camiseta manga curta/poliéster e viscose</t>
  </si>
  <si>
    <t>Camiseta manga longa/poliéster e viscose</t>
  </si>
  <si>
    <t>Meias</t>
  </si>
  <si>
    <t>Óculos de Proteção</t>
  </si>
  <si>
    <t>Calça com elástico</t>
  </si>
  <si>
    <t>Crachá</t>
  </si>
  <si>
    <t>Custo do Uniforme para uma servente</t>
  </si>
  <si>
    <t>Valor mensal do Uniforme por servente (12 meses)</t>
  </si>
  <si>
    <t>Materiais</t>
  </si>
  <si>
    <t xml:space="preserve">Pisos Frios </t>
  </si>
  <si>
    <t>Almoxarifados/Galpões</t>
  </si>
  <si>
    <t>Áreas com espaços livres</t>
  </si>
  <si>
    <t>Banheiros</t>
  </si>
  <si>
    <t>Pisos pavimentos adjacentes</t>
  </si>
  <si>
    <t>Varrição de passeios e arruamentos</t>
  </si>
  <si>
    <t>Face externa sem exposição à situação de risco</t>
  </si>
  <si>
    <t>Face interna</t>
  </si>
  <si>
    <t>QUANTITATIVOS MÍNIMOS DE SERVENTES POR IMÓVEL</t>
  </si>
  <si>
    <t>QUINZENAL</t>
  </si>
  <si>
    <t>DIAS/QUINZENA</t>
  </si>
  <si>
    <t>Em conformidade com a Portaria RFB nº 894/2019, § 2º, nas unidades cujo atendimento prestado funciona durante 4 (quatro) horas diárias, fica autorizada a adequação dos índices de produtividade, de forma a ser possível a contratação de 1 (um) posto de 6 (seis) horas diárias, e de 1 (um) posto de 8 (oito) horas diárias naqueles cujo funcionamento é de 6 (seis) horas.</t>
  </si>
  <si>
    <t>Produtividade Ajustada</t>
  </si>
  <si>
    <t>Máxima</t>
  </si>
  <si>
    <t>Tipo de Área/Piso</t>
  </si>
  <si>
    <t>Pátios e áreas verdes com alta/média frequência</t>
  </si>
  <si>
    <t>PREÇO MENSAL UNITÁRIO POR M²</t>
  </si>
  <si>
    <t>ÁREAS INTERNAS</t>
  </si>
  <si>
    <t xml:space="preserve">MÃO DE OBRA </t>
  </si>
  <si>
    <t xml:space="preserve">(1 X 2)                                         </t>
  </si>
  <si>
    <t>PRODUTIVIDADE</t>
  </si>
  <si>
    <t>PREÇO HOMEM/MÊS</t>
  </si>
  <si>
    <t xml:space="preserve">SUBTOTAL                            </t>
  </si>
  <si>
    <t>(1/M²)</t>
  </si>
  <si>
    <t>(R$)</t>
  </si>
  <si>
    <t>(R$/M²)</t>
  </si>
  <si>
    <t>PISOS FRIOS</t>
  </si>
  <si>
    <t>Total</t>
  </si>
  <si>
    <t>ALMOXARIFADOS / GALPÕES</t>
  </si>
  <si>
    <t>ÁREAS COM ESPAÇOS LIVRES - SAGUÃO, HALL  e SALÃO</t>
  </si>
  <si>
    <t>BANHEIROS</t>
  </si>
  <si>
    <t>ÁREAS EXTERNAS</t>
  </si>
  <si>
    <t>PREÇO HOMEM-MÊS</t>
  </si>
  <si>
    <t>(1/m²)</t>
  </si>
  <si>
    <t>(R$/m²)</t>
  </si>
  <si>
    <t>PISOS PAVIMENTADOS ADJACENTES / CONTÍGUOS ÀS EDIFICAÇÕES</t>
  </si>
  <si>
    <t>VARRIÇÃO DE PASSEIOS E ARRUAMENTOS</t>
  </si>
  <si>
    <t>PÁTIOS E ÁREAS VERDES COM MÉDIA FREQUÊNCIA</t>
  </si>
  <si>
    <t>ESQUADRIAS</t>
  </si>
  <si>
    <t>Face Interna</t>
  </si>
  <si>
    <t>(1) PRODUTI-VIDADE (1/m²)</t>
  </si>
  <si>
    <t>(2) FREQUÊN-CIA NO MÊS (horas)</t>
  </si>
  <si>
    <t>(3) JORNADA DE TRABALHO NO MÊS (horas)</t>
  </si>
  <si>
    <t>(4)  = (1 X 2 X 3)   Ke</t>
  </si>
  <si>
    <t>(5) PREÇO HOMEM-MÊS           (R$)</t>
  </si>
  <si>
    <t>(6) = (4 X 5) SUBTOTAL (R$/m²)</t>
  </si>
  <si>
    <t>1/188,76</t>
  </si>
  <si>
    <t xml:space="preserve">ESQUADRIAS EXTERNAS </t>
  </si>
  <si>
    <t>FACE EXTERNA SEM EXPOSIÇÃO A SITUAÇÃO DE RISCO</t>
  </si>
  <si>
    <t>FACE EXTERNA COM EXPOSIÇÃO A SITUAÇÃO DE RISCO</t>
  </si>
  <si>
    <t>(1) PRODUTI-VIDADE (1/M²)</t>
  </si>
  <si>
    <t>(2) FREQUÊNCIA NO SEMESTRE (horas)</t>
  </si>
  <si>
    <t>(3) JORNADA DE TRABALHO NO SEMESTRE (horas)</t>
  </si>
  <si>
    <t>(6) = (4 X 5) SUBTOTAL (R$/M²)</t>
  </si>
  <si>
    <t>1/1132,6</t>
  </si>
  <si>
    <t>1/160</t>
  </si>
  <si>
    <t>M² BARRA DAS GARÇAS MT</t>
  </si>
  <si>
    <t>Preço Unitário Mensal (R$/m²)</t>
  </si>
  <si>
    <t>VALOR MENSAL</t>
  </si>
  <si>
    <t>VALOR TOTAL (20 meses)</t>
  </si>
  <si>
    <t>G2 - RESUMO DA CONTRAÇÃO</t>
  </si>
  <si>
    <t>ARF/BGR</t>
  </si>
  <si>
    <t>PÁTIOS E ÁREAS VERDES COM MÉDIA/ALTA FREQUÊNCIA</t>
  </si>
  <si>
    <t>ARF/ROO</t>
  </si>
  <si>
    <t>M² RONDONÓPOLIS MT</t>
  </si>
  <si>
    <t>M² TANGARÁ DA SERRA MT</t>
  </si>
  <si>
    <t>ARF/TSE</t>
  </si>
  <si>
    <t>ARF/CAC</t>
  </si>
  <si>
    <t>M² CORIXA MT</t>
  </si>
  <si>
    <t>M² CÁCERES MT</t>
  </si>
  <si>
    <t>M² DEPÓSITO DE VEÍCULOS MT</t>
  </si>
  <si>
    <t>DVAVGA/MT</t>
  </si>
  <si>
    <t>Cláusula 3ª, CCT MT 000075/2024, 1ª Faixa.</t>
  </si>
  <si>
    <t>Gratificação por assiduidade</t>
  </si>
  <si>
    <t>Cláusula 15ª, CCT MT 000075/2024, c/c § 1 e 2º.</t>
  </si>
  <si>
    <t>Benefício Cesta Básica</t>
  </si>
  <si>
    <t>Cláusula 9ª, CCT MT 000075/2024, c/c § 3º.</t>
  </si>
  <si>
    <t>Cláusula 16º, CCT 000075/2024: Transporte alternativo.</t>
  </si>
  <si>
    <t>Quant. Total para 20 meses</t>
  </si>
  <si>
    <t>DISTRIBUIÇÃO DOS POSTOS</t>
  </si>
  <si>
    <t>ARF/BGR/MT</t>
  </si>
  <si>
    <t>ARF/ROO/MT</t>
  </si>
  <si>
    <t>ARF/TSE/MT</t>
  </si>
  <si>
    <t>DVA/VGA/MT</t>
  </si>
  <si>
    <t>Cláusula 13ª, CCT MT 000075/2024, §4º (BC: salário mínimo)</t>
  </si>
  <si>
    <t>(1) PRODUTIVIDADE (1/m²)</t>
  </si>
  <si>
    <t>PÁTIOS E ÁREAS VERDES COM MÉDIA/BAIXA FREQUÊNCIA</t>
  </si>
  <si>
    <t>SERVENTE COM INSALUBRIDADE (44 horas/semanais)</t>
  </si>
  <si>
    <t>Obs.: Em conformidade com a Portaria RFB nº 894/2019, § 2º, nas unidades cujo atendimento prestado funciona durante 4 (quatro) horas diárias, fica autorizada a adequação dos índices de produtividade, de forma a ser possível a contratação de 1 (um) posto de 6 (seis) horas diárias, e de 1 (um) posto de 8 (oito) horas diárias naqueles cujo funcionamento é de 6 (seis) horas.</t>
  </si>
  <si>
    <t>Cláusula 29ª, CCT MT 000075/2024, Caput</t>
  </si>
  <si>
    <t>Multiplicador da produtividade</t>
  </si>
  <si>
    <t>Produtividade (mínima e máxima)</t>
  </si>
  <si>
    <t>Oficinas</t>
  </si>
  <si>
    <t>Pátios e áreas verdes com alta frequência</t>
  </si>
  <si>
    <t>Pátios e áreas verdes com média frequência</t>
  </si>
  <si>
    <t>Pátios e áreas verdes com baixa frequência</t>
  </si>
  <si>
    <t>Coleta de detritos em pátio</t>
  </si>
  <si>
    <t>Face externa com exposição à situação de risco</t>
  </si>
  <si>
    <t>Faxadas envidraçadas</t>
  </si>
  <si>
    <t xml:space="preserve">Unidade </t>
  </si>
  <si>
    <t>Horário de Atendimento</t>
  </si>
  <si>
    <t xml:space="preserve">ARF/Barra do Garças/MT </t>
  </si>
  <si>
    <t>Das 08 h às 12 h e das 14 h às 16 h</t>
  </si>
  <si>
    <t xml:space="preserve">ARF/Rondonópolis/MT </t>
  </si>
  <si>
    <t>Das 08 h às 12 h e das 13h30 às 15h30</t>
  </si>
  <si>
    <t xml:space="preserve">ARF/Tangará da Serra/MT </t>
  </si>
  <si>
    <t>G2 - Valor Total para 20 meses</t>
  </si>
  <si>
    <t xml:space="preserve">SERVENTE </t>
  </si>
  <si>
    <t>SERVENTE</t>
  </si>
  <si>
    <r>
      <t xml:space="preserve">IN Seges nº 5/2017 – Anexo VI-B – Serviço de Limpeza e Conservação – Item 9: 9. Nos casos em que a área física a ser contratada for menor que a estabelecida para a produtividade mínima de referência estabelecida neste anexo, </t>
    </r>
    <r>
      <rPr>
        <sz val="9"/>
        <color rgb="FF000000"/>
        <rFont val="Calibri"/>
        <family val="2"/>
      </rPr>
      <t>esta</t>
    </r>
    <r>
      <rPr>
        <sz val="9"/>
        <color rgb="FF000000"/>
        <rFont val="Calibri"/>
        <family val="2"/>
        <charset val="1"/>
      </rPr>
      <t xml:space="preserve"> poderá ser considerada para efeito da contratação.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</si>
</sst>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&quot;R$ &quot;#,##0.00"/>
    <numFmt numFmtId="166" formatCode="0.000%"/>
    <numFmt numFmtId="167" formatCode="_(* #,##0.00_);_(* \(#,##0.00\);_(* \-??_);_(@_)"/>
    <numFmt numFmtId="168" formatCode="0.0000000"/>
  </numFmts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sz val="8"/>
      <color rgb="FFC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sz val="9"/>
      <color rgb="FFC9211E"/>
      <name val="Arial"/>
      <family val="2"/>
    </font>
    <font>
      <b/>
      <sz val="12"/>
      <color rgb="FFFFFFFF"/>
      <name val="Arial"/>
      <family val="2"/>
    </font>
    <font>
      <b/>
      <sz val="8"/>
      <color theme="2" tint="-0.24997711111789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9"/>
      <color rgb="FF3F3F76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3F3F76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9"/>
      <color theme="5"/>
      <name val="Arial"/>
      <family val="2"/>
    </font>
    <font>
      <b/>
      <sz val="10"/>
      <color rgb="FFFFFFFF"/>
      <name val="Arial"/>
      <family val="2"/>
    </font>
    <font>
      <b/>
      <sz val="10"/>
      <color theme="4" tint="-0.249977111117893"/>
      <name val="Arial"/>
      <family val="2"/>
    </font>
    <font>
      <b/>
      <sz val="9"/>
      <color rgb="FFFFFFFF"/>
      <name val="Arial"/>
      <family val="2"/>
    </font>
    <font>
      <b/>
      <sz val="9"/>
      <color theme="4"/>
      <name val="Arial"/>
      <family val="2"/>
    </font>
    <font>
      <sz val="9"/>
      <color rgb="FF000000"/>
      <name val="Calibri"/>
      <family val="2"/>
      <charset val="1"/>
    </font>
    <font>
      <sz val="9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rgb="FFFFDBB6"/>
      </patternFill>
    </fill>
    <fill>
      <patternFill patternType="solid">
        <fgColor theme="4" tint="0.59999389629810485"/>
        <bgColor rgb="FFDEE6EF"/>
      </patternFill>
    </fill>
    <fill>
      <patternFill patternType="solid">
        <fgColor rgb="FFFFFFFF"/>
        <bgColor rgb="FFF2F2F2"/>
      </patternFill>
    </fill>
    <fill>
      <patternFill patternType="solid">
        <fgColor theme="4" tint="0.59999389629810485"/>
        <bgColor rgb="FFE2F0D9"/>
      </patternFill>
    </fill>
    <fill>
      <patternFill patternType="solid">
        <fgColor theme="2"/>
        <bgColor rgb="FF666666"/>
      </patternFill>
    </fill>
    <fill>
      <patternFill patternType="solid">
        <fgColor theme="4" tint="0.79998168889431442"/>
        <bgColor rgb="FFF8CBA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8CBAD"/>
      </patternFill>
    </fill>
    <fill>
      <patternFill patternType="solid">
        <fgColor theme="4" tint="0.79998168889431442"/>
        <bgColor rgb="FFDDDDDD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76717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rgb="FF666666"/>
      </patternFill>
    </fill>
    <fill>
      <patternFill patternType="solid">
        <fgColor theme="4" tint="0.39997558519241921"/>
        <bgColor rgb="FFF8CBAD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rgb="FFF8CBA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666666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0" fillId="0" borderId="0"/>
    <xf numFmtId="167" fontId="20" fillId="0" borderId="0" applyFill="0" applyBorder="0" applyAlignment="0" applyProtection="0"/>
    <xf numFmtId="0" fontId="21" fillId="18" borderId="44" applyNumberFormat="0" applyAlignment="0" applyProtection="0"/>
    <xf numFmtId="0" fontId="1" fillId="0" borderId="0"/>
    <xf numFmtId="9" fontId="32" fillId="0" borderId="0" applyFont="0" applyFill="0" applyBorder="0" applyAlignment="0" applyProtection="0"/>
  </cellStyleXfs>
  <cellXfs count="44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4" borderId="4" xfId="0" applyFont="1" applyFill="1" applyBorder="1"/>
    <xf numFmtId="0" fontId="4" fillId="4" borderId="5" xfId="0" applyFont="1" applyFill="1" applyBorder="1"/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5" fillId="7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6" borderId="2" xfId="0" applyFont="1" applyFill="1" applyBorder="1"/>
    <xf numFmtId="0" fontId="4" fillId="6" borderId="3" xfId="0" applyFont="1" applyFill="1" applyBorder="1"/>
    <xf numFmtId="0" fontId="9" fillId="7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1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9" fontId="4" fillId="0" borderId="9" xfId="0" applyNumberFormat="1" applyFont="1" applyBorder="1" applyAlignment="1">
      <alignment horizontal="center" vertical="center"/>
    </xf>
    <xf numFmtId="10" fontId="13" fillId="0" borderId="9" xfId="0" applyNumberFormat="1" applyFont="1" applyBorder="1" applyAlignment="1">
      <alignment horizontal="center" vertical="center"/>
    </xf>
    <xf numFmtId="10" fontId="13" fillId="11" borderId="9" xfId="0" applyNumberFormat="1" applyFont="1" applyFill="1" applyBorder="1" applyAlignment="1">
      <alignment horizontal="center" vertical="center"/>
    </xf>
    <xf numFmtId="10" fontId="9" fillId="10" borderId="1" xfId="0" applyNumberFormat="1" applyFont="1" applyFill="1" applyBorder="1" applyAlignment="1">
      <alignment horizontal="center" vertical="center"/>
    </xf>
    <xf numFmtId="165" fontId="9" fillId="10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6" fillId="7" borderId="12" xfId="0" applyNumberFormat="1" applyFont="1" applyFill="1" applyBorder="1" applyAlignment="1">
      <alignment horizontal="center" vertical="center"/>
    </xf>
    <xf numFmtId="10" fontId="4" fillId="11" borderId="1" xfId="0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6" borderId="2" xfId="0" applyFont="1" applyFill="1" applyBorder="1"/>
    <xf numFmtId="0" fontId="3" fillId="6" borderId="3" xfId="0" applyFont="1" applyFill="1" applyBorder="1"/>
    <xf numFmtId="0" fontId="9" fillId="12" borderId="2" xfId="0" applyFont="1" applyFill="1" applyBorder="1" applyAlignment="1">
      <alignment vertical="center"/>
    </xf>
    <xf numFmtId="0" fontId="9" fillId="12" borderId="3" xfId="0" applyFont="1" applyFill="1" applyBorder="1" applyAlignment="1">
      <alignment vertical="center"/>
    </xf>
    <xf numFmtId="0" fontId="13" fillId="12" borderId="2" xfId="0" applyFont="1" applyFill="1" applyBorder="1"/>
    <xf numFmtId="0" fontId="13" fillId="12" borderId="3" xfId="0" applyFont="1" applyFill="1" applyBorder="1"/>
    <xf numFmtId="165" fontId="6" fillId="7" borderId="1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6" fillId="7" borderId="6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17" fillId="15" borderId="1" xfId="0" applyNumberFormat="1" applyFont="1" applyFill="1" applyBorder="1" applyAlignment="1">
      <alignment horizontal="center" vertical="center"/>
    </xf>
    <xf numFmtId="165" fontId="6" fillId="16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22" fillId="18" borderId="20" xfId="3" applyFont="1" applyBorder="1" applyAlignment="1">
      <alignment horizontal="center" vertical="center" wrapText="1"/>
    </xf>
    <xf numFmtId="0" fontId="22" fillId="20" borderId="44" xfId="3" applyFont="1" applyFill="1" applyAlignment="1">
      <alignment horizontal="center" vertical="center" wrapText="1"/>
    </xf>
    <xf numFmtId="0" fontId="24" fillId="0" borderId="0" xfId="4" applyFont="1"/>
    <xf numFmtId="0" fontId="11" fillId="19" borderId="0" xfId="4" applyFont="1" applyFill="1" applyAlignment="1">
      <alignment vertical="center"/>
    </xf>
    <xf numFmtId="44" fontId="11" fillId="19" borderId="0" xfId="4" applyNumberFormat="1" applyFont="1" applyFill="1" applyAlignment="1">
      <alignment vertical="center"/>
    </xf>
    <xf numFmtId="0" fontId="25" fillId="18" borderId="44" xfId="3" applyFont="1" applyAlignment="1" applyProtection="1">
      <alignment horizontal="center" vertical="center" wrapText="1"/>
    </xf>
    <xf numFmtId="0" fontId="25" fillId="18" borderId="44" xfId="3" applyFont="1" applyAlignment="1" applyProtection="1">
      <alignment horizontal="left" vertical="center" wrapText="1"/>
    </xf>
    <xf numFmtId="0" fontId="25" fillId="0" borderId="44" xfId="3" applyFont="1" applyFill="1" applyAlignment="1" applyProtection="1">
      <alignment horizontal="center" vertical="center"/>
    </xf>
    <xf numFmtId="0" fontId="25" fillId="21" borderId="47" xfId="4" applyFont="1" applyFill="1" applyBorder="1" applyAlignment="1">
      <alignment horizontal="center" vertical="center"/>
    </xf>
    <xf numFmtId="0" fontId="25" fillId="20" borderId="47" xfId="3" applyFont="1" applyFill="1" applyBorder="1" applyAlignment="1" applyProtection="1">
      <alignment horizontal="center" vertical="center"/>
    </xf>
    <xf numFmtId="44" fontId="22" fillId="18" borderId="47" xfId="3" applyNumberFormat="1" applyFont="1" applyBorder="1" applyAlignment="1" applyProtection="1">
      <alignment horizontal="center" vertical="center"/>
    </xf>
    <xf numFmtId="44" fontId="25" fillId="0" borderId="47" xfId="3" applyNumberFormat="1" applyFont="1" applyFill="1" applyBorder="1" applyAlignment="1" applyProtection="1">
      <alignment horizontal="center" vertical="center"/>
    </xf>
    <xf numFmtId="0" fontId="25" fillId="21" borderId="44" xfId="4" applyFont="1" applyFill="1" applyBorder="1" applyAlignment="1">
      <alignment horizontal="center" vertical="center"/>
    </xf>
    <xf numFmtId="0" fontId="25" fillId="20" borderId="44" xfId="3" applyFont="1" applyFill="1" applyAlignment="1" applyProtection="1">
      <alignment horizontal="center" vertical="center"/>
    </xf>
    <xf numFmtId="44" fontId="22" fillId="18" borderId="44" xfId="3" applyNumberFormat="1" applyFont="1" applyAlignment="1" applyProtection="1">
      <alignment horizontal="center" vertical="center"/>
    </xf>
    <xf numFmtId="44" fontId="25" fillId="0" borderId="44" xfId="3" applyNumberFormat="1" applyFont="1" applyFill="1" applyAlignment="1" applyProtection="1">
      <alignment horizontal="center" vertical="center"/>
    </xf>
    <xf numFmtId="0" fontId="25" fillId="18" borderId="44" xfId="3" applyFont="1" applyAlignment="1" applyProtection="1">
      <alignment horizontal="left" vertical="center"/>
    </xf>
    <xf numFmtId="44" fontId="24" fillId="0" borderId="0" xfId="4" applyNumberFormat="1" applyFont="1"/>
    <xf numFmtId="0" fontId="25" fillId="0" borderId="44" xfId="3" applyFont="1" applyFill="1" applyAlignment="1" applyProtection="1">
      <alignment horizontal="center" vertical="center" wrapText="1"/>
    </xf>
    <xf numFmtId="0" fontId="22" fillId="18" borderId="48" xfId="3" applyFont="1" applyBorder="1" applyAlignment="1">
      <alignment vertical="center"/>
    </xf>
    <xf numFmtId="0" fontId="22" fillId="18" borderId="49" xfId="3" applyFont="1" applyBorder="1" applyAlignment="1">
      <alignment vertical="center"/>
    </xf>
    <xf numFmtId="44" fontId="22" fillId="18" borderId="49" xfId="3" applyNumberFormat="1" applyFont="1" applyBorder="1" applyAlignment="1">
      <alignment vertical="center"/>
    </xf>
    <xf numFmtId="44" fontId="22" fillId="19" borderId="49" xfId="3" applyNumberFormat="1" applyFont="1" applyFill="1" applyBorder="1" applyAlignment="1">
      <alignment vertical="center"/>
    </xf>
    <xf numFmtId="41" fontId="22" fillId="19" borderId="49" xfId="3" applyNumberFormat="1" applyFont="1" applyFill="1" applyBorder="1" applyAlignment="1">
      <alignment vertical="center"/>
    </xf>
    <xf numFmtId="44" fontId="22" fillId="22" borderId="49" xfId="3" applyNumberFormat="1" applyFont="1" applyFill="1" applyBorder="1" applyAlignment="1">
      <alignment vertical="center"/>
    </xf>
    <xf numFmtId="0" fontId="11" fillId="0" borderId="0" xfId="4" applyFont="1" applyAlignment="1">
      <alignment vertical="center"/>
    </xf>
    <xf numFmtId="44" fontId="11" fillId="0" borderId="0" xfId="4" applyNumberFormat="1" applyFont="1" applyAlignment="1">
      <alignment vertical="center"/>
    </xf>
    <xf numFmtId="44" fontId="26" fillId="0" borderId="0" xfId="4" applyNumberFormat="1" applyFont="1" applyAlignment="1">
      <alignment vertical="center"/>
    </xf>
    <xf numFmtId="44" fontId="25" fillId="19" borderId="44" xfId="3" applyNumberFormat="1" applyFont="1" applyFill="1" applyAlignment="1" applyProtection="1">
      <alignment horizontal="center" vertical="center"/>
    </xf>
    <xf numFmtId="0" fontId="25" fillId="18" borderId="44" xfId="3" applyFont="1" applyAlignment="1">
      <alignment vertical="center" wrapText="1"/>
    </xf>
    <xf numFmtId="0" fontId="25" fillId="0" borderId="44" xfId="4" applyFont="1" applyBorder="1" applyAlignment="1">
      <alignment horizontal="center" vertical="center"/>
    </xf>
    <xf numFmtId="0" fontId="25" fillId="23" borderId="44" xfId="4" applyFont="1" applyFill="1" applyBorder="1" applyAlignment="1">
      <alignment horizontal="center" vertical="center"/>
    </xf>
    <xf numFmtId="44" fontId="22" fillId="18" borderId="50" xfId="3" applyNumberFormat="1" applyFont="1" applyBorder="1" applyAlignment="1">
      <alignment vertical="center"/>
    </xf>
    <xf numFmtId="41" fontId="22" fillId="18" borderId="49" xfId="3" applyNumberFormat="1" applyFont="1" applyBorder="1" applyAlignment="1">
      <alignment horizontal="right" vertical="center"/>
    </xf>
    <xf numFmtId="41" fontId="22" fillId="18" borderId="50" xfId="3" applyNumberFormat="1" applyFont="1" applyBorder="1" applyAlignment="1">
      <alignment horizontal="center" vertical="center"/>
    </xf>
    <xf numFmtId="0" fontId="27" fillId="0" borderId="0" xfId="4" applyFont="1"/>
    <xf numFmtId="0" fontId="24" fillId="19" borderId="0" xfId="4" applyFont="1" applyFill="1"/>
    <xf numFmtId="0" fontId="22" fillId="18" borderId="44" xfId="3" applyFont="1" applyAlignment="1" applyProtection="1">
      <alignment horizontal="center" vertical="center"/>
    </xf>
    <xf numFmtId="0" fontId="22" fillId="18" borderId="44" xfId="3" applyFont="1" applyAlignment="1">
      <alignment horizontal="center" vertical="center" wrapText="1"/>
    </xf>
    <xf numFmtId="0" fontId="25" fillId="0" borderId="44" xfId="3" applyFont="1" applyFill="1" applyAlignment="1">
      <alignment horizontal="center" vertical="center"/>
    </xf>
    <xf numFmtId="0" fontId="29" fillId="7" borderId="20" xfId="0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3" fillId="0" borderId="0" xfId="1" applyFont="1"/>
    <xf numFmtId="0" fontId="23" fillId="0" borderId="0" xfId="1" applyFont="1" applyAlignment="1">
      <alignment horizontal="left" vertical="justify"/>
    </xf>
    <xf numFmtId="0" fontId="23" fillId="0" borderId="20" xfId="1" applyFont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 wrapText="1"/>
    </xf>
    <xf numFmtId="0" fontId="20" fillId="0" borderId="0" xfId="1"/>
    <xf numFmtId="0" fontId="30" fillId="7" borderId="39" xfId="0" applyFont="1" applyFill="1" applyBorder="1" applyAlignment="1">
      <alignment horizontal="center" vertical="center" wrapText="1"/>
    </xf>
    <xf numFmtId="0" fontId="20" fillId="0" borderId="26" xfId="1" applyBorder="1" applyAlignment="1">
      <alignment horizontal="left" vertical="center" wrapText="1"/>
    </xf>
    <xf numFmtId="0" fontId="20" fillId="0" borderId="20" xfId="1" applyBorder="1" applyAlignment="1">
      <alignment horizontal="center" vertical="center"/>
    </xf>
    <xf numFmtId="43" fontId="20" fillId="0" borderId="20" xfId="1" applyNumberFormat="1" applyBorder="1" applyAlignment="1">
      <alignment horizontal="center" vertical="center"/>
    </xf>
    <xf numFmtId="43" fontId="20" fillId="0" borderId="26" xfId="1" applyNumberFormat="1" applyBorder="1" applyAlignment="1">
      <alignment horizontal="center" vertical="center"/>
    </xf>
    <xf numFmtId="0" fontId="20" fillId="0" borderId="0" xfId="1" applyAlignment="1">
      <alignment horizontal="center"/>
    </xf>
    <xf numFmtId="0" fontId="20" fillId="0" borderId="0" xfId="1" applyAlignment="1">
      <alignment wrapText="1"/>
    </xf>
    <xf numFmtId="0" fontId="20" fillId="0" borderId="20" xfId="1" applyFill="1" applyBorder="1" applyAlignment="1">
      <alignment horizontal="left" vertical="center" wrapText="1"/>
    </xf>
    <xf numFmtId="0" fontId="20" fillId="0" borderId="26" xfId="1" applyFill="1" applyBorder="1" applyAlignment="1">
      <alignment horizontal="left" vertical="center" wrapText="1"/>
    </xf>
    <xf numFmtId="0" fontId="30" fillId="7" borderId="20" xfId="0" applyFont="1" applyFill="1" applyBorder="1" applyAlignment="1">
      <alignment vertical="center" wrapText="1"/>
    </xf>
    <xf numFmtId="166" fontId="20" fillId="0" borderId="20" xfId="5" applyNumberFormat="1" applyFont="1" applyBorder="1" applyAlignment="1">
      <alignment horizontal="center" vertical="center"/>
    </xf>
    <xf numFmtId="0" fontId="33" fillId="0" borderId="20" xfId="1" applyFont="1" applyBorder="1" applyAlignment="1">
      <alignment horizontal="center" vertical="center"/>
    </xf>
    <xf numFmtId="0" fontId="20" fillId="0" borderId="0" xfId="1" applyAlignment="1">
      <alignment vertical="center"/>
    </xf>
    <xf numFmtId="0" fontId="29" fillId="0" borderId="0" xfId="1" applyFont="1" applyAlignment="1">
      <alignment vertical="center"/>
    </xf>
    <xf numFmtId="4" fontId="20" fillId="0" borderId="20" xfId="1" applyNumberFormat="1" applyBorder="1" applyAlignment="1">
      <alignment horizontal="center" vertical="center"/>
    </xf>
    <xf numFmtId="4" fontId="20" fillId="0" borderId="0" xfId="1" applyNumberFormat="1" applyAlignment="1">
      <alignment horizontal="center" vertical="center"/>
    </xf>
    <xf numFmtId="4" fontId="29" fillId="0" borderId="20" xfId="1" applyNumberFormat="1" applyFont="1" applyBorder="1" applyAlignment="1">
      <alignment horizontal="center" vertical="center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/>
    </xf>
    <xf numFmtId="4" fontId="29" fillId="0" borderId="0" xfId="1" applyNumberFormat="1" applyFont="1" applyAlignment="1">
      <alignment horizontal="right" vertical="center"/>
    </xf>
    <xf numFmtId="0" fontId="23" fillId="0" borderId="20" xfId="1" applyFont="1" applyBorder="1" applyAlignment="1">
      <alignment horizontal="justify" vertical="center"/>
    </xf>
    <xf numFmtId="168" fontId="20" fillId="0" borderId="20" xfId="1" applyNumberForma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3" fillId="0" borderId="0" xfId="1" applyFont="1" applyAlignment="1">
      <alignment vertical="center"/>
    </xf>
    <xf numFmtId="43" fontId="20" fillId="0" borderId="26" xfId="1" applyNumberFormat="1" applyBorder="1" applyAlignment="1">
      <alignment horizontal="right" vertical="center" wrapText="1"/>
    </xf>
    <xf numFmtId="4" fontId="20" fillId="0" borderId="26" xfId="1" applyNumberFormat="1" applyBorder="1" applyAlignment="1">
      <alignment horizontal="center" vertical="center"/>
    </xf>
    <xf numFmtId="43" fontId="20" fillId="0" borderId="54" xfId="1" applyNumberFormat="1" applyBorder="1" applyAlignment="1">
      <alignment vertical="center"/>
    </xf>
    <xf numFmtId="43" fontId="20" fillId="0" borderId="59" xfId="1" applyNumberFormat="1" applyBorder="1" applyAlignment="1">
      <alignment vertical="center"/>
    </xf>
    <xf numFmtId="43" fontId="20" fillId="0" borderId="18" xfId="1" applyNumberFormat="1" applyBorder="1" applyAlignment="1">
      <alignment vertical="center"/>
    </xf>
    <xf numFmtId="43" fontId="35" fillId="0" borderId="23" xfId="1" applyNumberFormat="1" applyFont="1" applyBorder="1" applyAlignment="1">
      <alignment horizontal="center" vertical="center"/>
    </xf>
    <xf numFmtId="43" fontId="29" fillId="0" borderId="24" xfId="1" applyNumberFormat="1" applyFont="1" applyBorder="1" applyAlignment="1">
      <alignment horizontal="center" vertical="center"/>
    </xf>
    <xf numFmtId="4" fontId="20" fillId="0" borderId="38" xfId="1" applyNumberFormat="1" applyBorder="1" applyAlignment="1">
      <alignment horizontal="center" vertical="center"/>
    </xf>
    <xf numFmtId="43" fontId="20" fillId="0" borderId="20" xfId="1" applyNumberFormat="1" applyBorder="1" applyAlignment="1">
      <alignment horizontal="right" vertical="center" wrapText="1"/>
    </xf>
    <xf numFmtId="0" fontId="23" fillId="0" borderId="34" xfId="1" applyFont="1" applyBorder="1" applyAlignment="1">
      <alignment vertical="center" wrapText="1"/>
    </xf>
    <xf numFmtId="0" fontId="23" fillId="0" borderId="20" xfId="1" applyFont="1" applyBorder="1" applyAlignment="1">
      <alignment vertical="center" wrapText="1"/>
    </xf>
    <xf numFmtId="43" fontId="20" fillId="0" borderId="60" xfId="1" applyNumberFormat="1" applyBorder="1" applyAlignment="1">
      <alignment horizontal="center" vertical="center"/>
    </xf>
    <xf numFmtId="0" fontId="23" fillId="0" borderId="26" xfId="1" applyFont="1" applyBorder="1" applyAlignment="1">
      <alignment vertical="center" wrapText="1"/>
    </xf>
    <xf numFmtId="0" fontId="20" fillId="0" borderId="0" xfId="1" applyFont="1" applyAlignment="1">
      <alignment vertical="center"/>
    </xf>
    <xf numFmtId="43" fontId="29" fillId="0" borderId="26" xfId="1" applyNumberFormat="1" applyFont="1" applyBorder="1" applyAlignment="1">
      <alignment horizontal="center" vertical="center" wrapText="1"/>
    </xf>
    <xf numFmtId="43" fontId="29" fillId="0" borderId="20" xfId="1" applyNumberFormat="1" applyFont="1" applyBorder="1" applyAlignment="1">
      <alignment horizontal="center" vertical="center" wrapText="1"/>
    </xf>
    <xf numFmtId="43" fontId="29" fillId="0" borderId="39" xfId="1" applyNumberFormat="1" applyFont="1" applyBorder="1" applyAlignment="1">
      <alignment horizontal="center" vertical="center" wrapText="1"/>
    </xf>
    <xf numFmtId="43" fontId="29" fillId="0" borderId="20" xfId="1" applyNumberFormat="1" applyFont="1" applyFill="1" applyBorder="1" applyAlignment="1">
      <alignment horizontal="center" vertical="center" wrapText="1"/>
    </xf>
    <xf numFmtId="0" fontId="22" fillId="18" borderId="45" xfId="3" applyFont="1" applyBorder="1" applyAlignment="1" applyProtection="1">
      <alignment horizontal="center" vertical="center"/>
    </xf>
    <xf numFmtId="0" fontId="22" fillId="18" borderId="46" xfId="3" applyFont="1" applyBorder="1" applyAlignment="1" applyProtection="1">
      <alignment horizontal="center" vertical="center"/>
    </xf>
    <xf numFmtId="0" fontId="22" fillId="20" borderId="20" xfId="3" applyFont="1" applyFill="1" applyBorder="1" applyAlignment="1">
      <alignment horizontal="center" vertical="center" wrapText="1"/>
    </xf>
    <xf numFmtId="0" fontId="22" fillId="18" borderId="20" xfId="3" applyFont="1" applyBorder="1" applyAlignment="1">
      <alignment horizontal="center" vertical="center" wrapText="1"/>
    </xf>
    <xf numFmtId="43" fontId="29" fillId="0" borderId="26" xfId="1" applyNumberFormat="1" applyFont="1" applyFill="1" applyBorder="1" applyAlignment="1">
      <alignment horizontal="center" vertical="center" wrapText="1"/>
    </xf>
    <xf numFmtId="0" fontId="22" fillId="18" borderId="44" xfId="3" applyFont="1" applyAlignment="1" applyProtection="1">
      <alignment vertical="center"/>
    </xf>
    <xf numFmtId="0" fontId="22" fillId="18" borderId="48" xfId="3" applyFont="1" applyBorder="1" applyAlignment="1" applyProtection="1">
      <alignment vertical="center" wrapText="1"/>
    </xf>
    <xf numFmtId="0" fontId="22" fillId="20" borderId="20" xfId="3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20" fillId="0" borderId="20" xfId="1" applyNumberFormat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 wrapText="1"/>
    </xf>
    <xf numFmtId="0" fontId="23" fillId="0" borderId="34" xfId="1" applyFont="1" applyBorder="1" applyAlignment="1">
      <alignment horizontal="center" vertical="center"/>
    </xf>
    <xf numFmtId="0" fontId="20" fillId="0" borderId="25" xfId="1" applyBorder="1" applyAlignment="1">
      <alignment horizontal="center" vertical="center" textRotation="90" wrapText="1"/>
    </xf>
    <xf numFmtId="0" fontId="20" fillId="0" borderId="28" xfId="1" applyBorder="1" applyAlignment="1">
      <alignment horizontal="center" vertical="center" textRotation="90" wrapText="1"/>
    </xf>
    <xf numFmtId="0" fontId="20" fillId="0" borderId="28" xfId="1" applyBorder="1" applyAlignment="1">
      <alignment vertical="center"/>
    </xf>
    <xf numFmtId="0" fontId="20" fillId="0" borderId="29" xfId="1" applyBorder="1" applyAlignment="1">
      <alignment vertical="center"/>
    </xf>
    <xf numFmtId="0" fontId="29" fillId="0" borderId="30" xfId="1" applyFont="1" applyBorder="1" applyAlignment="1">
      <alignment horizontal="left" vertical="center"/>
    </xf>
    <xf numFmtId="0" fontId="29" fillId="0" borderId="31" xfId="1" applyFont="1" applyBorder="1" applyAlignment="1">
      <alignment horizontal="left" vertical="center"/>
    </xf>
    <xf numFmtId="0" fontId="29" fillId="0" borderId="32" xfId="1" applyFont="1" applyBorder="1" applyAlignment="1">
      <alignment horizontal="left" vertical="center"/>
    </xf>
    <xf numFmtId="0" fontId="17" fillId="1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1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9" fillId="14" borderId="3" xfId="0" applyNumberFormat="1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0" fontId="4" fillId="0" borderId="4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10" fontId="4" fillId="0" borderId="1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0" fontId="7" fillId="0" borderId="1" xfId="0" applyNumberFormat="1" applyFont="1" applyBorder="1" applyAlignment="1">
      <alignment horizontal="center" vertical="center"/>
    </xf>
    <xf numFmtId="10" fontId="9" fillId="1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8" fillId="26" borderId="34" xfId="1" applyFont="1" applyFill="1" applyBorder="1" applyAlignment="1">
      <alignment horizontal="center" vertical="center"/>
    </xf>
    <xf numFmtId="0" fontId="28" fillId="26" borderId="35" xfId="1" applyFont="1" applyFill="1" applyBorder="1" applyAlignment="1">
      <alignment horizontal="center" vertical="center"/>
    </xf>
    <xf numFmtId="0" fontId="28" fillId="26" borderId="36" xfId="1" applyFont="1" applyFill="1" applyBorder="1" applyAlignment="1">
      <alignment horizontal="center" vertical="center"/>
    </xf>
    <xf numFmtId="0" fontId="28" fillId="26" borderId="20" xfId="1" applyFont="1" applyFill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 wrapText="1"/>
    </xf>
    <xf numFmtId="0" fontId="34" fillId="27" borderId="20" xfId="0" applyFont="1" applyFill="1" applyBorder="1" applyAlignment="1">
      <alignment horizontal="center" vertical="center" wrapText="1"/>
    </xf>
    <xf numFmtId="0" fontId="20" fillId="0" borderId="0" xfId="1" applyAlignment="1">
      <alignment horizontal="center" vertical="center" wrapText="1"/>
    </xf>
    <xf numFmtId="0" fontId="30" fillId="7" borderId="34" xfId="0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 wrapText="1"/>
    </xf>
    <xf numFmtId="0" fontId="30" fillId="7" borderId="36" xfId="0" applyFont="1" applyFill="1" applyBorder="1" applyAlignment="1">
      <alignment horizontal="center" vertical="center" wrapText="1"/>
    </xf>
    <xf numFmtId="0" fontId="23" fillId="0" borderId="34" xfId="1" applyFont="1" applyBorder="1" applyAlignment="1">
      <alignment horizontal="left" vertical="center" wrapText="1"/>
    </xf>
    <xf numFmtId="0" fontId="23" fillId="0" borderId="35" xfId="1" applyFont="1" applyBorder="1" applyAlignment="1">
      <alignment horizontal="left" vertical="center" wrapText="1"/>
    </xf>
    <xf numFmtId="0" fontId="23" fillId="0" borderId="36" xfId="1" applyFont="1" applyBorder="1" applyAlignment="1">
      <alignment horizontal="left" vertical="center" wrapText="1"/>
    </xf>
    <xf numFmtId="0" fontId="29" fillId="0" borderId="34" xfId="1" applyFont="1" applyBorder="1" applyAlignment="1">
      <alignment horizontal="right" vertical="center"/>
    </xf>
    <xf numFmtId="0" fontId="29" fillId="0" borderId="35" xfId="1" applyFont="1" applyBorder="1" applyAlignment="1">
      <alignment horizontal="right" vertical="center"/>
    </xf>
    <xf numFmtId="0" fontId="29" fillId="0" borderId="36" xfId="1" applyFont="1" applyBorder="1" applyAlignment="1">
      <alignment horizontal="right" vertical="center"/>
    </xf>
    <xf numFmtId="0" fontId="28" fillId="26" borderId="55" xfId="1" applyFont="1" applyFill="1" applyBorder="1" applyAlignment="1">
      <alignment horizontal="center" vertical="center"/>
    </xf>
    <xf numFmtId="0" fontId="28" fillId="26" borderId="56" xfId="1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 wrapText="1"/>
    </xf>
    <xf numFmtId="0" fontId="29" fillId="0" borderId="20" xfId="1" applyFont="1" applyBorder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30" fillId="7" borderId="37" xfId="0" applyFont="1" applyFill="1" applyBorder="1" applyAlignment="1">
      <alignment horizontal="center" vertical="center" wrapText="1"/>
    </xf>
    <xf numFmtId="0" fontId="30" fillId="7" borderId="57" xfId="0" applyFont="1" applyFill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17" fillId="15" borderId="34" xfId="0" applyFont="1" applyFill="1" applyBorder="1" applyAlignment="1">
      <alignment horizontal="center" vertical="center" wrapText="1"/>
    </xf>
    <xf numFmtId="0" fontId="17" fillId="15" borderId="35" xfId="0" applyFont="1" applyFill="1" applyBorder="1" applyAlignment="1">
      <alignment horizontal="center" vertical="center" wrapText="1"/>
    </xf>
    <xf numFmtId="0" fontId="17" fillId="15" borderId="36" xfId="0" applyFont="1" applyFill="1" applyBorder="1" applyAlignment="1">
      <alignment horizontal="center" vertical="center" wrapText="1"/>
    </xf>
    <xf numFmtId="0" fontId="23" fillId="0" borderId="34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 wrapText="1"/>
    </xf>
    <xf numFmtId="0" fontId="27" fillId="24" borderId="33" xfId="1" applyFont="1" applyFill="1" applyBorder="1" applyAlignment="1">
      <alignment horizontal="center" vertical="center" textRotation="90" wrapText="1"/>
    </xf>
    <xf numFmtId="0" fontId="27" fillId="24" borderId="19" xfId="1" applyFont="1" applyFill="1" applyBorder="1" applyAlignment="1">
      <alignment vertical="center"/>
    </xf>
    <xf numFmtId="0" fontId="27" fillId="24" borderId="41" xfId="1" applyFont="1" applyFill="1" applyBorder="1" applyAlignment="1">
      <alignment vertical="center"/>
    </xf>
    <xf numFmtId="0" fontId="27" fillId="24" borderId="22" xfId="1" applyFont="1" applyFill="1" applyBorder="1" applyAlignment="1">
      <alignment vertical="center"/>
    </xf>
    <xf numFmtId="0" fontId="23" fillId="24" borderId="25" xfId="1" applyFont="1" applyFill="1" applyBorder="1" applyAlignment="1">
      <alignment horizontal="center" vertical="center" textRotation="90" wrapText="1"/>
    </xf>
    <xf numFmtId="0" fontId="23" fillId="24" borderId="28" xfId="1" applyFont="1" applyFill="1" applyBorder="1" applyAlignment="1">
      <alignment vertical="center"/>
    </xf>
    <xf numFmtId="0" fontId="23" fillId="24" borderId="29" xfId="1" applyFont="1" applyFill="1" applyBorder="1" applyAlignment="1">
      <alignment vertical="center"/>
    </xf>
    <xf numFmtId="0" fontId="31" fillId="17" borderId="33" xfId="1" applyFont="1" applyFill="1" applyBorder="1" applyAlignment="1">
      <alignment horizontal="center" vertical="center" textRotation="90" wrapText="1"/>
    </xf>
    <xf numFmtId="0" fontId="31" fillId="17" borderId="19" xfId="1" applyFont="1" applyFill="1" applyBorder="1" applyAlignment="1">
      <alignment vertical="center"/>
    </xf>
    <xf numFmtId="0" fontId="31" fillId="17" borderId="22" xfId="1" applyFont="1" applyFill="1" applyBorder="1" applyAlignment="1">
      <alignment vertical="center"/>
    </xf>
    <xf numFmtId="0" fontId="30" fillId="24" borderId="33" xfId="1" applyFont="1" applyFill="1" applyBorder="1" applyAlignment="1">
      <alignment horizontal="center" vertical="center" textRotation="90" wrapText="1"/>
    </xf>
    <xf numFmtId="0" fontId="30" fillId="24" borderId="19" xfId="1" applyFont="1" applyFill="1" applyBorder="1" applyAlignment="1">
      <alignment vertical="center"/>
    </xf>
    <xf numFmtId="0" fontId="30" fillId="24" borderId="22" xfId="1" applyFont="1" applyFill="1" applyBorder="1" applyAlignment="1">
      <alignment vertical="center"/>
    </xf>
    <xf numFmtId="0" fontId="31" fillId="17" borderId="25" xfId="1" applyFont="1" applyFill="1" applyBorder="1" applyAlignment="1">
      <alignment horizontal="center" vertical="center" textRotation="90" wrapText="1"/>
    </xf>
    <xf numFmtId="0" fontId="31" fillId="17" borderId="28" xfId="1" applyFont="1" applyFill="1" applyBorder="1" applyAlignment="1">
      <alignment vertical="center"/>
    </xf>
    <xf numFmtId="0" fontId="31" fillId="17" borderId="29" xfId="1" applyFont="1" applyFill="1" applyBorder="1" applyAlignment="1">
      <alignment vertical="center"/>
    </xf>
    <xf numFmtId="0" fontId="22" fillId="18" borderId="20" xfId="3" applyFont="1" applyBorder="1" applyAlignment="1">
      <alignment horizontal="center" vertical="center"/>
    </xf>
    <xf numFmtId="44" fontId="22" fillId="18" borderId="20" xfId="3" applyNumberFormat="1" applyFont="1" applyBorder="1" applyAlignment="1" applyProtection="1">
      <alignment horizontal="center" vertical="center" wrapText="1"/>
    </xf>
    <xf numFmtId="44" fontId="22" fillId="18" borderId="20" xfId="3" applyNumberFormat="1" applyFont="1" applyBorder="1" applyAlignment="1">
      <alignment horizontal="center" vertical="center"/>
    </xf>
    <xf numFmtId="0" fontId="22" fillId="19" borderId="48" xfId="3" applyFont="1" applyFill="1" applyBorder="1" applyAlignment="1">
      <alignment horizontal="right" vertical="center"/>
    </xf>
    <xf numFmtId="0" fontId="22" fillId="19" borderId="49" xfId="3" applyFont="1" applyFill="1" applyBorder="1" applyAlignment="1">
      <alignment horizontal="right" vertical="center"/>
    </xf>
    <xf numFmtId="0" fontId="22" fillId="22" borderId="48" xfId="3" applyFont="1" applyFill="1" applyBorder="1" applyAlignment="1">
      <alignment horizontal="right" vertical="center"/>
    </xf>
    <xf numFmtId="0" fontId="22" fillId="22" borderId="49" xfId="3" applyFont="1" applyFill="1" applyBorder="1" applyAlignment="1">
      <alignment horizontal="right" vertical="center"/>
    </xf>
    <xf numFmtId="0" fontId="22" fillId="19" borderId="50" xfId="3" applyFont="1" applyFill="1" applyBorder="1" applyAlignment="1">
      <alignment horizontal="right" vertical="center"/>
    </xf>
    <xf numFmtId="0" fontId="22" fillId="18" borderId="48" xfId="3" applyFont="1" applyBorder="1" applyAlignment="1">
      <alignment horizontal="right" vertical="center"/>
    </xf>
    <xf numFmtId="0" fontId="22" fillId="18" borderId="49" xfId="3" applyFont="1" applyBorder="1" applyAlignment="1">
      <alignment horizontal="right" vertical="center"/>
    </xf>
    <xf numFmtId="0" fontId="22" fillId="18" borderId="44" xfId="3" applyFont="1" applyAlignment="1">
      <alignment horizontal="center" vertical="center"/>
    </xf>
    <xf numFmtId="0" fontId="22" fillId="18" borderId="48" xfId="3" applyFont="1" applyBorder="1" applyAlignment="1">
      <alignment horizontal="center" vertical="center"/>
    </xf>
    <xf numFmtId="0" fontId="22" fillId="18" borderId="49" xfId="3" applyFont="1" applyBorder="1" applyAlignment="1">
      <alignment horizontal="center" vertical="center"/>
    </xf>
    <xf numFmtId="0" fontId="22" fillId="18" borderId="50" xfId="3" applyFont="1" applyBorder="1" applyAlignment="1">
      <alignment horizontal="center" vertical="center"/>
    </xf>
    <xf numFmtId="0" fontId="22" fillId="18" borderId="48" xfId="3" applyFont="1" applyBorder="1" applyAlignment="1">
      <alignment horizontal="center" vertical="center" wrapText="1"/>
    </xf>
    <xf numFmtId="0" fontId="22" fillId="18" borderId="50" xfId="3" applyFont="1" applyBorder="1" applyAlignment="1">
      <alignment horizontal="center" vertical="center" wrapText="1"/>
    </xf>
    <xf numFmtId="0" fontId="22" fillId="18" borderId="44" xfId="3" applyFont="1" applyAlignment="1">
      <alignment horizontal="center" vertical="center" wrapText="1"/>
    </xf>
    <xf numFmtId="0" fontId="25" fillId="0" borderId="48" xfId="3" applyFont="1" applyFill="1" applyBorder="1" applyAlignment="1">
      <alignment horizontal="left" vertical="center" wrapText="1"/>
    </xf>
    <xf numFmtId="0" fontId="25" fillId="0" borderId="49" xfId="3" applyFont="1" applyFill="1" applyBorder="1" applyAlignment="1">
      <alignment horizontal="left" vertical="center" wrapText="1"/>
    </xf>
    <xf numFmtId="0" fontId="25" fillId="0" borderId="50" xfId="3" applyFont="1" applyFill="1" applyBorder="1" applyAlignment="1">
      <alignment horizontal="left" vertical="center" wrapText="1"/>
    </xf>
    <xf numFmtId="44" fontId="25" fillId="0" borderId="48" xfId="3" applyNumberFormat="1" applyFont="1" applyFill="1" applyBorder="1" applyAlignment="1">
      <alignment horizontal="center" vertical="center"/>
    </xf>
    <xf numFmtId="44" fontId="25" fillId="0" borderId="50" xfId="3" applyNumberFormat="1" applyFont="1" applyFill="1" applyBorder="1" applyAlignment="1">
      <alignment horizontal="center" vertical="center"/>
    </xf>
    <xf numFmtId="44" fontId="25" fillId="0" borderId="44" xfId="3" applyNumberFormat="1" applyFont="1" applyFill="1" applyAlignment="1">
      <alignment horizontal="center" vertical="center"/>
    </xf>
    <xf numFmtId="44" fontId="25" fillId="0" borderId="48" xfId="3" applyNumberFormat="1" applyFont="1" applyFill="1" applyBorder="1" applyAlignment="1">
      <alignment horizontal="center" vertical="center" wrapText="1"/>
    </xf>
    <xf numFmtId="44" fontId="25" fillId="0" borderId="50" xfId="3" applyNumberFormat="1" applyFont="1" applyFill="1" applyBorder="1" applyAlignment="1">
      <alignment horizontal="center" vertical="center" wrapText="1"/>
    </xf>
    <xf numFmtId="0" fontId="25" fillId="0" borderId="44" xfId="3" applyFont="1" applyFill="1" applyAlignment="1">
      <alignment horizontal="left" vertical="center" wrapText="1"/>
    </xf>
    <xf numFmtId="0" fontId="25" fillId="0" borderId="44" xfId="3" applyFont="1" applyFill="1" applyAlignment="1">
      <alignment horizontal="left" vertical="center"/>
    </xf>
    <xf numFmtId="0" fontId="25" fillId="18" borderId="44" xfId="3" applyFont="1" applyAlignment="1">
      <alignment horizontal="center" vertical="center"/>
    </xf>
    <xf numFmtId="44" fontId="25" fillId="18" borderId="44" xfId="3" applyNumberFormat="1" applyFont="1" applyAlignment="1">
      <alignment horizontal="center" vertical="center"/>
    </xf>
    <xf numFmtId="44" fontId="22" fillId="18" borderId="44" xfId="3" applyNumberFormat="1" applyFont="1" applyAlignment="1">
      <alignment horizontal="center" vertical="center"/>
    </xf>
    <xf numFmtId="0" fontId="25" fillId="0" borderId="48" xfId="3" applyFont="1" applyFill="1" applyBorder="1" applyAlignment="1">
      <alignment horizontal="left" vertical="center"/>
    </xf>
    <xf numFmtId="0" fontId="25" fillId="0" borderId="49" xfId="3" applyFont="1" applyFill="1" applyBorder="1" applyAlignment="1">
      <alignment horizontal="left" vertical="center"/>
    </xf>
    <xf numFmtId="0" fontId="25" fillId="0" borderId="50" xfId="3" applyFont="1" applyFill="1" applyBorder="1" applyAlignment="1">
      <alignment horizontal="left" vertical="center"/>
    </xf>
    <xf numFmtId="0" fontId="31" fillId="26" borderId="40" xfId="1" applyFont="1" applyFill="1" applyBorder="1" applyAlignment="1">
      <alignment horizontal="center" vertical="center"/>
    </xf>
    <xf numFmtId="0" fontId="31" fillId="26" borderId="42" xfId="1" applyFont="1" applyFill="1" applyBorder="1" applyAlignment="1">
      <alignment horizontal="center" vertical="center"/>
    </xf>
    <xf numFmtId="0" fontId="31" fillId="26" borderId="20" xfId="1" applyFont="1" applyFill="1" applyBorder="1" applyAlignment="1">
      <alignment horizontal="center" vertical="center"/>
    </xf>
    <xf numFmtId="166" fontId="23" fillId="0" borderId="20" xfId="5" applyNumberFormat="1" applyFont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36" fillId="27" borderId="20" xfId="0" applyFont="1" applyFill="1" applyBorder="1" applyAlignment="1">
      <alignment horizontal="center" vertical="center" wrapText="1"/>
    </xf>
    <xf numFmtId="4" fontId="23" fillId="0" borderId="20" xfId="1" applyNumberFormat="1" applyFont="1" applyBorder="1" applyAlignment="1">
      <alignment horizontal="center" vertical="center"/>
    </xf>
    <xf numFmtId="4" fontId="23" fillId="0" borderId="0" xfId="1" applyNumberFormat="1" applyFont="1" applyAlignment="1">
      <alignment horizontal="center" vertical="center"/>
    </xf>
    <xf numFmtId="0" fontId="30" fillId="0" borderId="20" xfId="1" applyFont="1" applyBorder="1" applyAlignment="1">
      <alignment horizontal="right" vertical="center"/>
    </xf>
    <xf numFmtId="4" fontId="30" fillId="0" borderId="20" xfId="1" applyNumberFormat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3" fillId="0" borderId="20" xfId="1" applyNumberFormat="1" applyFont="1" applyBorder="1" applyAlignment="1">
      <alignment horizontal="center" vertical="center"/>
    </xf>
    <xf numFmtId="0" fontId="23" fillId="0" borderId="42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 wrapText="1"/>
    </xf>
    <xf numFmtId="168" fontId="23" fillId="0" borderId="20" xfId="1" applyNumberFormat="1" applyFont="1" applyBorder="1" applyAlignment="1">
      <alignment horizontal="center" vertical="center"/>
    </xf>
    <xf numFmtId="0" fontId="30" fillId="0" borderId="34" xfId="1" applyFont="1" applyBorder="1" applyAlignment="1">
      <alignment horizontal="right" vertical="center"/>
    </xf>
    <xf numFmtId="0" fontId="30" fillId="0" borderId="35" xfId="1" applyFont="1" applyBorder="1" applyAlignment="1">
      <alignment horizontal="right" vertical="center"/>
    </xf>
    <xf numFmtId="0" fontId="30" fillId="0" borderId="36" xfId="1" applyFont="1" applyBorder="1" applyAlignment="1">
      <alignment horizontal="right" vertical="center"/>
    </xf>
    <xf numFmtId="0" fontId="31" fillId="26" borderId="55" xfId="1" applyFont="1" applyFill="1" applyBorder="1" applyAlignment="1">
      <alignment horizontal="center" vertical="center"/>
    </xf>
    <xf numFmtId="0" fontId="31" fillId="26" borderId="56" xfId="1" applyFont="1" applyFill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30" fillId="20" borderId="40" xfId="1" applyFont="1" applyFill="1" applyBorder="1" applyAlignment="1">
      <alignment horizontal="center" vertical="center"/>
    </xf>
    <xf numFmtId="0" fontId="30" fillId="20" borderId="42" xfId="1" applyFont="1" applyFill="1" applyBorder="1" applyAlignment="1">
      <alignment horizontal="center" vertical="center"/>
    </xf>
    <xf numFmtId="0" fontId="31" fillId="26" borderId="34" xfId="1" applyFont="1" applyFill="1" applyBorder="1" applyAlignment="1">
      <alignment horizontal="center" vertical="center"/>
    </xf>
    <xf numFmtId="0" fontId="31" fillId="26" borderId="35" xfId="1" applyFont="1" applyFill="1" applyBorder="1" applyAlignment="1">
      <alignment horizontal="center" vertical="center"/>
    </xf>
    <xf numFmtId="0" fontId="31" fillId="26" borderId="36" xfId="1" applyFont="1" applyFill="1" applyBorder="1" applyAlignment="1">
      <alignment horizontal="center" vertical="center"/>
    </xf>
    <xf numFmtId="4" fontId="30" fillId="0" borderId="0" xfId="1" applyNumberFormat="1" applyFont="1" applyAlignment="1">
      <alignment horizontal="right" vertical="center"/>
    </xf>
    <xf numFmtId="0" fontId="28" fillId="17" borderId="20" xfId="1" applyFont="1" applyFill="1" applyBorder="1" applyAlignment="1">
      <alignment horizontal="center" vertical="center"/>
    </xf>
    <xf numFmtId="0" fontId="23" fillId="0" borderId="20" xfId="1" applyFont="1" applyBorder="1" applyAlignment="1">
      <alignment horizontal="left" vertical="center" wrapText="1"/>
    </xf>
    <xf numFmtId="0" fontId="30" fillId="0" borderId="0" xfId="1" applyFont="1" applyAlignment="1">
      <alignment horizontal="right" vertical="center"/>
    </xf>
    <xf numFmtId="0" fontId="36" fillId="27" borderId="34" xfId="0" applyFont="1" applyFill="1" applyBorder="1" applyAlignment="1">
      <alignment horizontal="center" vertical="center" wrapText="1"/>
    </xf>
    <xf numFmtId="0" fontId="36" fillId="27" borderId="35" xfId="0" applyFont="1" applyFill="1" applyBorder="1" applyAlignment="1">
      <alignment horizontal="center" vertical="center" wrapText="1"/>
    </xf>
    <xf numFmtId="0" fontId="36" fillId="27" borderId="36" xfId="0" applyFont="1" applyFill="1" applyBorder="1" applyAlignment="1">
      <alignment horizontal="center" vertical="center" wrapText="1"/>
    </xf>
    <xf numFmtId="0" fontId="31" fillId="26" borderId="30" xfId="1" applyFont="1" applyFill="1" applyBorder="1" applyAlignment="1">
      <alignment horizontal="center" vertical="center"/>
    </xf>
    <xf numFmtId="0" fontId="31" fillId="26" borderId="31" xfId="1" applyFont="1" applyFill="1" applyBorder="1" applyAlignment="1">
      <alignment horizontal="center" vertical="center"/>
    </xf>
    <xf numFmtId="0" fontId="31" fillId="17" borderId="40" xfId="1" applyFont="1" applyFill="1" applyBorder="1" applyAlignment="1">
      <alignment horizontal="center" vertical="center"/>
    </xf>
    <xf numFmtId="0" fontId="31" fillId="17" borderId="42" xfId="1" applyFont="1" applyFill="1" applyBorder="1" applyAlignment="1">
      <alignment horizontal="center" vertical="center"/>
    </xf>
    <xf numFmtId="0" fontId="31" fillId="17" borderId="8" xfId="1" applyFont="1" applyFill="1" applyBorder="1" applyAlignment="1">
      <alignment horizontal="center" vertical="center"/>
    </xf>
    <xf numFmtId="0" fontId="23" fillId="0" borderId="26" xfId="1" applyFont="1" applyBorder="1" applyAlignment="1">
      <alignment horizontal="left" vertical="center" wrapText="1"/>
    </xf>
    <xf numFmtId="43" fontId="37" fillId="0" borderId="26" xfId="1" applyNumberFormat="1" applyFont="1" applyBorder="1" applyAlignment="1">
      <alignment horizontal="center" vertical="center" wrapText="1"/>
    </xf>
    <xf numFmtId="0" fontId="14" fillId="0" borderId="60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43" fontId="23" fillId="0" borderId="43" xfId="1" applyNumberFormat="1" applyFont="1" applyBorder="1" applyAlignment="1">
      <alignment horizontal="center" vertical="center"/>
    </xf>
    <xf numFmtId="43" fontId="23" fillId="0" borderId="54" xfId="1" applyNumberFormat="1" applyFont="1" applyBorder="1" applyAlignment="1">
      <alignment horizontal="center" vertical="center"/>
    </xf>
    <xf numFmtId="0" fontId="23" fillId="0" borderId="20" xfId="1" applyFont="1" applyBorder="1" applyAlignment="1">
      <alignment horizontal="left" vertical="center" wrapText="1"/>
    </xf>
    <xf numFmtId="43" fontId="37" fillId="0" borderId="20" xfId="1" applyNumberFormat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43" fontId="23" fillId="0" borderId="20" xfId="1" applyNumberFormat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43" fontId="23" fillId="0" borderId="18" xfId="1" applyNumberFormat="1" applyFont="1" applyBorder="1" applyAlignment="1">
      <alignment horizontal="center" vertical="center"/>
    </xf>
    <xf numFmtId="0" fontId="30" fillId="0" borderId="30" xfId="1" applyFont="1" applyBorder="1" applyAlignment="1">
      <alignment horizontal="right" vertical="center"/>
    </xf>
    <xf numFmtId="0" fontId="30" fillId="0" borderId="31" xfId="1" applyFont="1" applyBorder="1" applyAlignment="1">
      <alignment horizontal="right" vertical="center"/>
    </xf>
    <xf numFmtId="0" fontId="30" fillId="0" borderId="32" xfId="1" applyFont="1" applyBorder="1" applyAlignment="1">
      <alignment horizontal="right" vertical="center"/>
    </xf>
    <xf numFmtId="43" fontId="31" fillId="17" borderId="24" xfId="1" applyNumberFormat="1" applyFont="1" applyFill="1" applyBorder="1" applyAlignment="1">
      <alignment horizontal="center" vertical="center"/>
    </xf>
    <xf numFmtId="0" fontId="31" fillId="24" borderId="40" xfId="1" applyFont="1" applyFill="1" applyBorder="1" applyAlignment="1">
      <alignment horizontal="center" vertical="center"/>
    </xf>
    <xf numFmtId="0" fontId="31" fillId="24" borderId="42" xfId="1" applyFont="1" applyFill="1" applyBorder="1" applyAlignment="1">
      <alignment horizontal="center" vertical="center"/>
    </xf>
    <xf numFmtId="43" fontId="23" fillId="0" borderId="26" xfId="1" applyNumberFormat="1" applyFont="1" applyBorder="1" applyAlignment="1">
      <alignment horizontal="center" vertical="center"/>
    </xf>
    <xf numFmtId="43" fontId="23" fillId="0" borderId="27" xfId="1" applyNumberFormat="1" applyFont="1" applyBorder="1" applyAlignment="1">
      <alignment horizontal="center" vertical="center"/>
    </xf>
    <xf numFmtId="3" fontId="23" fillId="0" borderId="34" xfId="1" applyNumberFormat="1" applyFont="1" applyBorder="1" applyAlignment="1">
      <alignment horizontal="center" vertical="center"/>
    </xf>
    <xf numFmtId="43" fontId="23" fillId="0" borderId="21" xfId="1" applyNumberFormat="1" applyFont="1" applyBorder="1" applyAlignment="1">
      <alignment horizontal="center" vertical="center"/>
    </xf>
    <xf numFmtId="43" fontId="37" fillId="0" borderId="39" xfId="1" applyNumberFormat="1" applyFont="1" applyBorder="1" applyAlignment="1">
      <alignment horizontal="center" vertical="center" wrapText="1"/>
    </xf>
    <xf numFmtId="3" fontId="23" fillId="0" borderId="40" xfId="1" applyNumberFormat="1" applyFont="1" applyBorder="1" applyAlignment="1">
      <alignment horizontal="center" vertical="center"/>
    </xf>
    <xf numFmtId="43" fontId="30" fillId="24" borderId="24" xfId="1" applyNumberFormat="1" applyFont="1" applyFill="1" applyBorder="1" applyAlignment="1">
      <alignment horizontal="center" vertical="center"/>
    </xf>
    <xf numFmtId="3" fontId="23" fillId="0" borderId="43" xfId="1" applyNumberFormat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31" fillId="26" borderId="34" xfId="0" applyFont="1" applyFill="1" applyBorder="1" applyAlignment="1">
      <alignment horizontal="center" vertical="center" wrapText="1"/>
    </xf>
    <xf numFmtId="0" fontId="31" fillId="26" borderId="35" xfId="0" applyFont="1" applyFill="1" applyBorder="1" applyAlignment="1">
      <alignment horizontal="center" vertical="center" wrapText="1"/>
    </xf>
    <xf numFmtId="0" fontId="31" fillId="26" borderId="36" xfId="0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horizontal="left" vertical="center" wrapText="1"/>
    </xf>
    <xf numFmtId="43" fontId="37" fillId="0" borderId="20" xfId="1" applyNumberFormat="1" applyFont="1" applyFill="1" applyBorder="1" applyAlignment="1">
      <alignment horizontal="center" vertical="center" wrapText="1"/>
    </xf>
    <xf numFmtId="3" fontId="23" fillId="0" borderId="38" xfId="1" applyNumberFormat="1" applyFont="1" applyFill="1" applyBorder="1" applyAlignment="1">
      <alignment horizontal="center" vertical="center"/>
    </xf>
    <xf numFmtId="3" fontId="23" fillId="0" borderId="40" xfId="1" applyNumberFormat="1" applyFont="1" applyFill="1" applyBorder="1" applyAlignment="1">
      <alignment horizontal="center" vertical="center"/>
    </xf>
    <xf numFmtId="0" fontId="23" fillId="0" borderId="34" xfId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3" fontId="23" fillId="0" borderId="34" xfId="1" applyNumberFormat="1" applyFont="1" applyFill="1" applyBorder="1" applyAlignment="1">
      <alignment horizontal="center" vertical="center"/>
    </xf>
    <xf numFmtId="0" fontId="23" fillId="0" borderId="3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/>
    </xf>
    <xf numFmtId="0" fontId="30" fillId="0" borderId="31" xfId="1" applyFont="1" applyFill="1" applyBorder="1" applyAlignment="1">
      <alignment horizontal="right" vertical="center"/>
    </xf>
    <xf numFmtId="0" fontId="30" fillId="0" borderId="32" xfId="1" applyFont="1" applyFill="1" applyBorder="1" applyAlignment="1">
      <alignment horizontal="right" vertical="center"/>
    </xf>
    <xf numFmtId="0" fontId="23" fillId="0" borderId="26" xfId="1" applyFont="1" applyFill="1" applyBorder="1" applyAlignment="1">
      <alignment horizontal="left" vertical="center" wrapText="1"/>
    </xf>
    <xf numFmtId="43" fontId="37" fillId="0" borderId="26" xfId="1" applyNumberFormat="1" applyFont="1" applyFill="1" applyBorder="1" applyAlignment="1">
      <alignment horizontal="center" vertical="center" wrapText="1"/>
    </xf>
    <xf numFmtId="0" fontId="23" fillId="0" borderId="26" xfId="1" applyFont="1" applyFill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/>
    </xf>
    <xf numFmtId="0" fontId="23" fillId="19" borderId="34" xfId="1" applyFont="1" applyFill="1" applyBorder="1" applyAlignment="1">
      <alignment horizontal="center" vertical="center"/>
    </xf>
    <xf numFmtId="0" fontId="23" fillId="0" borderId="34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30" fillId="24" borderId="51" xfId="1" applyFont="1" applyFill="1" applyBorder="1" applyAlignment="1">
      <alignment horizontal="right" vertical="center"/>
    </xf>
    <xf numFmtId="0" fontId="30" fillId="24" borderId="52" xfId="1" applyFont="1" applyFill="1" applyBorder="1" applyAlignment="1">
      <alignment horizontal="right" vertical="center"/>
    </xf>
    <xf numFmtId="43" fontId="30" fillId="24" borderId="5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justify" wrapText="1"/>
    </xf>
    <xf numFmtId="0" fontId="23" fillId="0" borderId="0" xfId="1" applyFont="1" applyAlignment="1">
      <alignment horizontal="center" vertical="justify"/>
    </xf>
    <xf numFmtId="0" fontId="23" fillId="0" borderId="0" xfId="1" applyFont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23" fillId="0" borderId="0" xfId="1" applyFont="1" applyAlignment="1">
      <alignment wrapText="1"/>
    </xf>
    <xf numFmtId="0" fontId="28" fillId="26" borderId="51" xfId="1" applyFont="1" applyFill="1" applyBorder="1" applyAlignment="1">
      <alignment horizontal="right" vertical="center"/>
    </xf>
    <xf numFmtId="0" fontId="28" fillId="26" borderId="52" xfId="1" applyFont="1" applyFill="1" applyBorder="1" applyAlignment="1">
      <alignment horizontal="right" vertical="center"/>
    </xf>
    <xf numFmtId="43" fontId="28" fillId="26" borderId="53" xfId="1" applyNumberFormat="1" applyFont="1" applyFill="1" applyBorder="1" applyAlignment="1">
      <alignment horizontal="center" vertical="center"/>
    </xf>
    <xf numFmtId="0" fontId="28" fillId="26" borderId="51" xfId="1" applyFont="1" applyFill="1" applyBorder="1" applyAlignment="1">
      <alignment horizontal="center" vertical="center"/>
    </xf>
    <xf numFmtId="0" fontId="28" fillId="26" borderId="52" xfId="1" applyFont="1" applyFill="1" applyBorder="1" applyAlignment="1">
      <alignment horizontal="center" vertical="center"/>
    </xf>
    <xf numFmtId="0" fontId="28" fillId="26" borderId="53" xfId="1" applyFont="1" applyFill="1" applyBorder="1" applyAlignment="1">
      <alignment horizontal="center" vertical="center"/>
    </xf>
    <xf numFmtId="0" fontId="29" fillId="25" borderId="51" xfId="0" applyFont="1" applyFill="1" applyBorder="1" applyAlignment="1">
      <alignment horizontal="center" vertical="center" wrapText="1"/>
    </xf>
    <xf numFmtId="0" fontId="29" fillId="25" borderId="52" xfId="0" applyFont="1" applyFill="1" applyBorder="1" applyAlignment="1">
      <alignment horizontal="center" vertical="center" wrapText="1"/>
    </xf>
    <xf numFmtId="0" fontId="29" fillId="25" borderId="58" xfId="0" applyFont="1" applyFill="1" applyBorder="1" applyAlignment="1">
      <alignment horizontal="center" vertical="center" wrapText="1"/>
    </xf>
    <xf numFmtId="0" fontId="23" fillId="0" borderId="37" xfId="1" applyFont="1" applyBorder="1" applyAlignment="1">
      <alignment vertical="center" wrapText="1"/>
    </xf>
  </cellXfs>
  <cellStyles count="6">
    <cellStyle name="Entrada" xfId="3" builtinId="20"/>
    <cellStyle name="Normal" xfId="0" builtinId="0"/>
    <cellStyle name="Normal 2" xfId="1" xr:uid="{A951F48D-0D09-4EBF-86D1-F14638966F77}"/>
    <cellStyle name="Normal 3" xfId="4" xr:uid="{C4707870-2E28-4C7C-A801-F4B5D5848F04}"/>
    <cellStyle name="Porcentagem" xfId="5" builtinId="5"/>
    <cellStyle name="Vírgula 2" xfId="2" xr:uid="{3E2CD22C-5782-4109-9BAD-E7945CF73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E8FE53A-9B59-403C-93BB-9892495B68A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0E61F07-38A7-4E37-A352-DD47CA129F1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3E5774E2-D1C9-4F1D-9744-AF39B5FD3B7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2E330D7-AAB6-4D86-90EF-308DCA7F6E9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E01F6BAC-966B-494B-851B-BB0D579A0A8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625F69CD-F16A-4FE5-91AB-CEFD174C281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124D52-1418-468F-89E5-7110154F7A7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30663562-B98B-49AC-A4C7-9223553137E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5AFAD89C-61A1-48E4-9FDF-CC0AC9C24B3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24896BDD-1A27-485D-A3A5-51FEFE9DBEAB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25D2E147-9BF1-470C-81AF-2B5E619D011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B9725B28-2503-4DA8-B935-DED10AE8440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8788D39A-C1D0-41D7-BB8A-B07F381CDBE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80F59169-0A24-4C08-943A-E35B8869CAE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5E39C6B2-9E69-44A9-8C9C-C997E90CBA3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FF7EAD51-4EFE-4391-AECF-989C14CFCD1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A8198E5F-CDBE-4A61-AC68-06B3CC77D1E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1646360-A69F-4391-9C17-34EC3CC2BF8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79072A7A-D2C6-4DEC-81AF-01E64B747CDF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555EE115-CB8F-4CB7-B473-3E2398007ECC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FC2FA55D-E522-4CAD-9C5D-849E5D01F1DB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BCB58988-3DA2-4B9E-BD43-56F85A99B2D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CDAFAB4A-0701-4089-9056-4BFF754ABCE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F45BB359-370F-4569-B371-D251EBACF17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D23717E4-8775-4A0B-BAC8-9F7497A9D8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D6A3D963-1306-4E4E-BD78-5C9790FD88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4B19EE07-E159-4C12-B584-A0E7CFD109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D5E4B49-9523-4E51-A19E-76A44BA0E4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43C75CD8-EB29-4B05-A0F1-F244F379103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645F06B5-7468-4711-996A-D559E949F6BC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A1FD36F9-DEBC-4038-AAC5-DF18C529041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DE7A2572-4E1A-46FA-9B8F-F9484370534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41CE784C-A5C2-4A31-84AB-64857E5A45F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42D86A4-84BC-4D1A-9EAE-D33B05AA860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7584CC0D-50FF-4B74-AD4D-70255792022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C3F4A460-08CC-45B7-823F-1D81E8890A2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1362FB84-5231-4D75-92F1-34EB90D68AE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13E3F588-B280-4EA7-B4E6-A242A21AF20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88464885-CF49-4E56-8D1A-74602206002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8010E8CA-ECC9-4B66-B7BA-EFA07D2F8FAD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969336B6-AE0E-470C-BA85-0CE0550130C8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21F8618-9235-4FFE-B865-F46BEA4D310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2B7A2E1A-2CBE-4D05-AAC3-D38D9A896EE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243030B8-069F-44A3-9A58-5D8E62F7DD58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4CE306AE-01C2-4AD3-8214-E819C3052D81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35A2E3D-EEA8-4871-BD9D-F0EFCE3F8B2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21A79310-99C9-4044-AB5A-20B8FC43C81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83C35B20-052F-4F86-B4BB-DAF781717D9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B3DDD0E5-7DC7-4E43-BB63-2E1689DE30F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417FF9A1-611B-419B-BFC6-0996463C162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531D7ED-C53D-4049-BC34-A9246532460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E9FC3372-A3CB-4E58-9C67-B103018B6A3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FE2812B3-CB97-4679-860A-205CC66CC3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E5EBCBD4-B13B-4AA2-A627-5A026A5F05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61E6DBF6-3B10-468D-897F-39FC576A0F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400C07B-551B-4567-9AEE-3CFF746C51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9F6D878-F587-470C-9A1C-51E5CDC2CDE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B8CCF02-3BB7-4475-AA4B-CA8F4383E82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2E1E0646-29B8-452B-AA33-64BFA18D25A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9A08E81-1B2D-4FB9-940D-8C807374DD7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B33AE700-1733-4B26-A745-C02EBEE901F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28CC30D5-20F0-4E5B-BC47-468F4D843EF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4D4EA66B-8773-4AFE-AC4D-E99DE37ED92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5D09FD93-AC1C-4B6E-849D-B6CFB3754DC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5F9ABDCE-D4F3-46C2-94E1-7025EE5A58C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D023F11-CB5D-41AF-B323-6EA170305CE0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816AE74B-C8AA-4B90-9A97-0B88BCA5AFD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CF9BB025-547F-498B-8BA3-F8211974C59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A76F4004-B94B-4358-8E33-18C9DADCFEB9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27CFCF13-FB28-42D6-8F01-0E559192E14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7D495E7C-2E8E-4DCB-865B-04673EE7875D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3AC61F51-F8DD-4624-B74A-C79627AA5B0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671B371C-FEEF-411E-8CD9-2DCC2E68133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4687E6F9-2DC3-496C-B6C1-27F03D0DD1E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5BD4986F-5599-4E73-8AB3-1A3CDB8747F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F22BFE67-667C-4E55-AA19-68521BE48C8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D4BEE40C-A5EF-4E14-B3F7-E2AD3D77ED9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8151DF1F-C703-46A0-9667-A5F5C63D858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794531E2-E141-4B74-A241-B93ED3B7C9E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D0C1C223-E4E9-4C7D-A850-341F598828B0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7622F138-B9E1-44B2-A541-0205DCC69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DA411C4-9637-40DA-BC62-F524EC477F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2242437F-5C35-432D-B7F8-1EDA9919B7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46B2C0-CE7E-41A5-BD14-582C438C94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6B4C874-1A5E-4AB8-BBE0-FFA2426FFFDD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C8C87D9-5783-4C05-977A-DB184283F7AE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67EB9E45-716B-4057-8FAE-BB611BB2F8C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CF5331DB-7EF6-441E-8CC5-67019642AB7D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6C3565E5-6EE2-481F-9205-A9506B157F5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182437-38C3-4458-ACF4-CAAC0CB3B24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67B2C6A1-20ED-494E-BADF-67D7EA3FA3E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CB318AA1-917E-46B1-8AA7-108D5876913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ABAEB82E-21AD-41C1-A036-BDEC80E9CC7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3593D91E-A80A-47E8-9D2F-8AE9B20A559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56EA9B2F-28DC-4AAA-89C2-A14C41233C5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1653E55D-FE2B-4F52-B7A7-D687A7B8395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FCCD84A7-148C-4D6B-834E-B76F64DF21FC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1FC7A873-A098-4D9D-8D52-AEE5EB57EFE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6D883224-A877-4D8F-BE8B-ABEA61E8394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CBD663AF-1756-41EF-A989-373282999E40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25ACD472-942E-421A-BBC7-1C74787E022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FD2DD055-F6B7-4716-835C-8BDF31384200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E41F9967-39E2-44A0-992A-899F7032146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2AF79B5D-7EF3-4755-838F-AF523ECE54C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16872237-2B31-4E6A-8CB3-E9B3B72BC6E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74F0D91E-7968-489D-B480-B76E74966ED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AC1E8966-490F-4B58-B53A-93EC30C9922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36F0AF2E-D5DF-4A65-B22D-434797062FC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CE5F563D-DF4B-4DF4-B458-F5C66B3184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9803EA7-9BD5-44A1-BFDC-ADFEA372D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756ACEB4-47EA-4ADE-92E9-3443CBD526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B81296F-8443-472A-BC9D-F9A7C46CF9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219D9D8-C91D-482B-BD07-7A5459D327B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08ED995-ABF6-4028-9408-FE16B849662C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FF445904-B1AA-4A7C-B998-CB6BAB11420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5EED6E6-4CD4-4DDB-8CC6-FECF30AB221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70B12109-3AE6-4138-9BC3-4477873FD65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BFE1AA85-D7FD-4046-941F-FB8CD60E085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7C02F1CA-5187-4350-A7EB-87997A5BF0D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514F1435-681B-4718-A7FA-2A58F06DAB8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5AC172AE-9BF0-41B0-AF1F-29FA044BA05C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42824EC5-E00D-465F-9C53-FEC52BBD29E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7EC60636-543A-468B-882E-D96FAED8E36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9A7CE0E7-A49A-430A-99D5-8778ADAADB8C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A3DCFBC7-3C85-435D-90FB-4949D00CE70B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C772290A-96C6-4889-B056-B7D347CC12F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71AE7433-CFCC-4B75-957B-44DD51969369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1DDEC08B-B042-46CD-BEAC-B8137A1DCEB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12E7D0DF-6E5B-408D-AA6C-D280710D088F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88D4B1D-DFCA-43D8-84B3-268B292C925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1418EDF8-4EC5-43DD-810B-95EE1D2FFBA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C7742C60-9AA1-46B7-9BCC-46B1C78F87B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3A7A5E90-82AA-4969-BA96-A02C193AA3C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CDCE70C4-F735-4BFE-85CE-331C41FEF19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E543321E-C618-4297-B5A2-2BA3B0C95BC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3E197F9D-507A-48D3-A588-1F3D0489BE6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B82DBDAC-ADC0-46A9-9952-18F04A5E48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F6A69CE-D0F4-4131-97B1-6A445DDD06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36067AF8-2E49-422C-A3D1-615B4AE6F5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62924E3-24BD-4683-8E93-21760B10D0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E5BE84C-31E2-44BC-A398-C8F72F276432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6DCED04C-9635-4E1A-BD97-A8CFA81DF8EA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F72EDF46-032F-4985-9E01-6AAF6ABE6144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BA6C16B0-E853-47B0-8CD0-CDEF6E7911CC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3CFD3E63-EE3E-4F34-98D9-A2CEAEB409C7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408E3F2-569B-4C2A-BE9D-C2C2ABE8BFEC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872E630D-9011-4D33-BFEC-525829588B43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898EE9B0-F4C2-4913-9E57-D6FE17683CB3}"/>
            </a:ext>
          </a:extLst>
        </xdr:cNvPr>
        <xdr:cNvSpPr/>
      </xdr:nvSpPr>
      <xdr:spPr>
        <a:xfrm>
          <a:off x="0" y="0"/>
          <a:ext cx="8809695" cy="91535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C906D6E-C311-4E9F-9D9A-6B6FABA3FFC8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85BE1378-662B-4D5D-A415-2C5F1DEADFA8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3054415B-D649-4162-B9E2-A608CF184642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41059471-CFBE-47E2-BB33-A5DA665D10CA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BBA2E66A-D8E4-483C-9563-B389F819D57D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FBECDBCA-0360-4288-B3C5-616758C19072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E39C0A65-77E1-45C7-84D3-8AC411EBD2CA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DA4BF858-0EE2-445D-A2C7-BB02DA545DED}"/>
            </a:ext>
          </a:extLst>
        </xdr:cNvPr>
        <xdr:cNvSpPr/>
      </xdr:nvSpPr>
      <xdr:spPr>
        <a:xfrm>
          <a:off x="0" y="0"/>
          <a:ext cx="8810055" cy="91535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61650CCD-0917-433D-B209-DB84C4D9F617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23147CA-07C5-4BB1-8B64-1745B2176A6F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AF4B5925-0DEE-40E5-A89B-6B6F260D7618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935A9DA7-62E9-4582-B6B1-0D92391E350E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9166A858-ADB1-4A80-B394-11678D586255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D9972A32-2495-4677-8CE4-FE8A32012249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E3294785-E0F5-4DB8-A092-05E5348172BB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493D1F1B-D245-4BC5-BAA8-EB0787E9A89A}"/>
            </a:ext>
          </a:extLst>
        </xdr:cNvPr>
        <xdr:cNvSpPr/>
      </xdr:nvSpPr>
      <xdr:spPr>
        <a:xfrm>
          <a:off x="0" y="0"/>
          <a:ext cx="8810415" cy="9153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28B24FF6-27C2-42DC-8F56-B2B2D7D743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2D6C6C0F-02FB-45B7-AB03-AC5EB66CF4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CBFBCAB3-6222-476E-94AA-ABBB96ED33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F19A5AE-50BA-4CBB-98C2-6F3830D7BC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153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1085491153/AppData/Local/Temp/7zO415C4019/LEVANTAMENTO%20DOS%20POSTOS%20SRRF07%20V4%20(com%20Sior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OS DE APOIO"/>
      <sheetName val="TABELA"/>
      <sheetName val="COMPARATIVO"/>
      <sheetName val="CONTRATOS FUTUROS"/>
      <sheetName val="CUSTOS PRATICADOS ATUAIS"/>
      <sheetName val="SRA"/>
      <sheetName val="SRRF0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90E2-58A5-4732-9F16-6836D71D19FA}">
  <dimension ref="A1:F56"/>
  <sheetViews>
    <sheetView showGridLines="0" tabSelected="1" topLeftCell="A43" zoomScaleNormal="100" workbookViewId="0">
      <selection activeCell="K55" sqref="K55"/>
    </sheetView>
  </sheetViews>
  <sheetFormatPr defaultColWidth="9.28515625" defaultRowHeight="12.75" x14ac:dyDescent="0.2"/>
  <cols>
    <col min="1" max="1" width="9.28515625" style="122"/>
    <col min="2" max="2" width="30" style="129" bestFit="1" customWidth="1"/>
    <col min="3" max="3" width="14" style="122" customWidth="1"/>
    <col min="4" max="4" width="11.140625" style="128" customWidth="1"/>
    <col min="5" max="5" width="14" style="128" customWidth="1"/>
    <col min="6" max="6" width="12.85546875" style="128" bestFit="1" customWidth="1"/>
    <col min="7" max="16384" width="9.28515625" style="122"/>
  </cols>
  <sheetData>
    <row r="1" spans="1:6" ht="43.5" customHeight="1" thickBot="1" x14ac:dyDescent="0.25">
      <c r="A1" s="433" t="s">
        <v>335</v>
      </c>
      <c r="B1" s="434"/>
      <c r="C1" s="434"/>
      <c r="D1" s="434"/>
      <c r="E1" s="434"/>
      <c r="F1" s="435"/>
    </row>
    <row r="2" spans="1:6" ht="51.75" thickBot="1" x14ac:dyDescent="0.25">
      <c r="A2" s="436" t="s">
        <v>115</v>
      </c>
      <c r="B2" s="437" t="s">
        <v>116</v>
      </c>
      <c r="C2" s="437" t="s">
        <v>117</v>
      </c>
      <c r="D2" s="437" t="s">
        <v>332</v>
      </c>
      <c r="E2" s="437" t="s">
        <v>333</v>
      </c>
      <c r="F2" s="438" t="s">
        <v>334</v>
      </c>
    </row>
    <row r="3" spans="1:6" ht="28.5" customHeight="1" x14ac:dyDescent="0.2">
      <c r="A3" s="178" t="s">
        <v>336</v>
      </c>
      <c r="B3" s="159" t="s">
        <v>275</v>
      </c>
      <c r="C3" s="147">
        <f>'G2 - Qtd Servente'!C3</f>
        <v>181.03</v>
      </c>
      <c r="D3" s="148">
        <f>'M² Barra das Garças'!E9</f>
        <v>18.698015535304346</v>
      </c>
      <c r="E3" s="158">
        <f>(C3*D3)</f>
        <v>3384.9017523561461</v>
      </c>
      <c r="F3" s="149"/>
    </row>
    <row r="4" spans="1:6" ht="28.5" customHeight="1" x14ac:dyDescent="0.2">
      <c r="A4" s="179"/>
      <c r="B4" s="157" t="s">
        <v>276</v>
      </c>
      <c r="C4" s="155">
        <v>21.28</v>
      </c>
      <c r="D4" s="154">
        <f>'M² Barra das Garças'!E12</f>
        <v>8.9813501588119209</v>
      </c>
      <c r="E4" s="126">
        <f t="shared" ref="E4:E11" si="0">(C4*D4)</f>
        <v>191.12313137951767</v>
      </c>
      <c r="F4" s="150"/>
    </row>
    <row r="5" spans="1:6" ht="28.5" customHeight="1" x14ac:dyDescent="0.2">
      <c r="A5" s="179"/>
      <c r="B5" s="157" t="s">
        <v>277</v>
      </c>
      <c r="C5" s="155">
        <v>7.18</v>
      </c>
      <c r="D5" s="154">
        <f>'M² Barra das Garças'!E15</f>
        <v>14.975928133662968</v>
      </c>
      <c r="E5" s="126">
        <f t="shared" si="0"/>
        <v>107.52716399970011</v>
      </c>
      <c r="F5" s="150"/>
    </row>
    <row r="6" spans="1:6" ht="28.5" customHeight="1" x14ac:dyDescent="0.2">
      <c r="A6" s="180"/>
      <c r="B6" s="157" t="s">
        <v>278</v>
      </c>
      <c r="C6" s="155">
        <v>9.91</v>
      </c>
      <c r="D6" s="137">
        <f>'M² Barra das Garças'!E18</f>
        <v>75.232015447930436</v>
      </c>
      <c r="E6" s="126">
        <f t="shared" si="0"/>
        <v>745.54927308899062</v>
      </c>
      <c r="F6" s="150"/>
    </row>
    <row r="7" spans="1:6" ht="28.5" customHeight="1" x14ac:dyDescent="0.2">
      <c r="A7" s="180"/>
      <c r="B7" s="157" t="s">
        <v>279</v>
      </c>
      <c r="C7" s="155">
        <v>158.77000000000001</v>
      </c>
      <c r="D7" s="137">
        <f>'M² Barra das Garças'!E25</f>
        <v>8.3156323967153281</v>
      </c>
      <c r="E7" s="126">
        <f t="shared" si="0"/>
        <v>1320.2729556264928</v>
      </c>
      <c r="F7" s="150"/>
    </row>
    <row r="8" spans="1:6" ht="28.5" customHeight="1" x14ac:dyDescent="0.2">
      <c r="A8" s="180"/>
      <c r="B8" s="157" t="s">
        <v>280</v>
      </c>
      <c r="C8" s="155">
        <v>46.5</v>
      </c>
      <c r="D8" s="137">
        <f>'M² Barra das Garças'!E28</f>
        <v>2.4940410737418439</v>
      </c>
      <c r="E8" s="126">
        <f t="shared" si="0"/>
        <v>115.97290992899575</v>
      </c>
      <c r="F8" s="150"/>
    </row>
    <row r="9" spans="1:6" ht="28.5" customHeight="1" x14ac:dyDescent="0.2">
      <c r="A9" s="180"/>
      <c r="B9" s="157" t="s">
        <v>290</v>
      </c>
      <c r="C9" s="155">
        <v>3.46</v>
      </c>
      <c r="D9" s="137">
        <f>'M² Barra das Garças'!E31</f>
        <v>8.3156323967153281</v>
      </c>
      <c r="E9" s="126">
        <f t="shared" si="0"/>
        <v>28.772088092635034</v>
      </c>
      <c r="F9" s="150"/>
    </row>
    <row r="10" spans="1:6" ht="28.5" customHeight="1" x14ac:dyDescent="0.2">
      <c r="A10" s="180"/>
      <c r="B10" s="157" t="s">
        <v>282</v>
      </c>
      <c r="C10" s="155">
        <v>50.44</v>
      </c>
      <c r="D10" s="137">
        <f>'M² Barra das Garças'!H36</f>
        <v>5.0188923524868638</v>
      </c>
      <c r="E10" s="126">
        <f t="shared" si="0"/>
        <v>253.1529302594374</v>
      </c>
      <c r="F10" s="150"/>
    </row>
    <row r="11" spans="1:6" ht="28.5" customHeight="1" x14ac:dyDescent="0.2">
      <c r="A11" s="180"/>
      <c r="B11" s="157" t="s">
        <v>281</v>
      </c>
      <c r="C11" s="155">
        <v>50.44</v>
      </c>
      <c r="D11" s="137">
        <f>'M² Barra das Garças'!H41</f>
        <v>5.0188923524868638</v>
      </c>
      <c r="E11" s="126">
        <f t="shared" si="0"/>
        <v>253.1529302594374</v>
      </c>
      <c r="F11" s="151"/>
    </row>
    <row r="12" spans="1:6" ht="28.5" customHeight="1" thickBot="1" x14ac:dyDescent="0.25">
      <c r="A12" s="181"/>
      <c r="B12" s="182"/>
      <c r="C12" s="183"/>
      <c r="D12" s="184"/>
      <c r="E12" s="152">
        <f>SUM(E3:E11)</f>
        <v>6400.4251349913538</v>
      </c>
      <c r="F12" s="153">
        <f>(E12*20)</f>
        <v>128008.50269982708</v>
      </c>
    </row>
    <row r="13" spans="1:6" ht="28.5" customHeight="1" x14ac:dyDescent="0.2">
      <c r="A13" s="178" t="s">
        <v>338</v>
      </c>
      <c r="B13" s="439" t="s">
        <v>275</v>
      </c>
      <c r="C13" s="161">
        <v>269.81</v>
      </c>
      <c r="D13" s="148">
        <f>'M² Rondonópolis'!E9</f>
        <v>11.996926189447372</v>
      </c>
      <c r="E13" s="127">
        <f t="shared" ref="E13:E17" si="1">(C13*D13)</f>
        <v>3236.8906551747955</v>
      </c>
      <c r="F13" s="149"/>
    </row>
    <row r="14" spans="1:6" ht="28.5" customHeight="1" x14ac:dyDescent="0.2">
      <c r="A14" s="179"/>
      <c r="B14" s="156" t="s">
        <v>276</v>
      </c>
      <c r="C14" s="162">
        <v>54.16</v>
      </c>
      <c r="D14" s="154">
        <f>'M² Rondonópolis'!E12</f>
        <v>5.7546231315235365</v>
      </c>
      <c r="E14" s="126">
        <f>(C14*D14)</f>
        <v>311.67038880331472</v>
      </c>
      <c r="F14" s="150"/>
    </row>
    <row r="15" spans="1:6" ht="28.5" customHeight="1" x14ac:dyDescent="0.2">
      <c r="A15" s="179"/>
      <c r="B15" s="156" t="s">
        <v>277</v>
      </c>
      <c r="C15" s="162">
        <v>109.96</v>
      </c>
      <c r="D15" s="154">
        <f>'M² Rondonópolis'!E15</f>
        <v>9.5939274195731254</v>
      </c>
      <c r="E15" s="126">
        <f t="shared" si="1"/>
        <v>1054.9482590562609</v>
      </c>
      <c r="F15" s="150"/>
    </row>
    <row r="16" spans="1:6" ht="28.5" customHeight="1" x14ac:dyDescent="0.2">
      <c r="A16" s="179"/>
      <c r="B16" s="156" t="s">
        <v>278</v>
      </c>
      <c r="C16" s="162">
        <v>14.4</v>
      </c>
      <c r="D16" s="154">
        <f>'M² Rondonópolis'!E18</f>
        <v>47.897502305237253</v>
      </c>
      <c r="E16" s="126">
        <f t="shared" si="1"/>
        <v>689.7240331954165</v>
      </c>
      <c r="F16" s="150"/>
    </row>
    <row r="17" spans="1:6" ht="28.5" customHeight="1" x14ac:dyDescent="0.2">
      <c r="A17" s="179"/>
      <c r="B17" s="156" t="s">
        <v>279</v>
      </c>
      <c r="C17" s="162">
        <v>55.58</v>
      </c>
      <c r="D17" s="154">
        <f>'M² Rondonópolis'!E25</f>
        <v>5.3308517210013013</v>
      </c>
      <c r="E17" s="126">
        <f t="shared" si="1"/>
        <v>296.28873865325232</v>
      </c>
      <c r="F17" s="150"/>
    </row>
    <row r="18" spans="1:6" ht="28.5" customHeight="1" x14ac:dyDescent="0.2">
      <c r="A18" s="179"/>
      <c r="B18" s="156" t="s">
        <v>280</v>
      </c>
      <c r="C18" s="162">
        <v>40.6</v>
      </c>
      <c r="D18" s="154">
        <f>'M² Rondonópolis'!E28</f>
        <v>1.5989879032621874</v>
      </c>
      <c r="E18" s="126">
        <f t="shared" ref="E18:E21" si="2">(C18*D18)</f>
        <v>64.918908872444817</v>
      </c>
      <c r="F18" s="150"/>
    </row>
    <row r="19" spans="1:6" ht="28.5" customHeight="1" x14ac:dyDescent="0.2">
      <c r="A19" s="179"/>
      <c r="B19" s="156" t="s">
        <v>290</v>
      </c>
      <c r="C19" s="162">
        <v>62.6</v>
      </c>
      <c r="D19" s="154">
        <f>'M² Rondonópolis'!E31</f>
        <v>2.3593954839246498</v>
      </c>
      <c r="E19" s="126">
        <f t="shared" si="2"/>
        <v>147.6981572936831</v>
      </c>
      <c r="F19" s="150"/>
    </row>
    <row r="20" spans="1:6" ht="28.5" customHeight="1" x14ac:dyDescent="0.2">
      <c r="A20" s="180"/>
      <c r="B20" s="156" t="s">
        <v>282</v>
      </c>
      <c r="C20" s="162">
        <v>59.47</v>
      </c>
      <c r="D20" s="137">
        <f>'M² Rondonópolis'!H36</f>
        <v>3.2141433347443238</v>
      </c>
      <c r="E20" s="126">
        <f t="shared" si="2"/>
        <v>191.14510411724493</v>
      </c>
      <c r="F20" s="150"/>
    </row>
    <row r="21" spans="1:6" ht="28.5" customHeight="1" x14ac:dyDescent="0.2">
      <c r="A21" s="180"/>
      <c r="B21" s="156" t="s">
        <v>281</v>
      </c>
      <c r="C21" s="163">
        <v>59.47</v>
      </c>
      <c r="D21" s="137">
        <f>'M² Rondonópolis'!H41</f>
        <v>3.2141433347443238</v>
      </c>
      <c r="E21" s="126">
        <f t="shared" si="2"/>
        <v>191.14510411724493</v>
      </c>
      <c r="F21" s="150"/>
    </row>
    <row r="22" spans="1:6" ht="28.5" customHeight="1" thickBot="1" x14ac:dyDescent="0.25">
      <c r="A22" s="181"/>
      <c r="B22" s="182"/>
      <c r="C22" s="183"/>
      <c r="D22" s="184"/>
      <c r="E22" s="152">
        <f>SUM(E13:E21)</f>
        <v>6184.4293492836578</v>
      </c>
      <c r="F22" s="153">
        <f>(E22*20)</f>
        <v>123688.58698567316</v>
      </c>
    </row>
    <row r="23" spans="1:6" ht="28.5" customHeight="1" x14ac:dyDescent="0.2">
      <c r="A23" s="178" t="s">
        <v>341</v>
      </c>
      <c r="B23" s="439" t="s">
        <v>275</v>
      </c>
      <c r="C23" s="161">
        <v>269.81</v>
      </c>
      <c r="D23" s="148">
        <f>'M² Tangará da Serra'!E9</f>
        <v>14.540177499384832</v>
      </c>
      <c r="E23" s="127">
        <f t="shared" ref="E23" si="3">(C23*D23)</f>
        <v>3923.0852911090215</v>
      </c>
      <c r="F23" s="149"/>
    </row>
    <row r="24" spans="1:6" ht="28.5" customHeight="1" x14ac:dyDescent="0.2">
      <c r="A24" s="179"/>
      <c r="B24" s="156" t="s">
        <v>276</v>
      </c>
      <c r="C24" s="162">
        <v>54.16</v>
      </c>
      <c r="D24" s="154">
        <f>'M² Tangará da Serra'!E12</f>
        <v>6.9799299969330741</v>
      </c>
      <c r="E24" s="126">
        <f>(C24*D24)</f>
        <v>378.03300863389529</v>
      </c>
      <c r="F24" s="150"/>
    </row>
    <row r="25" spans="1:6" ht="28.5" customHeight="1" x14ac:dyDescent="0.2">
      <c r="A25" s="179"/>
      <c r="B25" s="156" t="s">
        <v>277</v>
      </c>
      <c r="C25" s="162">
        <v>109.96</v>
      </c>
      <c r="D25" s="154">
        <f>'M² Tangará da Serra'!E15</f>
        <v>11.637517296180466</v>
      </c>
      <c r="E25" s="126">
        <f t="shared" ref="E25:E31" si="4">(C25*D25)</f>
        <v>1279.6614018880039</v>
      </c>
      <c r="F25" s="150"/>
    </row>
    <row r="26" spans="1:6" ht="28.5" customHeight="1" x14ac:dyDescent="0.2">
      <c r="A26" s="179"/>
      <c r="B26" s="156" t="s">
        <v>278</v>
      </c>
      <c r="C26" s="162">
        <v>14.4</v>
      </c>
      <c r="D26" s="154">
        <f>'M² Tangará da Serra'!E18</f>
        <v>58.295341270681782</v>
      </c>
      <c r="E26" s="126">
        <f t="shared" si="4"/>
        <v>839.45291429781764</v>
      </c>
      <c r="F26" s="150"/>
    </row>
    <row r="27" spans="1:6" ht="28.5" customHeight="1" x14ac:dyDescent="0.2">
      <c r="A27" s="179"/>
      <c r="B27" s="156" t="s">
        <v>279</v>
      </c>
      <c r="C27" s="162">
        <v>55.58</v>
      </c>
      <c r="D27" s="154">
        <f>'M² Tangará da Serra'!E25</f>
        <v>6.4639598123548589</v>
      </c>
      <c r="E27" s="126">
        <f t="shared" si="4"/>
        <v>359.26688637068304</v>
      </c>
      <c r="F27" s="150"/>
    </row>
    <row r="28" spans="1:6" ht="28.5" customHeight="1" x14ac:dyDescent="0.2">
      <c r="A28" s="179"/>
      <c r="B28" s="156" t="s">
        <v>280</v>
      </c>
      <c r="C28" s="162">
        <v>40.6</v>
      </c>
      <c r="D28" s="154">
        <f>'M² Tangará da Serra'!E28</f>
        <v>1.9395862160300779</v>
      </c>
      <c r="E28" s="126">
        <f t="shared" si="4"/>
        <v>78.747200370821162</v>
      </c>
      <c r="F28" s="150"/>
    </row>
    <row r="29" spans="1:6" ht="28.5" customHeight="1" x14ac:dyDescent="0.2">
      <c r="A29" s="179"/>
      <c r="B29" s="156" t="s">
        <v>290</v>
      </c>
      <c r="C29" s="162">
        <v>62.6</v>
      </c>
      <c r="D29" s="154">
        <f>'M² Tangará da Serra'!E31</f>
        <v>2.3318136508272711</v>
      </c>
      <c r="E29" s="126">
        <f t="shared" si="4"/>
        <v>145.97153454178718</v>
      </c>
      <c r="F29" s="150"/>
    </row>
    <row r="30" spans="1:6" ht="28.5" customHeight="1" x14ac:dyDescent="0.2">
      <c r="A30" s="180"/>
      <c r="B30" s="156" t="s">
        <v>282</v>
      </c>
      <c r="C30" s="162">
        <v>59.47</v>
      </c>
      <c r="D30" s="137">
        <f>'M² Tangará da Serra'!H36</f>
        <v>3.8953550763004241</v>
      </c>
      <c r="E30" s="126">
        <f t="shared" si="4"/>
        <v>231.65676638758623</v>
      </c>
      <c r="F30" s="150"/>
    </row>
    <row r="31" spans="1:6" ht="28.5" customHeight="1" x14ac:dyDescent="0.2">
      <c r="A31" s="180"/>
      <c r="B31" s="156" t="s">
        <v>281</v>
      </c>
      <c r="C31" s="163">
        <v>59.47</v>
      </c>
      <c r="D31" s="137">
        <f>'M² Tangará da Serra'!H41</f>
        <v>3.8953550763004241</v>
      </c>
      <c r="E31" s="126">
        <f t="shared" si="4"/>
        <v>231.65676638758623</v>
      </c>
      <c r="F31" s="150"/>
    </row>
    <row r="32" spans="1:6" ht="28.5" customHeight="1" thickBot="1" x14ac:dyDescent="0.25">
      <c r="A32" s="181"/>
      <c r="B32" s="182"/>
      <c r="C32" s="183"/>
      <c r="D32" s="184"/>
      <c r="E32" s="152">
        <f>SUM(E23:E31)</f>
        <v>7467.531769987203</v>
      </c>
      <c r="F32" s="153">
        <f>(E32*20)</f>
        <v>149350.63539974406</v>
      </c>
    </row>
    <row r="33" spans="1:6" ht="28.5" customHeight="1" x14ac:dyDescent="0.2">
      <c r="A33" s="178" t="s">
        <v>342</v>
      </c>
      <c r="B33" s="124" t="s">
        <v>129</v>
      </c>
      <c r="C33" s="161">
        <v>272.54000000000002</v>
      </c>
      <c r="D33" s="148">
        <f>'M² Cáceres'!E9</f>
        <v>5.2879324900121603</v>
      </c>
      <c r="E33" s="127">
        <f>(C33*D33)</f>
        <v>1441.1731208279143</v>
      </c>
      <c r="F33" s="149"/>
    </row>
    <row r="34" spans="1:6" ht="28.5" customHeight="1" x14ac:dyDescent="0.2">
      <c r="A34" s="179"/>
      <c r="B34" s="130" t="s">
        <v>121</v>
      </c>
      <c r="C34" s="164">
        <v>388.55</v>
      </c>
      <c r="D34" s="154">
        <f>'M² Cáceres'!E12</f>
        <v>2.5382075952058369</v>
      </c>
      <c r="E34" s="126">
        <f t="shared" ref="E34:E41" si="5">(C34*D34)</f>
        <v>986.22056111722793</v>
      </c>
      <c r="F34" s="150"/>
    </row>
    <row r="35" spans="1:6" ht="28.5" customHeight="1" x14ac:dyDescent="0.2">
      <c r="A35" s="179"/>
      <c r="B35" s="130" t="s">
        <v>122</v>
      </c>
      <c r="C35" s="164">
        <v>64.67</v>
      </c>
      <c r="D35" s="154">
        <f>'M² Cáceres'!E12</f>
        <v>2.5382075952058369</v>
      </c>
      <c r="E35" s="126">
        <f t="shared" si="5"/>
        <v>164.14588518196149</v>
      </c>
      <c r="F35" s="150"/>
    </row>
    <row r="36" spans="1:6" ht="28.5" customHeight="1" x14ac:dyDescent="0.2">
      <c r="A36" s="179"/>
      <c r="B36" s="130" t="s">
        <v>123</v>
      </c>
      <c r="C36" s="164">
        <v>21.27</v>
      </c>
      <c r="D36" s="154">
        <f>'M² Cáceres'!E18</f>
        <v>21.151729960048641</v>
      </c>
      <c r="E36" s="126">
        <f t="shared" si="5"/>
        <v>449.8972962502346</v>
      </c>
      <c r="F36" s="150"/>
    </row>
    <row r="37" spans="1:6" ht="28.5" customHeight="1" x14ac:dyDescent="0.2">
      <c r="A37" s="179"/>
      <c r="B37" s="130" t="s">
        <v>124</v>
      </c>
      <c r="C37" s="164">
        <v>13.4</v>
      </c>
      <c r="D37" s="154">
        <f>'M² Cáceres'!E25</f>
        <v>2.350192217783182</v>
      </c>
      <c r="E37" s="126">
        <f t="shared" si="5"/>
        <v>31.492575718294638</v>
      </c>
      <c r="F37" s="150"/>
    </row>
    <row r="38" spans="1:6" ht="28.5" customHeight="1" x14ac:dyDescent="0.2">
      <c r="A38" s="179"/>
      <c r="B38" s="130" t="s">
        <v>145</v>
      </c>
      <c r="C38" s="164">
        <v>2114.94</v>
      </c>
      <c r="D38" s="154">
        <f>'M² Cáceres'!E28</f>
        <v>0.70505766533495462</v>
      </c>
      <c r="E38" s="126">
        <f t="shared" si="5"/>
        <v>1491.1546587235089</v>
      </c>
      <c r="F38" s="150"/>
    </row>
    <row r="39" spans="1:6" ht="28.5" customHeight="1" x14ac:dyDescent="0.2">
      <c r="A39" s="179"/>
      <c r="B39" s="130" t="s">
        <v>125</v>
      </c>
      <c r="C39" s="164">
        <v>248.18</v>
      </c>
      <c r="D39" s="154">
        <f>'M² Cáceres'!E31</f>
        <v>2.350192217783182</v>
      </c>
      <c r="E39" s="126">
        <f t="shared" si="5"/>
        <v>583.27070460943014</v>
      </c>
      <c r="F39" s="150"/>
    </row>
    <row r="40" spans="1:6" ht="28.5" customHeight="1" x14ac:dyDescent="0.2">
      <c r="A40" s="180"/>
      <c r="B40" s="130" t="s">
        <v>148</v>
      </c>
      <c r="C40" s="164">
        <v>147.59</v>
      </c>
      <c r="D40" s="137">
        <f>'M² Cáceres'!H36</f>
        <v>4.980275943596487</v>
      </c>
      <c r="E40" s="126">
        <f t="shared" si="5"/>
        <v>735.03892651540548</v>
      </c>
      <c r="F40" s="150"/>
    </row>
    <row r="41" spans="1:6" ht="28.5" customHeight="1" x14ac:dyDescent="0.2">
      <c r="A41" s="180"/>
      <c r="B41" s="130" t="s">
        <v>154</v>
      </c>
      <c r="C41" s="164">
        <v>147.59</v>
      </c>
      <c r="D41" s="137">
        <f>'M² Cáceres'!H40</f>
        <v>0.27983738737144348</v>
      </c>
      <c r="E41" s="126">
        <f t="shared" si="5"/>
        <v>41.301200002151347</v>
      </c>
      <c r="F41" s="150"/>
    </row>
    <row r="42" spans="1:6" ht="28.5" customHeight="1" thickBot="1" x14ac:dyDescent="0.25">
      <c r="A42" s="181"/>
      <c r="B42" s="182"/>
      <c r="C42" s="183"/>
      <c r="D42" s="184"/>
      <c r="E42" s="152">
        <f>SUM(E33:E41)</f>
        <v>5923.694928946129</v>
      </c>
      <c r="F42" s="153">
        <f>(E42*20)</f>
        <v>118473.89857892258</v>
      </c>
    </row>
    <row r="43" spans="1:6" ht="28.5" customHeight="1" x14ac:dyDescent="0.2">
      <c r="A43" s="178" t="s">
        <v>184</v>
      </c>
      <c r="B43" s="131" t="s">
        <v>129</v>
      </c>
      <c r="C43" s="169">
        <v>426.74</v>
      </c>
      <c r="D43" s="148">
        <f>'M² Corixa'!E9</f>
        <v>5.1564545463775628</v>
      </c>
      <c r="E43" s="127">
        <f>(C43*D43)</f>
        <v>2200.4654131211614</v>
      </c>
      <c r="F43" s="149"/>
    </row>
    <row r="44" spans="1:6" ht="28.5" customHeight="1" x14ac:dyDescent="0.2">
      <c r="A44" s="179"/>
      <c r="B44" s="130" t="s">
        <v>123</v>
      </c>
      <c r="C44" s="164">
        <v>54.17</v>
      </c>
      <c r="D44" s="154">
        <f>'M² Corixa'!E12</f>
        <v>20.625818185510251</v>
      </c>
      <c r="E44" s="126">
        <f t="shared" ref="E44:E50" si="6">(C44*D44)</f>
        <v>1117.3005711090902</v>
      </c>
      <c r="F44" s="150"/>
    </row>
    <row r="45" spans="1:6" ht="28.5" customHeight="1" x14ac:dyDescent="0.2">
      <c r="A45" s="179"/>
      <c r="B45" s="130" t="s">
        <v>124</v>
      </c>
      <c r="C45" s="164">
        <v>374.34</v>
      </c>
      <c r="D45" s="154">
        <f>'M² Corixa'!E19</f>
        <v>2.2917575761678055</v>
      </c>
      <c r="E45" s="126">
        <f t="shared" si="6"/>
        <v>857.89653106265621</v>
      </c>
      <c r="F45" s="150"/>
    </row>
    <row r="46" spans="1:6" ht="28.5" customHeight="1" x14ac:dyDescent="0.2">
      <c r="A46" s="179"/>
      <c r="B46" s="130" t="s">
        <v>145</v>
      </c>
      <c r="C46" s="164">
        <v>1474.52</v>
      </c>
      <c r="D46" s="154">
        <f>'M² Corixa'!E22</f>
        <v>0.68752727285034165</v>
      </c>
      <c r="E46" s="126">
        <f t="shared" si="6"/>
        <v>1013.7727143632858</v>
      </c>
      <c r="F46" s="150"/>
    </row>
    <row r="47" spans="1:6" ht="28.5" customHeight="1" x14ac:dyDescent="0.2">
      <c r="A47" s="179"/>
      <c r="B47" s="130" t="s">
        <v>125</v>
      </c>
      <c r="C47" s="164">
        <v>306.92</v>
      </c>
      <c r="D47" s="154">
        <f>'M² Corixa'!E25</f>
        <v>2.2917575761678055</v>
      </c>
      <c r="E47" s="126">
        <f t="shared" si="6"/>
        <v>703.38623527742288</v>
      </c>
      <c r="F47" s="150"/>
    </row>
    <row r="48" spans="1:6" ht="28.5" customHeight="1" x14ac:dyDescent="0.2">
      <c r="A48" s="179"/>
      <c r="B48" s="130" t="s">
        <v>155</v>
      </c>
      <c r="C48" s="164">
        <v>275.12</v>
      </c>
      <c r="D48" s="154">
        <f>'M² Corixa'!E25</f>
        <v>2.2917575761678055</v>
      </c>
      <c r="E48" s="126">
        <f t="shared" si="6"/>
        <v>630.50834435528668</v>
      </c>
      <c r="F48" s="150"/>
    </row>
    <row r="49" spans="1:6" ht="28.5" customHeight="1" x14ac:dyDescent="0.2">
      <c r="A49" s="179"/>
      <c r="B49" s="130" t="s">
        <v>148</v>
      </c>
      <c r="C49" s="164">
        <v>66.5</v>
      </c>
      <c r="D49" s="154">
        <f>'M² Corixa'!H30</f>
        <v>1.3802535005527654</v>
      </c>
      <c r="E49" s="126">
        <f t="shared" si="6"/>
        <v>91.786857786758901</v>
      </c>
      <c r="F49" s="150"/>
    </row>
    <row r="50" spans="1:6" ht="28.5" customHeight="1" x14ac:dyDescent="0.2">
      <c r="A50" s="180"/>
      <c r="B50" s="130" t="s">
        <v>149</v>
      </c>
      <c r="C50" s="164">
        <v>66.5</v>
      </c>
      <c r="D50" s="137">
        <f>'M² Corixa'!H35</f>
        <v>1.3802535005527654</v>
      </c>
      <c r="E50" s="126">
        <f t="shared" si="6"/>
        <v>91.786857786758901</v>
      </c>
      <c r="F50" s="150"/>
    </row>
    <row r="51" spans="1:6" ht="28.5" customHeight="1" thickBot="1" x14ac:dyDescent="0.25">
      <c r="A51" s="181"/>
      <c r="B51" s="182"/>
      <c r="C51" s="183"/>
      <c r="D51" s="184"/>
      <c r="E51" s="152">
        <f>SUM(E43:E50)</f>
        <v>6706.9035248624223</v>
      </c>
      <c r="F51" s="153">
        <f>(E51*20)</f>
        <v>134138.07049724844</v>
      </c>
    </row>
    <row r="52" spans="1:6" ht="28.5" customHeight="1" x14ac:dyDescent="0.2">
      <c r="A52" s="178" t="s">
        <v>346</v>
      </c>
      <c r="B52" s="131" t="s">
        <v>129</v>
      </c>
      <c r="C52" s="169">
        <v>159.36000000000001</v>
      </c>
      <c r="D52" s="148">
        <f>'M² DVAVG'!E9</f>
        <v>5.3717099049781458</v>
      </c>
      <c r="E52" s="127">
        <f>(C52*D52)</f>
        <v>856.0356904573174</v>
      </c>
      <c r="F52" s="149"/>
    </row>
    <row r="53" spans="1:6" ht="28.5" customHeight="1" x14ac:dyDescent="0.2">
      <c r="A53" s="179"/>
      <c r="B53" s="130" t="s">
        <v>123</v>
      </c>
      <c r="C53" s="164">
        <v>8.48</v>
      </c>
      <c r="D53" s="154">
        <f>'M² DVAVG'!E12</f>
        <v>21.486839619912583</v>
      </c>
      <c r="E53" s="126">
        <f t="shared" ref="E53:E54" si="7">(C53*D53)</f>
        <v>182.20839997685871</v>
      </c>
      <c r="F53" s="150"/>
    </row>
    <row r="54" spans="1:6" ht="28.5" customHeight="1" x14ac:dyDescent="0.2">
      <c r="A54" s="179"/>
      <c r="B54" s="130" t="s">
        <v>125</v>
      </c>
      <c r="C54" s="164">
        <v>2442.19</v>
      </c>
      <c r="D54" s="154">
        <f>'M² DVAVG'!E16</f>
        <v>2.3874266244347315</v>
      </c>
      <c r="E54" s="126">
        <f t="shared" si="7"/>
        <v>5830.5494279282575</v>
      </c>
      <c r="F54" s="150"/>
    </row>
    <row r="55" spans="1:6" ht="28.5" customHeight="1" thickBot="1" x14ac:dyDescent="0.25">
      <c r="A55" s="181"/>
      <c r="B55" s="182"/>
      <c r="C55" s="183"/>
      <c r="D55" s="184"/>
      <c r="E55" s="152">
        <f>SUM(E52:E54)</f>
        <v>6868.793518362434</v>
      </c>
      <c r="F55" s="153">
        <f>(E55*20)</f>
        <v>137375.87036724869</v>
      </c>
    </row>
    <row r="56" spans="1:6" ht="33.75" customHeight="1" thickBot="1" x14ac:dyDescent="0.25">
      <c r="A56" s="430" t="s">
        <v>381</v>
      </c>
      <c r="B56" s="431"/>
      <c r="C56" s="431"/>
      <c r="D56" s="431"/>
      <c r="E56" s="431"/>
      <c r="F56" s="432">
        <f>(E55+E51+E42+E32+E22+E12)*20</f>
        <v>791035.56452866399</v>
      </c>
    </row>
  </sheetData>
  <mergeCells count="14">
    <mergeCell ref="A56:E56"/>
    <mergeCell ref="A1:F1"/>
    <mergeCell ref="A3:A12"/>
    <mergeCell ref="B12:D12"/>
    <mergeCell ref="A33:A42"/>
    <mergeCell ref="B42:D42"/>
    <mergeCell ref="A43:A51"/>
    <mergeCell ref="B51:D51"/>
    <mergeCell ref="A23:A32"/>
    <mergeCell ref="B32:D32"/>
    <mergeCell ref="A13:A22"/>
    <mergeCell ref="B22:D22"/>
    <mergeCell ref="A52:A55"/>
    <mergeCell ref="B55:D55"/>
  </mergeCells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D679-3FEA-4C0E-A6EF-9B533F11BDC8}">
  <sheetPr>
    <pageSetUpPr fitToPage="1"/>
  </sheetPr>
  <dimension ref="A1:ALZ114"/>
  <sheetViews>
    <sheetView showGridLines="0" topLeftCell="A33" zoomScaleNormal="100" workbookViewId="0">
      <selection activeCell="D24" sqref="D24:E24"/>
    </sheetView>
  </sheetViews>
  <sheetFormatPr defaultColWidth="9.140625"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5" customWidth="1"/>
    <col min="1026" max="16384" width="9.140625" style="75"/>
  </cols>
  <sheetData>
    <row r="1" spans="1:7" ht="28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37" t="s">
        <v>167</v>
      </c>
      <c r="B3" s="237"/>
      <c r="C3" s="237"/>
      <c r="D3" s="237"/>
      <c r="E3" s="237"/>
      <c r="F3" s="237"/>
      <c r="G3" s="237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29" t="s">
        <v>1</v>
      </c>
      <c r="B5" s="229"/>
      <c r="C5" s="229"/>
      <c r="D5" s="229"/>
      <c r="E5" s="229"/>
      <c r="F5" s="229"/>
      <c r="G5" s="229"/>
    </row>
    <row r="6" spans="1:7" ht="21.75" customHeight="1" x14ac:dyDescent="0.2">
      <c r="A6" s="229" t="s">
        <v>2</v>
      </c>
      <c r="B6" s="229"/>
      <c r="C6" s="229"/>
      <c r="D6" s="229"/>
      <c r="E6" s="229"/>
      <c r="F6" s="229"/>
      <c r="G6" s="22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238" t="s">
        <v>3</v>
      </c>
      <c r="B8" s="238"/>
      <c r="C8" s="238"/>
      <c r="D8" s="238"/>
      <c r="E8" s="238"/>
      <c r="F8" s="238"/>
      <c r="G8" s="238"/>
    </row>
    <row r="9" spans="1:7" s="6" customFormat="1" ht="3.75" customHeight="1" x14ac:dyDescent="0.2">
      <c r="A9" s="239"/>
      <c r="B9" s="239"/>
      <c r="C9" s="239"/>
      <c r="D9" s="239"/>
      <c r="E9" s="239"/>
      <c r="F9" s="239"/>
      <c r="G9" s="239"/>
    </row>
    <row r="10" spans="1:7" s="6" customFormat="1" ht="21.75" customHeight="1" x14ac:dyDescent="0.25">
      <c r="A10" s="197" t="s">
        <v>4</v>
      </c>
      <c r="B10" s="197"/>
      <c r="C10" s="197"/>
      <c r="D10" s="197"/>
      <c r="E10" s="197"/>
      <c r="F10" s="197"/>
      <c r="G10" s="197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156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157</v>
      </c>
    </row>
    <row r="13" spans="1:7" s="6" customFormat="1" ht="34.5" customHeight="1" x14ac:dyDescent="0.25">
      <c r="A13" s="11" t="s">
        <v>9</v>
      </c>
      <c r="B13" s="233" t="s">
        <v>10</v>
      </c>
      <c r="C13" s="233"/>
      <c r="D13" s="233"/>
      <c r="E13" s="16"/>
      <c r="F13" s="17"/>
      <c r="G13" s="15" t="s">
        <v>109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33" t="s">
        <v>19</v>
      </c>
      <c r="C17" s="234"/>
      <c r="D17" s="235" t="s">
        <v>347</v>
      </c>
      <c r="E17" s="235"/>
      <c r="F17" s="22"/>
      <c r="G17" s="24">
        <v>1511.95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33" t="s">
        <v>26</v>
      </c>
      <c r="C20" s="233"/>
      <c r="D20" s="233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198" t="s">
        <v>27</v>
      </c>
      <c r="B22" s="198"/>
      <c r="C22" s="198"/>
      <c r="D22" s="198"/>
      <c r="E22" s="198"/>
      <c r="F22" s="198"/>
      <c r="G22" s="198"/>
    </row>
    <row r="23" spans="1:7" s="1" customFormat="1" ht="19.5" customHeight="1" x14ac:dyDescent="0.25">
      <c r="A23" s="240"/>
      <c r="B23" s="240"/>
      <c r="C23" s="240"/>
      <c r="D23" s="240"/>
      <c r="E23" s="240"/>
      <c r="F23" s="240"/>
      <c r="G23" s="28" t="s">
        <v>28</v>
      </c>
    </row>
    <row r="24" spans="1:7" s="1" customFormat="1" ht="27.75" customHeight="1" x14ac:dyDescent="0.25">
      <c r="A24" s="29" t="s">
        <v>5</v>
      </c>
      <c r="B24" s="30" t="s">
        <v>29</v>
      </c>
      <c r="C24" s="31"/>
      <c r="D24" s="235"/>
      <c r="E24" s="235"/>
      <c r="F24" s="31"/>
      <c r="G24" s="32">
        <f>G17</f>
        <v>1511.95</v>
      </c>
    </row>
    <row r="25" spans="1:7" s="1" customFormat="1" ht="45" x14ac:dyDescent="0.25">
      <c r="A25" s="29" t="s">
        <v>7</v>
      </c>
      <c r="B25" s="33" t="s">
        <v>113</v>
      </c>
      <c r="C25" s="34"/>
      <c r="D25" s="174" t="s">
        <v>359</v>
      </c>
      <c r="E25" s="193">
        <v>0.4</v>
      </c>
      <c r="F25" s="193"/>
      <c r="G25" s="173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348</v>
      </c>
      <c r="C26" s="34"/>
      <c r="D26" s="235" t="s">
        <v>347</v>
      </c>
      <c r="E26" s="235"/>
      <c r="F26" s="22"/>
      <c r="G26" s="24">
        <v>58.49</v>
      </c>
    </row>
    <row r="27" spans="1:7" s="1" customFormat="1" ht="21.75" customHeight="1" x14ac:dyDescent="0.25">
      <c r="A27" s="197" t="s">
        <v>30</v>
      </c>
      <c r="B27" s="197"/>
      <c r="C27" s="197"/>
      <c r="D27" s="197"/>
      <c r="E27" s="197"/>
      <c r="F27" s="197"/>
      <c r="G27" s="35">
        <f>SUM(G24:G26)</f>
        <v>2135.2399999999998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198" t="s">
        <v>31</v>
      </c>
      <c r="B29" s="198"/>
      <c r="C29" s="198"/>
      <c r="D29" s="198"/>
      <c r="E29" s="198"/>
      <c r="F29" s="198"/>
      <c r="G29" s="198"/>
    </row>
    <row r="30" spans="1:7" s="1" customFormat="1" ht="19.5" customHeight="1" x14ac:dyDescent="0.25">
      <c r="A30" s="208" t="s">
        <v>32</v>
      </c>
      <c r="B30" s="208"/>
      <c r="C30" s="208"/>
      <c r="D30" s="208"/>
      <c r="E30" s="208"/>
      <c r="F30" s="208"/>
      <c r="G30" s="208"/>
    </row>
    <row r="31" spans="1:7" s="1" customFormat="1" ht="19.5" customHeight="1" x14ac:dyDescent="0.25">
      <c r="A31" s="196"/>
      <c r="B31" s="196"/>
      <c r="C31" s="196"/>
      <c r="D31" s="196"/>
      <c r="E31" s="232" t="s">
        <v>33</v>
      </c>
      <c r="F31" s="232"/>
      <c r="G31" s="28" t="s">
        <v>28</v>
      </c>
    </row>
    <row r="32" spans="1:7" ht="19.5" customHeight="1" x14ac:dyDescent="0.2">
      <c r="A32" s="36" t="s">
        <v>5</v>
      </c>
      <c r="B32" s="229" t="s">
        <v>34</v>
      </c>
      <c r="C32" s="229"/>
      <c r="D32" s="229"/>
      <c r="E32" s="193">
        <v>8.3299999999999999E-2</v>
      </c>
      <c r="F32" s="193"/>
      <c r="G32" s="37">
        <f>ROUND($E$32*$G$27,2)</f>
        <v>177.87</v>
      </c>
    </row>
    <row r="33" spans="1:7" ht="49.5" customHeight="1" x14ac:dyDescent="0.2">
      <c r="A33" s="36" t="s">
        <v>7</v>
      </c>
      <c r="B33" s="213" t="s">
        <v>35</v>
      </c>
      <c r="C33" s="229"/>
      <c r="D33" s="229"/>
      <c r="E33" s="230">
        <v>2.7799999999999998E-2</v>
      </c>
      <c r="F33" s="230"/>
      <c r="G33" s="37">
        <f>ROUND($E$33*$G$27,2)</f>
        <v>59.36</v>
      </c>
    </row>
    <row r="34" spans="1:7" ht="19.5" customHeight="1" x14ac:dyDescent="0.2">
      <c r="A34" s="208" t="s">
        <v>36</v>
      </c>
      <c r="B34" s="208"/>
      <c r="C34" s="208"/>
      <c r="D34" s="208"/>
      <c r="E34" s="231">
        <f>SUM(E32:E33)</f>
        <v>0.1111</v>
      </c>
      <c r="F34" s="231"/>
      <c r="G34" s="38">
        <f>SUM(G32:G33)</f>
        <v>237.23000000000002</v>
      </c>
    </row>
    <row r="35" spans="1:7" s="39" customFormat="1" ht="19.5" customHeight="1" x14ac:dyDescent="0.25">
      <c r="A35" s="208" t="s">
        <v>37</v>
      </c>
      <c r="B35" s="208"/>
      <c r="C35" s="208"/>
      <c r="D35" s="208"/>
      <c r="E35" s="208"/>
      <c r="F35" s="208"/>
      <c r="G35" s="208"/>
    </row>
    <row r="36" spans="1:7" s="39" customFormat="1" ht="39" customHeight="1" x14ac:dyDescent="0.25">
      <c r="A36" s="36" t="s">
        <v>5</v>
      </c>
      <c r="B36" s="33" t="s">
        <v>38</v>
      </c>
      <c r="C36" s="40"/>
      <c r="D36" s="224" t="s">
        <v>39</v>
      </c>
      <c r="E36" s="224"/>
      <c r="F36" s="41">
        <v>0.2</v>
      </c>
      <c r="G36" s="37">
        <f>ROUND(F36*($G$27+$G$34),2)</f>
        <v>474.49</v>
      </c>
    </row>
    <row r="37" spans="1:7" s="39" customFormat="1" ht="39" customHeight="1" x14ac:dyDescent="0.25">
      <c r="A37" s="36" t="s">
        <v>7</v>
      </c>
      <c r="B37" s="33" t="s">
        <v>40</v>
      </c>
      <c r="C37" s="40"/>
      <c r="D37" s="224" t="s">
        <v>41</v>
      </c>
      <c r="E37" s="224"/>
      <c r="F37" s="42">
        <v>2.5000000000000001E-2</v>
      </c>
      <c r="G37" s="37">
        <f t="shared" ref="G37:G43" si="0">ROUND(F37*($G$27+$G$34),2)</f>
        <v>59.31</v>
      </c>
    </row>
    <row r="38" spans="1:7" s="39" customFormat="1" ht="62.25" customHeight="1" x14ac:dyDescent="0.25">
      <c r="A38" s="36" t="s">
        <v>9</v>
      </c>
      <c r="B38" s="222" t="s">
        <v>42</v>
      </c>
      <c r="C38" s="228"/>
      <c r="D38" s="224" t="s">
        <v>43</v>
      </c>
      <c r="E38" s="224"/>
      <c r="F38" s="43">
        <v>0.06</v>
      </c>
      <c r="G38" s="37">
        <f t="shared" si="0"/>
        <v>142.35</v>
      </c>
    </row>
    <row r="39" spans="1:7" s="39" customFormat="1" ht="48" customHeight="1" x14ac:dyDescent="0.25">
      <c r="A39" s="36" t="s">
        <v>11</v>
      </c>
      <c r="B39" s="33" t="s">
        <v>44</v>
      </c>
      <c r="C39" s="40"/>
      <c r="D39" s="224" t="s">
        <v>41</v>
      </c>
      <c r="E39" s="224"/>
      <c r="F39" s="42">
        <v>1.4999999999999999E-2</v>
      </c>
      <c r="G39" s="37">
        <f t="shared" si="0"/>
        <v>35.590000000000003</v>
      </c>
    </row>
    <row r="40" spans="1:7" s="39" customFormat="1" ht="43.5" customHeight="1" x14ac:dyDescent="0.25">
      <c r="A40" s="36" t="s">
        <v>13</v>
      </c>
      <c r="B40" s="33" t="s">
        <v>45</v>
      </c>
      <c r="C40" s="40"/>
      <c r="D40" s="224" t="s">
        <v>41</v>
      </c>
      <c r="E40" s="224"/>
      <c r="F40" s="42">
        <v>0.01</v>
      </c>
      <c r="G40" s="37">
        <f t="shared" si="0"/>
        <v>23.72</v>
      </c>
    </row>
    <row r="41" spans="1:7" s="39" customFormat="1" ht="42.75" customHeight="1" x14ac:dyDescent="0.25">
      <c r="A41" s="36" t="s">
        <v>15</v>
      </c>
      <c r="B41" s="33" t="s">
        <v>46</v>
      </c>
      <c r="C41" s="40"/>
      <c r="D41" s="224" t="s">
        <v>41</v>
      </c>
      <c r="E41" s="224"/>
      <c r="F41" s="42">
        <v>6.0000000000000001E-3</v>
      </c>
      <c r="G41" s="37">
        <f t="shared" si="0"/>
        <v>14.23</v>
      </c>
    </row>
    <row r="42" spans="1:7" s="39" customFormat="1" ht="46.5" customHeight="1" x14ac:dyDescent="0.25">
      <c r="A42" s="36" t="s">
        <v>18</v>
      </c>
      <c r="B42" s="33" t="s">
        <v>47</v>
      </c>
      <c r="C42" s="40"/>
      <c r="D42" s="224" t="s">
        <v>41</v>
      </c>
      <c r="E42" s="224"/>
      <c r="F42" s="42">
        <v>2E-3</v>
      </c>
      <c r="G42" s="37">
        <f t="shared" si="0"/>
        <v>4.74</v>
      </c>
    </row>
    <row r="43" spans="1:7" s="39" customFormat="1" ht="48" customHeight="1" x14ac:dyDescent="0.25">
      <c r="A43" s="36" t="s">
        <v>20</v>
      </c>
      <c r="B43" s="33" t="s">
        <v>48</v>
      </c>
      <c r="C43" s="40"/>
      <c r="D43" s="224" t="s">
        <v>41</v>
      </c>
      <c r="E43" s="224"/>
      <c r="F43" s="42">
        <v>0.08</v>
      </c>
      <c r="G43" s="37">
        <f t="shared" si="0"/>
        <v>189.8</v>
      </c>
    </row>
    <row r="44" spans="1:7" s="39" customFormat="1" ht="19.5" customHeight="1" x14ac:dyDescent="0.25">
      <c r="A44" s="225" t="s">
        <v>49</v>
      </c>
      <c r="B44" s="226"/>
      <c r="C44" s="226"/>
      <c r="D44" s="226"/>
      <c r="E44" s="227"/>
      <c r="F44" s="44">
        <f>SUM(F36:F43)</f>
        <v>0.39800000000000008</v>
      </c>
      <c r="G44" s="45">
        <f>SUM(G36:G43)</f>
        <v>944.23</v>
      </c>
    </row>
    <row r="45" spans="1:7" ht="19.5" customHeight="1" x14ac:dyDescent="0.2">
      <c r="A45" s="208" t="s">
        <v>50</v>
      </c>
      <c r="B45" s="208"/>
      <c r="C45" s="208"/>
      <c r="D45" s="208"/>
      <c r="E45" s="208"/>
      <c r="F45" s="208"/>
      <c r="G45" s="208"/>
    </row>
    <row r="46" spans="1:7" ht="57.75" customHeight="1" x14ac:dyDescent="0.2">
      <c r="A46" s="46" t="s">
        <v>5</v>
      </c>
      <c r="B46" s="194" t="s">
        <v>51</v>
      </c>
      <c r="C46" s="195"/>
      <c r="D46" s="47" t="s">
        <v>349</v>
      </c>
      <c r="E46" s="37">
        <v>22</v>
      </c>
      <c r="F46" s="48">
        <v>0.05</v>
      </c>
      <c r="G46" s="37">
        <f>ROUND((E46*22)*(1-F46),2)</f>
        <v>459.8</v>
      </c>
    </row>
    <row r="47" spans="1:7" ht="70.5" customHeight="1" x14ac:dyDescent="0.2">
      <c r="A47" s="36" t="s">
        <v>7</v>
      </c>
      <c r="B47" s="194" t="s">
        <v>52</v>
      </c>
      <c r="C47" s="195"/>
      <c r="D47" s="47" t="s">
        <v>158</v>
      </c>
      <c r="E47" s="37">
        <v>6</v>
      </c>
      <c r="F47" s="48">
        <v>0.06</v>
      </c>
      <c r="G47" s="37">
        <f>ROUND((E47*2*22)-(0.06*$G$24),2)</f>
        <v>173.28</v>
      </c>
    </row>
    <row r="48" spans="1:7" ht="70.5" customHeight="1" x14ac:dyDescent="0.2">
      <c r="A48" s="36" t="s">
        <v>9</v>
      </c>
      <c r="B48" s="199" t="s">
        <v>350</v>
      </c>
      <c r="C48" s="201"/>
      <c r="D48" s="47" t="s">
        <v>351</v>
      </c>
      <c r="E48" s="37"/>
      <c r="F48" s="49"/>
      <c r="G48" s="37">
        <v>152</v>
      </c>
    </row>
    <row r="49" spans="1:9" ht="40.5" customHeight="1" x14ac:dyDescent="0.2">
      <c r="A49" s="36" t="s">
        <v>11</v>
      </c>
      <c r="B49" s="199"/>
      <c r="C49" s="201"/>
      <c r="D49" s="47"/>
      <c r="E49" s="37"/>
      <c r="F49" s="49"/>
      <c r="G49" s="37"/>
    </row>
    <row r="50" spans="1:9" ht="31.5" customHeight="1" x14ac:dyDescent="0.2">
      <c r="A50" s="208" t="s">
        <v>53</v>
      </c>
      <c r="B50" s="208"/>
      <c r="C50" s="208"/>
      <c r="D50" s="208"/>
      <c r="E50" s="208"/>
      <c r="F50" s="208"/>
      <c r="G50" s="38">
        <f>SUM(G46:G49)</f>
        <v>785.08</v>
      </c>
    </row>
    <row r="51" spans="1:9" ht="31.5" customHeight="1" x14ac:dyDescent="0.2">
      <c r="A51" s="209" t="s">
        <v>54</v>
      </c>
      <c r="B51" s="209"/>
      <c r="C51" s="209"/>
      <c r="D51" s="209"/>
      <c r="E51" s="209"/>
      <c r="F51" s="209"/>
      <c r="G51" s="50">
        <f>SUM(G50,G44,G34)</f>
        <v>1966.54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198" t="s">
        <v>55</v>
      </c>
      <c r="B53" s="198"/>
      <c r="C53" s="198"/>
      <c r="D53" s="198"/>
      <c r="E53" s="198"/>
      <c r="F53" s="198"/>
      <c r="G53" s="198"/>
    </row>
    <row r="54" spans="1:9" ht="80.25" customHeight="1" x14ac:dyDescent="0.2">
      <c r="A54" s="204" t="s">
        <v>5</v>
      </c>
      <c r="B54" s="213" t="s">
        <v>56</v>
      </c>
      <c r="C54" s="213"/>
      <c r="D54" s="213"/>
      <c r="E54" s="193">
        <f>(1/12)*D55</f>
        <v>4.1666666666666666E-3</v>
      </c>
      <c r="F54" s="193"/>
      <c r="G54" s="218">
        <f>ROUND($G$27+$G$34,0)*E54</f>
        <v>9.8833333333333329</v>
      </c>
    </row>
    <row r="55" spans="1:9" ht="77.25" customHeight="1" x14ac:dyDescent="0.2">
      <c r="A55" s="204"/>
      <c r="B55" s="223" t="s">
        <v>57</v>
      </c>
      <c r="C55" s="223"/>
      <c r="D55" s="51">
        <v>0.05</v>
      </c>
      <c r="E55" s="193"/>
      <c r="F55" s="193"/>
      <c r="G55" s="218"/>
    </row>
    <row r="56" spans="1:9" ht="42.75" customHeight="1" x14ac:dyDescent="0.2">
      <c r="A56" s="36" t="s">
        <v>7</v>
      </c>
      <c r="B56" s="213" t="s">
        <v>58</v>
      </c>
      <c r="C56" s="213"/>
      <c r="D56" s="213"/>
      <c r="E56" s="193">
        <v>0.08</v>
      </c>
      <c r="F56" s="193"/>
      <c r="G56" s="37">
        <f>ROUND(G54*E56,2)</f>
        <v>0.79</v>
      </c>
      <c r="H56" s="52"/>
      <c r="I56" s="52"/>
    </row>
    <row r="57" spans="1:9" ht="53.25" customHeight="1" x14ac:dyDescent="0.2">
      <c r="A57" s="36" t="s">
        <v>9</v>
      </c>
      <c r="B57" s="194" t="s">
        <v>59</v>
      </c>
      <c r="C57" s="222"/>
      <c r="D57" s="195"/>
      <c r="E57" s="193">
        <f>(7/30)/12</f>
        <v>1.9444444444444445E-2</v>
      </c>
      <c r="F57" s="193"/>
      <c r="G57" s="37">
        <f>ROUND((($G$27+$G$34)*E57),2)</f>
        <v>46.13</v>
      </c>
    </row>
    <row r="58" spans="1:9" ht="37.5" customHeight="1" x14ac:dyDescent="0.2">
      <c r="A58" s="36" t="s">
        <v>11</v>
      </c>
      <c r="B58" s="213" t="s">
        <v>60</v>
      </c>
      <c r="C58" s="213"/>
      <c r="D58" s="213"/>
      <c r="E58" s="193">
        <f>F44</f>
        <v>0.39800000000000008</v>
      </c>
      <c r="F58" s="193"/>
      <c r="G58" s="37">
        <f>ROUND(E58*G57,2)</f>
        <v>18.36</v>
      </c>
    </row>
    <row r="59" spans="1:9" ht="64.5" customHeight="1" x14ac:dyDescent="0.2">
      <c r="A59" s="36" t="s">
        <v>13</v>
      </c>
      <c r="B59" s="213" t="s">
        <v>61</v>
      </c>
      <c r="C59" s="213"/>
      <c r="D59" s="213"/>
      <c r="E59" s="193">
        <v>0.04</v>
      </c>
      <c r="F59" s="193"/>
      <c r="G59" s="37">
        <f>ROUND(E59*($G$27+$G$34),2)</f>
        <v>94.9</v>
      </c>
    </row>
    <row r="60" spans="1:9" ht="21.75" customHeight="1" x14ac:dyDescent="0.2">
      <c r="A60" s="197" t="s">
        <v>62</v>
      </c>
      <c r="B60" s="197"/>
      <c r="C60" s="197"/>
      <c r="D60" s="197"/>
      <c r="E60" s="197"/>
      <c r="F60" s="197"/>
      <c r="G60" s="50">
        <f>ROUND(SUM(G54:G59),2)</f>
        <v>170.06</v>
      </c>
    </row>
    <row r="61" spans="1:9" ht="3.75" customHeight="1" x14ac:dyDescent="0.2">
      <c r="A61" s="53"/>
      <c r="B61" s="54"/>
      <c r="C61" s="54"/>
      <c r="D61" s="54"/>
      <c r="E61" s="54"/>
      <c r="F61" s="54"/>
      <c r="G61" s="54"/>
    </row>
    <row r="62" spans="1:9" ht="21.75" customHeight="1" x14ac:dyDescent="0.2">
      <c r="A62" s="198" t="s">
        <v>63</v>
      </c>
      <c r="B62" s="198"/>
      <c r="C62" s="198"/>
      <c r="D62" s="198"/>
      <c r="E62" s="198"/>
      <c r="F62" s="198"/>
      <c r="G62" s="198"/>
    </row>
    <row r="63" spans="1:9" ht="21.75" customHeight="1" x14ac:dyDescent="0.2">
      <c r="A63" s="208" t="s">
        <v>64</v>
      </c>
      <c r="B63" s="208"/>
      <c r="C63" s="208"/>
      <c r="D63" s="208"/>
      <c r="E63" s="208"/>
      <c r="F63" s="208"/>
      <c r="G63" s="208"/>
    </row>
    <row r="64" spans="1:9" ht="21.75" customHeight="1" x14ac:dyDescent="0.2">
      <c r="A64" s="204" t="s">
        <v>5</v>
      </c>
      <c r="B64" s="213" t="s">
        <v>65</v>
      </c>
      <c r="C64" s="213"/>
      <c r="D64" s="213"/>
      <c r="E64" s="214">
        <v>8.3299999999999999E-2</v>
      </c>
      <c r="F64" s="215"/>
      <c r="G64" s="218">
        <f>E64*($G$27+$G$51+$G$60)</f>
        <v>355.84427199999999</v>
      </c>
    </row>
    <row r="65" spans="1:7" ht="39.75" customHeight="1" x14ac:dyDescent="0.2">
      <c r="A65" s="204"/>
      <c r="B65" s="219" t="s">
        <v>66</v>
      </c>
      <c r="C65" s="220"/>
      <c r="D65" s="221"/>
      <c r="E65" s="216"/>
      <c r="F65" s="217"/>
      <c r="G65" s="218"/>
    </row>
    <row r="66" spans="1:7" x14ac:dyDescent="0.2">
      <c r="A66" s="204" t="s">
        <v>7</v>
      </c>
      <c r="B66" s="213" t="s">
        <v>67</v>
      </c>
      <c r="C66" s="213"/>
      <c r="D66" s="213"/>
      <c r="E66" s="214">
        <f>(6/360)</f>
        <v>1.6666666666666666E-2</v>
      </c>
      <c r="F66" s="215"/>
      <c r="G66" s="218">
        <f>E66*($G$27+$G$34+$G$44)</f>
        <v>55.278333333333329</v>
      </c>
    </row>
    <row r="67" spans="1:7" ht="78" customHeight="1" x14ac:dyDescent="0.2">
      <c r="A67" s="204"/>
      <c r="B67" s="219" t="s">
        <v>68</v>
      </c>
      <c r="C67" s="220"/>
      <c r="D67" s="221"/>
      <c r="E67" s="216"/>
      <c r="F67" s="217"/>
      <c r="G67" s="218"/>
    </row>
    <row r="68" spans="1:7" x14ac:dyDescent="0.2">
      <c r="A68" s="204" t="s">
        <v>9</v>
      </c>
      <c r="B68" s="213" t="s">
        <v>69</v>
      </c>
      <c r="C68" s="213"/>
      <c r="D68" s="213"/>
      <c r="E68" s="214">
        <f>((5/360)*(1.399%))</f>
        <v>1.9430555555555556E-4</v>
      </c>
      <c r="F68" s="215"/>
      <c r="G68" s="218">
        <f>E68*($G$27+$G$34+$G$44)</f>
        <v>0.64445323611111105</v>
      </c>
    </row>
    <row r="69" spans="1:7" ht="57" customHeight="1" x14ac:dyDescent="0.2">
      <c r="A69" s="204"/>
      <c r="B69" s="219" t="s">
        <v>70</v>
      </c>
      <c r="C69" s="220"/>
      <c r="D69" s="221"/>
      <c r="E69" s="216"/>
      <c r="F69" s="217"/>
      <c r="G69" s="218"/>
    </row>
    <row r="70" spans="1:7" x14ac:dyDescent="0.2">
      <c r="A70" s="204" t="s">
        <v>11</v>
      </c>
      <c r="B70" s="213" t="s">
        <v>71</v>
      </c>
      <c r="C70" s="213"/>
      <c r="D70" s="213"/>
      <c r="E70" s="214">
        <f>((15/360)*(2.16%))</f>
        <v>8.9999999999999998E-4</v>
      </c>
      <c r="F70" s="215"/>
      <c r="G70" s="218">
        <f>E70*($G$27+$G$34+$G$44)</f>
        <v>2.9850299999999996</v>
      </c>
    </row>
    <row r="71" spans="1:7" ht="63" customHeight="1" x14ac:dyDescent="0.2">
      <c r="A71" s="204"/>
      <c r="B71" s="219" t="s">
        <v>72</v>
      </c>
      <c r="C71" s="220"/>
      <c r="D71" s="221"/>
      <c r="E71" s="216"/>
      <c r="F71" s="217"/>
      <c r="G71" s="218"/>
    </row>
    <row r="72" spans="1:7" x14ac:dyDescent="0.2">
      <c r="A72" s="204" t="s">
        <v>13</v>
      </c>
      <c r="B72" s="213" t="s">
        <v>73</v>
      </c>
      <c r="C72" s="213"/>
      <c r="D72" s="213"/>
      <c r="E72" s="214">
        <f>((50%)*(1.99%)*(4/12)*(8.93%+8.93%+2.98%))</f>
        <v>6.9119333333333326E-4</v>
      </c>
      <c r="F72" s="215"/>
      <c r="G72" s="218">
        <f>(E72*G27)</f>
        <v>1.4758636530666664</v>
      </c>
    </row>
    <row r="73" spans="1:7" ht="54.75" customHeight="1" x14ac:dyDescent="0.2">
      <c r="A73" s="204"/>
      <c r="B73" s="219" t="s">
        <v>74</v>
      </c>
      <c r="C73" s="220"/>
      <c r="D73" s="221"/>
      <c r="E73" s="216"/>
      <c r="F73" s="217"/>
      <c r="G73" s="218"/>
    </row>
    <row r="74" spans="1:7" ht="19.5" customHeight="1" x14ac:dyDescent="0.2">
      <c r="A74" s="208" t="s">
        <v>75</v>
      </c>
      <c r="B74" s="208"/>
      <c r="C74" s="208"/>
      <c r="D74" s="208"/>
      <c r="E74" s="208"/>
      <c r="F74" s="208"/>
      <c r="G74" s="45">
        <f>SUM(G64:G73)</f>
        <v>416.22795222251108</v>
      </c>
    </row>
    <row r="75" spans="1:7" ht="3.75" customHeight="1" x14ac:dyDescent="0.2">
      <c r="A75" s="55"/>
      <c r="B75" s="56"/>
      <c r="C75" s="56"/>
      <c r="D75" s="56"/>
      <c r="E75" s="56"/>
      <c r="F75" s="56"/>
      <c r="G75" s="56"/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0.75" customHeight="1" x14ac:dyDescent="0.2">
      <c r="A77" s="209" t="s">
        <v>76</v>
      </c>
      <c r="B77" s="209"/>
      <c r="C77" s="209"/>
      <c r="D77" s="209"/>
      <c r="E77" s="209"/>
      <c r="F77" s="209"/>
      <c r="G77" s="59">
        <f>G74</f>
        <v>416.22795222251108</v>
      </c>
    </row>
    <row r="78" spans="1:7" ht="3.75" customHeight="1" x14ac:dyDescent="0.2">
      <c r="A78" s="210"/>
      <c r="B78" s="210"/>
      <c r="C78" s="210"/>
      <c r="D78" s="210"/>
      <c r="E78" s="210"/>
      <c r="F78" s="210"/>
      <c r="G78" s="210"/>
    </row>
    <row r="79" spans="1:7" ht="21.75" customHeight="1" x14ac:dyDescent="0.2">
      <c r="A79" s="198" t="s">
        <v>77</v>
      </c>
      <c r="B79" s="198"/>
      <c r="C79" s="198"/>
      <c r="D79" s="198"/>
      <c r="E79" s="198"/>
      <c r="F79" s="198"/>
      <c r="G79" s="198"/>
    </row>
    <row r="80" spans="1:7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7">
        <f>'Insumos Diversos'!J92</f>
        <v>47</v>
      </c>
    </row>
    <row r="81" spans="1:7" ht="19.5" customHeight="1" x14ac:dyDescent="0.2">
      <c r="A81" s="60" t="s">
        <v>7</v>
      </c>
      <c r="B81" s="30" t="s">
        <v>274</v>
      </c>
      <c r="C81" s="31"/>
      <c r="D81" s="31"/>
      <c r="E81" s="31"/>
      <c r="F81" s="31"/>
      <c r="G81" s="37">
        <f>'Insumos Diversos'!L48</f>
        <v>358</v>
      </c>
    </row>
    <row r="82" spans="1:7" ht="19.5" customHeight="1" x14ac:dyDescent="0.2">
      <c r="A82" s="61" t="s">
        <v>9</v>
      </c>
      <c r="B82" s="30" t="s">
        <v>79</v>
      </c>
      <c r="C82" s="31"/>
      <c r="D82" s="31"/>
      <c r="E82" s="31"/>
      <c r="F82" s="31"/>
      <c r="G82" s="37">
        <f>'Insumos Diversos'!L76</f>
        <v>8.4600000000000009</v>
      </c>
    </row>
    <row r="83" spans="1:7" ht="21.75" customHeight="1" x14ac:dyDescent="0.2">
      <c r="A83" s="211" t="s">
        <v>80</v>
      </c>
      <c r="B83" s="211"/>
      <c r="C83" s="211"/>
      <c r="D83" s="211"/>
      <c r="E83" s="211"/>
      <c r="F83" s="211"/>
      <c r="G83" s="35">
        <f>SUM(G80:G82)</f>
        <v>413.46</v>
      </c>
    </row>
    <row r="84" spans="1:7" ht="3.75" customHeight="1" x14ac:dyDescent="0.2">
      <c r="A84" s="212"/>
      <c r="B84" s="212"/>
      <c r="C84" s="212"/>
      <c r="D84" s="212"/>
      <c r="E84" s="212"/>
      <c r="F84" s="212"/>
      <c r="G84" s="212"/>
    </row>
    <row r="85" spans="1:7" ht="23.25" customHeight="1" x14ac:dyDescent="0.2">
      <c r="A85" s="198" t="s">
        <v>81</v>
      </c>
      <c r="B85" s="198"/>
      <c r="C85" s="198"/>
      <c r="D85" s="198"/>
      <c r="E85" s="198"/>
      <c r="F85" s="198"/>
      <c r="G85" s="198"/>
    </row>
    <row r="86" spans="1:7" ht="19.5" customHeight="1" x14ac:dyDescent="0.2">
      <c r="A86" s="36" t="s">
        <v>5</v>
      </c>
      <c r="B86" s="199" t="s">
        <v>82</v>
      </c>
      <c r="C86" s="200"/>
      <c r="D86" s="201"/>
      <c r="E86" s="202">
        <v>0.03</v>
      </c>
      <c r="F86" s="203"/>
      <c r="G86" s="37">
        <f>ROUND((G103)*E86,2)</f>
        <v>153.05000000000001</v>
      </c>
    </row>
    <row r="87" spans="1:7" ht="19.5" customHeight="1" x14ac:dyDescent="0.2">
      <c r="A87" s="36" t="s">
        <v>7</v>
      </c>
      <c r="B87" s="199" t="s">
        <v>83</v>
      </c>
      <c r="C87" s="200"/>
      <c r="D87" s="201"/>
      <c r="E87" s="202">
        <v>6.7900000000000002E-2</v>
      </c>
      <c r="F87" s="203"/>
      <c r="G87" s="37">
        <f>ROUND((G103+$G$86)*E87,2)</f>
        <v>356.79</v>
      </c>
    </row>
    <row r="88" spans="1:7" ht="19.5" customHeight="1" x14ac:dyDescent="0.2">
      <c r="A88" s="204" t="s">
        <v>9</v>
      </c>
      <c r="B88" s="205" t="s">
        <v>84</v>
      </c>
      <c r="C88" s="62"/>
      <c r="D88" s="63"/>
      <c r="E88" s="206">
        <f>SUM(E89:F93)</f>
        <v>0.1225</v>
      </c>
      <c r="F88" s="207"/>
      <c r="G88" s="64"/>
    </row>
    <row r="89" spans="1:7" ht="19.5" customHeight="1" x14ac:dyDescent="0.2">
      <c r="A89" s="204"/>
      <c r="B89" s="205"/>
      <c r="C89" s="65" t="s">
        <v>85</v>
      </c>
      <c r="D89" s="66" t="s">
        <v>86</v>
      </c>
      <c r="E89" s="193">
        <v>1.6500000000000001E-2</v>
      </c>
      <c r="F89" s="193"/>
      <c r="G89" s="37">
        <f>ROUND((E89)*($G$105),2)</f>
        <v>105.51</v>
      </c>
    </row>
    <row r="90" spans="1:7" ht="19.5" customHeight="1" x14ac:dyDescent="0.2">
      <c r="A90" s="204"/>
      <c r="B90" s="205"/>
      <c r="C90" s="67"/>
      <c r="D90" s="66" t="s">
        <v>87</v>
      </c>
      <c r="E90" s="193">
        <v>7.5999999999999998E-2</v>
      </c>
      <c r="F90" s="193"/>
      <c r="G90" s="37">
        <f>ROUND((E90)*($G$105),2)</f>
        <v>486</v>
      </c>
    </row>
    <row r="91" spans="1:7" ht="19.5" customHeight="1" x14ac:dyDescent="0.2">
      <c r="A91" s="204"/>
      <c r="B91" s="205"/>
      <c r="C91" s="68"/>
      <c r="D91" s="66" t="s">
        <v>88</v>
      </c>
      <c r="E91" s="193"/>
      <c r="F91" s="193"/>
      <c r="G91" s="37">
        <f>ROUND((E91)*($G$105),2)</f>
        <v>0</v>
      </c>
    </row>
    <row r="92" spans="1:7" ht="77.25" customHeight="1" x14ac:dyDescent="0.2">
      <c r="A92" s="204"/>
      <c r="B92" s="205"/>
      <c r="C92" s="69" t="s">
        <v>159</v>
      </c>
      <c r="D92" s="66" t="s">
        <v>89</v>
      </c>
      <c r="E92" s="193">
        <v>0.03</v>
      </c>
      <c r="F92" s="193"/>
      <c r="G92" s="37">
        <f>ROUND((E92)*($G$105),2)</f>
        <v>191.84</v>
      </c>
    </row>
    <row r="93" spans="1:7" ht="41.25" customHeight="1" x14ac:dyDescent="0.2">
      <c r="A93" s="204"/>
      <c r="B93" s="205"/>
      <c r="C93" s="194" t="s">
        <v>90</v>
      </c>
      <c r="D93" s="195"/>
      <c r="E93" s="193"/>
      <c r="F93" s="193"/>
      <c r="G93" s="37">
        <f>ROUND((E93)*($G$105),2)</f>
        <v>0</v>
      </c>
    </row>
    <row r="94" spans="1:7" ht="19.5" customHeight="1" x14ac:dyDescent="0.2">
      <c r="A94" s="204"/>
      <c r="B94" s="196" t="s">
        <v>91</v>
      </c>
      <c r="C94" s="196"/>
      <c r="D94" s="196"/>
      <c r="E94" s="196"/>
      <c r="F94" s="196"/>
      <c r="G94" s="70">
        <f>SUM(G89,G90,G91,G92,G93)</f>
        <v>783.35</v>
      </c>
    </row>
    <row r="95" spans="1:7" ht="21.75" customHeight="1" x14ac:dyDescent="0.2">
      <c r="A95" s="197" t="s">
        <v>92</v>
      </c>
      <c r="B95" s="197"/>
      <c r="C95" s="197"/>
      <c r="D95" s="197"/>
      <c r="E95" s="197"/>
      <c r="F95" s="197"/>
      <c r="G95" s="71">
        <f>SUM(G94,G87,G86)</f>
        <v>1293.19</v>
      </c>
    </row>
    <row r="96" spans="1:7" ht="3.75" customHeight="1" x14ac:dyDescent="0.2">
      <c r="A96" s="189"/>
      <c r="B96" s="189"/>
      <c r="C96" s="189"/>
      <c r="D96" s="189"/>
      <c r="E96" s="189"/>
      <c r="F96" s="189"/>
      <c r="G96" s="189"/>
    </row>
    <row r="97" spans="1:7" ht="23.25" customHeight="1" x14ac:dyDescent="0.2">
      <c r="A97" s="190" t="s">
        <v>93</v>
      </c>
      <c r="B97" s="190"/>
      <c r="C97" s="190"/>
      <c r="D97" s="190"/>
      <c r="E97" s="190"/>
      <c r="F97" s="190"/>
      <c r="G97" s="190"/>
    </row>
    <row r="98" spans="1:7" ht="19.5" customHeight="1" x14ac:dyDescent="0.2">
      <c r="A98" s="36" t="s">
        <v>5</v>
      </c>
      <c r="B98" s="33" t="s">
        <v>94</v>
      </c>
      <c r="C98" s="40"/>
      <c r="D98" s="40"/>
      <c r="E98" s="40"/>
      <c r="F98" s="40"/>
      <c r="G98" s="32">
        <f>G27</f>
        <v>2135.2399999999998</v>
      </c>
    </row>
    <row r="99" spans="1:7" ht="19.5" customHeight="1" x14ac:dyDescent="0.2">
      <c r="A99" s="36" t="s">
        <v>7</v>
      </c>
      <c r="B99" s="33" t="s">
        <v>95</v>
      </c>
      <c r="C99" s="40"/>
      <c r="D99" s="40"/>
      <c r="E99" s="40"/>
      <c r="F99" s="40"/>
      <c r="G99" s="32">
        <f>G51</f>
        <v>1966.54</v>
      </c>
    </row>
    <row r="100" spans="1:7" ht="19.5" customHeight="1" x14ac:dyDescent="0.2">
      <c r="A100" s="36" t="s">
        <v>9</v>
      </c>
      <c r="B100" s="33" t="s">
        <v>96</v>
      </c>
      <c r="C100" s="40"/>
      <c r="D100" s="40"/>
      <c r="E100" s="40"/>
      <c r="F100" s="40"/>
      <c r="G100" s="32">
        <f>G60</f>
        <v>170.06</v>
      </c>
    </row>
    <row r="101" spans="1:7" ht="19.5" customHeight="1" x14ac:dyDescent="0.2">
      <c r="A101" s="36" t="s">
        <v>11</v>
      </c>
      <c r="B101" s="33" t="s">
        <v>97</v>
      </c>
      <c r="C101" s="40"/>
      <c r="D101" s="40"/>
      <c r="E101" s="40"/>
      <c r="F101" s="40"/>
      <c r="G101" s="32">
        <f>G77</f>
        <v>416.22795222251108</v>
      </c>
    </row>
    <row r="102" spans="1:7" ht="19.5" customHeight="1" x14ac:dyDescent="0.2">
      <c r="A102" s="36" t="s">
        <v>13</v>
      </c>
      <c r="B102" s="33" t="s">
        <v>98</v>
      </c>
      <c r="C102" s="40"/>
      <c r="D102" s="40"/>
      <c r="E102" s="40"/>
      <c r="F102" s="40"/>
      <c r="G102" s="32">
        <f>G83</f>
        <v>413.46</v>
      </c>
    </row>
    <row r="103" spans="1:7" ht="19.5" customHeight="1" x14ac:dyDescent="0.2">
      <c r="A103" s="191" t="s">
        <v>99</v>
      </c>
      <c r="B103" s="192"/>
      <c r="C103" s="192"/>
      <c r="D103" s="192"/>
      <c r="E103" s="192"/>
      <c r="F103" s="192"/>
      <c r="G103" s="72">
        <f>SUM(G98:G102)</f>
        <v>5101.527952222511</v>
      </c>
    </row>
    <row r="104" spans="1:7" ht="19.5" customHeight="1" x14ac:dyDescent="0.2">
      <c r="A104" s="36" t="s">
        <v>15</v>
      </c>
      <c r="B104" s="33" t="s">
        <v>100</v>
      </c>
      <c r="C104" s="40"/>
      <c r="D104" s="40"/>
      <c r="E104" s="40"/>
      <c r="F104" s="40"/>
      <c r="G104" s="32">
        <f>G95</f>
        <v>1293.19</v>
      </c>
    </row>
    <row r="105" spans="1:7" ht="43.5" customHeight="1" x14ac:dyDescent="0.2">
      <c r="A105" s="185" t="s">
        <v>101</v>
      </c>
      <c r="B105" s="185"/>
      <c r="C105" s="185"/>
      <c r="D105" s="185"/>
      <c r="E105" s="185"/>
      <c r="F105" s="185"/>
      <c r="G105" s="73">
        <f>SUM(G103+G86+G87)/(1-E88)</f>
        <v>6394.7213130740874</v>
      </c>
    </row>
    <row r="106" spans="1:7" ht="3.75" customHeight="1" x14ac:dyDescent="0.2">
      <c r="A106" s="189"/>
      <c r="B106" s="189"/>
      <c r="C106" s="189"/>
      <c r="D106" s="189"/>
      <c r="E106" s="189"/>
      <c r="F106" s="189"/>
      <c r="G106" s="189"/>
    </row>
    <row r="107" spans="1:7" ht="22.5" customHeight="1" x14ac:dyDescent="0.2">
      <c r="A107" s="187" t="s">
        <v>102</v>
      </c>
      <c r="B107" s="187"/>
      <c r="C107" s="187"/>
      <c r="D107" s="187"/>
      <c r="E107" s="187"/>
      <c r="F107" s="187"/>
      <c r="G107" s="187"/>
    </row>
    <row r="108" spans="1:7" ht="21" customHeight="1" x14ac:dyDescent="0.2">
      <c r="A108" s="186" t="s">
        <v>103</v>
      </c>
      <c r="B108" s="186"/>
      <c r="C108" s="186"/>
      <c r="D108" s="186"/>
      <c r="E108" s="186"/>
      <c r="F108" s="186"/>
      <c r="G108" s="32">
        <f>G105</f>
        <v>6394.7213130740874</v>
      </c>
    </row>
    <row r="109" spans="1:7" ht="21" customHeight="1" x14ac:dyDescent="0.2">
      <c r="A109" s="186" t="s">
        <v>104</v>
      </c>
      <c r="B109" s="186"/>
      <c r="C109" s="186"/>
      <c r="D109" s="186"/>
      <c r="E109" s="186"/>
      <c r="F109" s="186"/>
      <c r="G109" s="11">
        <v>1</v>
      </c>
    </row>
    <row r="110" spans="1:7" ht="21" customHeight="1" x14ac:dyDescent="0.2">
      <c r="A110" s="186" t="s">
        <v>105</v>
      </c>
      <c r="B110" s="186"/>
      <c r="C110" s="186"/>
      <c r="D110" s="186"/>
      <c r="E110" s="186"/>
      <c r="F110" s="186"/>
      <c r="G110" s="32">
        <f>G109*G108</f>
        <v>6394.7213130740874</v>
      </c>
    </row>
    <row r="111" spans="1:7" ht="21" customHeight="1" x14ac:dyDescent="0.2">
      <c r="A111" s="186" t="s">
        <v>106</v>
      </c>
      <c r="B111" s="186"/>
      <c r="C111" s="186"/>
      <c r="D111" s="186"/>
      <c r="E111" s="186"/>
      <c r="F111" s="186"/>
      <c r="G111" s="11">
        <v>1</v>
      </c>
    </row>
    <row r="112" spans="1:7" ht="22.5" customHeight="1" x14ac:dyDescent="0.2">
      <c r="A112" s="187" t="s">
        <v>107</v>
      </c>
      <c r="B112" s="187"/>
      <c r="C112" s="187"/>
      <c r="D112" s="187"/>
      <c r="E112" s="187"/>
      <c r="F112" s="187"/>
      <c r="G112" s="74">
        <f>G111*G110</f>
        <v>6394.7213130740874</v>
      </c>
    </row>
    <row r="113" spans="1:7" ht="3.75" customHeight="1" x14ac:dyDescent="0.2">
      <c r="A113" s="188"/>
      <c r="B113" s="188"/>
      <c r="C113" s="188"/>
      <c r="D113" s="188"/>
      <c r="E113" s="188"/>
      <c r="F113" s="188"/>
      <c r="G113" s="188"/>
    </row>
    <row r="114" spans="1:7" ht="22.5" customHeight="1" x14ac:dyDescent="0.2">
      <c r="A114" s="185" t="s">
        <v>131</v>
      </c>
      <c r="B114" s="185"/>
      <c r="C114" s="185"/>
      <c r="D114" s="185"/>
      <c r="E114" s="185"/>
      <c r="F114" s="185"/>
      <c r="G114" s="73">
        <f>G112*G18</f>
        <v>127894.42626148174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D24:E2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D26:E26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1F7A-A22A-45E8-96CD-DF42D1482247}">
  <dimension ref="A1:N44"/>
  <sheetViews>
    <sheetView showGridLines="0" zoomScaleNormal="100" workbookViewId="0">
      <selection activeCell="A40" sqref="A40"/>
    </sheetView>
  </sheetViews>
  <sheetFormatPr defaultRowHeight="12" x14ac:dyDescent="0.25"/>
  <cols>
    <col min="1" max="8" width="11.42578125" style="146" customWidth="1"/>
    <col min="9" max="9" width="12.42578125" style="146" customWidth="1"/>
    <col min="10" max="10" width="12.7109375" style="146" bestFit="1" customWidth="1"/>
    <col min="11" max="11" width="15.7109375" style="146" customWidth="1"/>
    <col min="12" max="12" width="10.28515625" style="146" bestFit="1" customWidth="1"/>
    <col min="13" max="257" width="9.140625" style="146"/>
    <col min="258" max="258" width="14.28515625" style="146" customWidth="1"/>
    <col min="259" max="259" width="19.28515625" style="146" customWidth="1"/>
    <col min="260" max="260" width="16" style="146" customWidth="1"/>
    <col min="261" max="261" width="17.140625" style="146" customWidth="1"/>
    <col min="262" max="262" width="10.140625" style="146" customWidth="1"/>
    <col min="263" max="263" width="10.5703125" style="146" customWidth="1"/>
    <col min="264" max="264" width="9.85546875" style="146" customWidth="1"/>
    <col min="265" max="266" width="12.7109375" style="146" bestFit="1" customWidth="1"/>
    <col min="267" max="267" width="9.140625" style="146"/>
    <col min="268" max="268" width="10.28515625" style="146" bestFit="1" customWidth="1"/>
    <col min="269" max="513" width="9.140625" style="146"/>
    <col min="514" max="514" width="14.28515625" style="146" customWidth="1"/>
    <col min="515" max="515" width="19.28515625" style="146" customWidth="1"/>
    <col min="516" max="516" width="16" style="146" customWidth="1"/>
    <col min="517" max="517" width="17.140625" style="146" customWidth="1"/>
    <col min="518" max="518" width="10.140625" style="146" customWidth="1"/>
    <col min="519" max="519" width="10.5703125" style="146" customWidth="1"/>
    <col min="520" max="520" width="9.85546875" style="146" customWidth="1"/>
    <col min="521" max="522" width="12.7109375" style="146" bestFit="1" customWidth="1"/>
    <col min="523" max="523" width="9.140625" style="146"/>
    <col min="524" max="524" width="10.28515625" style="146" bestFit="1" customWidth="1"/>
    <col min="525" max="769" width="9.140625" style="146"/>
    <col min="770" max="770" width="14.28515625" style="146" customWidth="1"/>
    <col min="771" max="771" width="19.28515625" style="146" customWidth="1"/>
    <col min="772" max="772" width="16" style="146" customWidth="1"/>
    <col min="773" max="773" width="17.140625" style="146" customWidth="1"/>
    <col min="774" max="774" width="10.140625" style="146" customWidth="1"/>
    <col min="775" max="775" width="10.5703125" style="146" customWidth="1"/>
    <col min="776" max="776" width="9.85546875" style="146" customWidth="1"/>
    <col min="777" max="778" width="12.7109375" style="146" bestFit="1" customWidth="1"/>
    <col min="779" max="779" width="9.140625" style="146"/>
    <col min="780" max="780" width="10.28515625" style="146" bestFit="1" customWidth="1"/>
    <col min="781" max="1025" width="9.140625" style="146"/>
    <col min="1026" max="1026" width="14.28515625" style="146" customWidth="1"/>
    <col min="1027" max="1027" width="19.28515625" style="146" customWidth="1"/>
    <col min="1028" max="1028" width="16" style="146" customWidth="1"/>
    <col min="1029" max="1029" width="17.140625" style="146" customWidth="1"/>
    <col min="1030" max="1030" width="10.140625" style="146" customWidth="1"/>
    <col min="1031" max="1031" width="10.5703125" style="146" customWidth="1"/>
    <col min="1032" max="1032" width="9.85546875" style="146" customWidth="1"/>
    <col min="1033" max="1034" width="12.7109375" style="146" bestFit="1" customWidth="1"/>
    <col min="1035" max="1035" width="9.140625" style="146"/>
    <col min="1036" max="1036" width="10.28515625" style="146" bestFit="1" customWidth="1"/>
    <col min="1037" max="1281" width="9.140625" style="146"/>
    <col min="1282" max="1282" width="14.28515625" style="146" customWidth="1"/>
    <col min="1283" max="1283" width="19.28515625" style="146" customWidth="1"/>
    <col min="1284" max="1284" width="16" style="146" customWidth="1"/>
    <col min="1285" max="1285" width="17.140625" style="146" customWidth="1"/>
    <col min="1286" max="1286" width="10.140625" style="146" customWidth="1"/>
    <col min="1287" max="1287" width="10.5703125" style="146" customWidth="1"/>
    <col min="1288" max="1288" width="9.85546875" style="146" customWidth="1"/>
    <col min="1289" max="1290" width="12.7109375" style="146" bestFit="1" customWidth="1"/>
    <col min="1291" max="1291" width="9.140625" style="146"/>
    <col min="1292" max="1292" width="10.28515625" style="146" bestFit="1" customWidth="1"/>
    <col min="1293" max="1537" width="9.140625" style="146"/>
    <col min="1538" max="1538" width="14.28515625" style="146" customWidth="1"/>
    <col min="1539" max="1539" width="19.28515625" style="146" customWidth="1"/>
    <col min="1540" max="1540" width="16" style="146" customWidth="1"/>
    <col min="1541" max="1541" width="17.140625" style="146" customWidth="1"/>
    <col min="1542" max="1542" width="10.140625" style="146" customWidth="1"/>
    <col min="1543" max="1543" width="10.5703125" style="146" customWidth="1"/>
    <col min="1544" max="1544" width="9.85546875" style="146" customWidth="1"/>
    <col min="1545" max="1546" width="12.7109375" style="146" bestFit="1" customWidth="1"/>
    <col min="1547" max="1547" width="9.140625" style="146"/>
    <col min="1548" max="1548" width="10.28515625" style="146" bestFit="1" customWidth="1"/>
    <col min="1549" max="1793" width="9.140625" style="146"/>
    <col min="1794" max="1794" width="14.28515625" style="146" customWidth="1"/>
    <col min="1795" max="1795" width="19.28515625" style="146" customWidth="1"/>
    <col min="1796" max="1796" width="16" style="146" customWidth="1"/>
    <col min="1797" max="1797" width="17.140625" style="146" customWidth="1"/>
    <col min="1798" max="1798" width="10.140625" style="146" customWidth="1"/>
    <col min="1799" max="1799" width="10.5703125" style="146" customWidth="1"/>
    <col min="1800" max="1800" width="9.85546875" style="146" customWidth="1"/>
    <col min="1801" max="1802" width="12.7109375" style="146" bestFit="1" customWidth="1"/>
    <col min="1803" max="1803" width="9.140625" style="146"/>
    <col min="1804" max="1804" width="10.28515625" style="146" bestFit="1" customWidth="1"/>
    <col min="1805" max="2049" width="9.140625" style="146"/>
    <col min="2050" max="2050" width="14.28515625" style="146" customWidth="1"/>
    <col min="2051" max="2051" width="19.28515625" style="146" customWidth="1"/>
    <col min="2052" max="2052" width="16" style="146" customWidth="1"/>
    <col min="2053" max="2053" width="17.140625" style="146" customWidth="1"/>
    <col min="2054" max="2054" width="10.140625" style="146" customWidth="1"/>
    <col min="2055" max="2055" width="10.5703125" style="146" customWidth="1"/>
    <col min="2056" max="2056" width="9.85546875" style="146" customWidth="1"/>
    <col min="2057" max="2058" width="12.7109375" style="146" bestFit="1" customWidth="1"/>
    <col min="2059" max="2059" width="9.140625" style="146"/>
    <col min="2060" max="2060" width="10.28515625" style="146" bestFit="1" customWidth="1"/>
    <col min="2061" max="2305" width="9.140625" style="146"/>
    <col min="2306" max="2306" width="14.28515625" style="146" customWidth="1"/>
    <col min="2307" max="2307" width="19.28515625" style="146" customWidth="1"/>
    <col min="2308" max="2308" width="16" style="146" customWidth="1"/>
    <col min="2309" max="2309" width="17.140625" style="146" customWidth="1"/>
    <col min="2310" max="2310" width="10.140625" style="146" customWidth="1"/>
    <col min="2311" max="2311" width="10.5703125" style="146" customWidth="1"/>
    <col min="2312" max="2312" width="9.85546875" style="146" customWidth="1"/>
    <col min="2313" max="2314" width="12.7109375" style="146" bestFit="1" customWidth="1"/>
    <col min="2315" max="2315" width="9.140625" style="146"/>
    <col min="2316" max="2316" width="10.28515625" style="146" bestFit="1" customWidth="1"/>
    <col min="2317" max="2561" width="9.140625" style="146"/>
    <col min="2562" max="2562" width="14.28515625" style="146" customWidth="1"/>
    <col min="2563" max="2563" width="19.28515625" style="146" customWidth="1"/>
    <col min="2564" max="2564" width="16" style="146" customWidth="1"/>
    <col min="2565" max="2565" width="17.140625" style="146" customWidth="1"/>
    <col min="2566" max="2566" width="10.140625" style="146" customWidth="1"/>
    <col min="2567" max="2567" width="10.5703125" style="146" customWidth="1"/>
    <col min="2568" max="2568" width="9.85546875" style="146" customWidth="1"/>
    <col min="2569" max="2570" width="12.7109375" style="146" bestFit="1" customWidth="1"/>
    <col min="2571" max="2571" width="9.140625" style="146"/>
    <col min="2572" max="2572" width="10.28515625" style="146" bestFit="1" customWidth="1"/>
    <col min="2573" max="2817" width="9.140625" style="146"/>
    <col min="2818" max="2818" width="14.28515625" style="146" customWidth="1"/>
    <col min="2819" max="2819" width="19.28515625" style="146" customWidth="1"/>
    <col min="2820" max="2820" width="16" style="146" customWidth="1"/>
    <col min="2821" max="2821" width="17.140625" style="146" customWidth="1"/>
    <col min="2822" max="2822" width="10.140625" style="146" customWidth="1"/>
    <col min="2823" max="2823" width="10.5703125" style="146" customWidth="1"/>
    <col min="2824" max="2824" width="9.85546875" style="146" customWidth="1"/>
    <col min="2825" max="2826" width="12.7109375" style="146" bestFit="1" customWidth="1"/>
    <col min="2827" max="2827" width="9.140625" style="146"/>
    <col min="2828" max="2828" width="10.28515625" style="146" bestFit="1" customWidth="1"/>
    <col min="2829" max="3073" width="9.140625" style="146"/>
    <col min="3074" max="3074" width="14.28515625" style="146" customWidth="1"/>
    <col min="3075" max="3075" width="19.28515625" style="146" customWidth="1"/>
    <col min="3076" max="3076" width="16" style="146" customWidth="1"/>
    <col min="3077" max="3077" width="17.140625" style="146" customWidth="1"/>
    <col min="3078" max="3078" width="10.140625" style="146" customWidth="1"/>
    <col min="3079" max="3079" width="10.5703125" style="146" customWidth="1"/>
    <col min="3080" max="3080" width="9.85546875" style="146" customWidth="1"/>
    <col min="3081" max="3082" width="12.7109375" style="146" bestFit="1" customWidth="1"/>
    <col min="3083" max="3083" width="9.140625" style="146"/>
    <col min="3084" max="3084" width="10.28515625" style="146" bestFit="1" customWidth="1"/>
    <col min="3085" max="3329" width="9.140625" style="146"/>
    <col min="3330" max="3330" width="14.28515625" style="146" customWidth="1"/>
    <col min="3331" max="3331" width="19.28515625" style="146" customWidth="1"/>
    <col min="3332" max="3332" width="16" style="146" customWidth="1"/>
    <col min="3333" max="3333" width="17.140625" style="146" customWidth="1"/>
    <col min="3334" max="3334" width="10.140625" style="146" customWidth="1"/>
    <col min="3335" max="3335" width="10.5703125" style="146" customWidth="1"/>
    <col min="3336" max="3336" width="9.85546875" style="146" customWidth="1"/>
    <col min="3337" max="3338" width="12.7109375" style="146" bestFit="1" customWidth="1"/>
    <col min="3339" max="3339" width="9.140625" style="146"/>
    <col min="3340" max="3340" width="10.28515625" style="146" bestFit="1" customWidth="1"/>
    <col min="3341" max="3585" width="9.140625" style="146"/>
    <col min="3586" max="3586" width="14.28515625" style="146" customWidth="1"/>
    <col min="3587" max="3587" width="19.28515625" style="146" customWidth="1"/>
    <col min="3588" max="3588" width="16" style="146" customWidth="1"/>
    <col min="3589" max="3589" width="17.140625" style="146" customWidth="1"/>
    <col min="3590" max="3590" width="10.140625" style="146" customWidth="1"/>
    <col min="3591" max="3591" width="10.5703125" style="146" customWidth="1"/>
    <col min="3592" max="3592" width="9.85546875" style="146" customWidth="1"/>
    <col min="3593" max="3594" width="12.7109375" style="146" bestFit="1" customWidth="1"/>
    <col min="3595" max="3595" width="9.140625" style="146"/>
    <col min="3596" max="3596" width="10.28515625" style="146" bestFit="1" customWidth="1"/>
    <col min="3597" max="3841" width="9.140625" style="146"/>
    <col min="3842" max="3842" width="14.28515625" style="146" customWidth="1"/>
    <col min="3843" max="3843" width="19.28515625" style="146" customWidth="1"/>
    <col min="3844" max="3844" width="16" style="146" customWidth="1"/>
    <col min="3845" max="3845" width="17.140625" style="146" customWidth="1"/>
    <col min="3846" max="3846" width="10.140625" style="146" customWidth="1"/>
    <col min="3847" max="3847" width="10.5703125" style="146" customWidth="1"/>
    <col min="3848" max="3848" width="9.85546875" style="146" customWidth="1"/>
    <col min="3849" max="3850" width="12.7109375" style="146" bestFit="1" customWidth="1"/>
    <col min="3851" max="3851" width="9.140625" style="146"/>
    <col min="3852" max="3852" width="10.28515625" style="146" bestFit="1" customWidth="1"/>
    <col min="3853" max="4097" width="9.140625" style="146"/>
    <col min="4098" max="4098" width="14.28515625" style="146" customWidth="1"/>
    <col min="4099" max="4099" width="19.28515625" style="146" customWidth="1"/>
    <col min="4100" max="4100" width="16" style="146" customWidth="1"/>
    <col min="4101" max="4101" width="17.140625" style="146" customWidth="1"/>
    <col min="4102" max="4102" width="10.140625" style="146" customWidth="1"/>
    <col min="4103" max="4103" width="10.5703125" style="146" customWidth="1"/>
    <col min="4104" max="4104" width="9.85546875" style="146" customWidth="1"/>
    <col min="4105" max="4106" width="12.7109375" style="146" bestFit="1" customWidth="1"/>
    <col min="4107" max="4107" width="9.140625" style="146"/>
    <col min="4108" max="4108" width="10.28515625" style="146" bestFit="1" customWidth="1"/>
    <col min="4109" max="4353" width="9.140625" style="146"/>
    <col min="4354" max="4354" width="14.28515625" style="146" customWidth="1"/>
    <col min="4355" max="4355" width="19.28515625" style="146" customWidth="1"/>
    <col min="4356" max="4356" width="16" style="146" customWidth="1"/>
    <col min="4357" max="4357" width="17.140625" style="146" customWidth="1"/>
    <col min="4358" max="4358" width="10.140625" style="146" customWidth="1"/>
    <col min="4359" max="4359" width="10.5703125" style="146" customWidth="1"/>
    <col min="4360" max="4360" width="9.85546875" style="146" customWidth="1"/>
    <col min="4361" max="4362" width="12.7109375" style="146" bestFit="1" customWidth="1"/>
    <col min="4363" max="4363" width="9.140625" style="146"/>
    <col min="4364" max="4364" width="10.28515625" style="146" bestFit="1" customWidth="1"/>
    <col min="4365" max="4609" width="9.140625" style="146"/>
    <col min="4610" max="4610" width="14.28515625" style="146" customWidth="1"/>
    <col min="4611" max="4611" width="19.28515625" style="146" customWidth="1"/>
    <col min="4612" max="4612" width="16" style="146" customWidth="1"/>
    <col min="4613" max="4613" width="17.140625" style="146" customWidth="1"/>
    <col min="4614" max="4614" width="10.140625" style="146" customWidth="1"/>
    <col min="4615" max="4615" width="10.5703125" style="146" customWidth="1"/>
    <col min="4616" max="4616" width="9.85546875" style="146" customWidth="1"/>
    <col min="4617" max="4618" width="12.7109375" style="146" bestFit="1" customWidth="1"/>
    <col min="4619" max="4619" width="9.140625" style="146"/>
    <col min="4620" max="4620" width="10.28515625" style="146" bestFit="1" customWidth="1"/>
    <col min="4621" max="4865" width="9.140625" style="146"/>
    <col min="4866" max="4866" width="14.28515625" style="146" customWidth="1"/>
    <col min="4867" max="4867" width="19.28515625" style="146" customWidth="1"/>
    <col min="4868" max="4868" width="16" style="146" customWidth="1"/>
    <col min="4869" max="4869" width="17.140625" style="146" customWidth="1"/>
    <col min="4870" max="4870" width="10.140625" style="146" customWidth="1"/>
    <col min="4871" max="4871" width="10.5703125" style="146" customWidth="1"/>
    <col min="4872" max="4872" width="9.85546875" style="146" customWidth="1"/>
    <col min="4873" max="4874" width="12.7109375" style="146" bestFit="1" customWidth="1"/>
    <col min="4875" max="4875" width="9.140625" style="146"/>
    <col min="4876" max="4876" width="10.28515625" style="146" bestFit="1" customWidth="1"/>
    <col min="4877" max="5121" width="9.140625" style="146"/>
    <col min="5122" max="5122" width="14.28515625" style="146" customWidth="1"/>
    <col min="5123" max="5123" width="19.28515625" style="146" customWidth="1"/>
    <col min="5124" max="5124" width="16" style="146" customWidth="1"/>
    <col min="5125" max="5125" width="17.140625" style="146" customWidth="1"/>
    <col min="5126" max="5126" width="10.140625" style="146" customWidth="1"/>
    <col min="5127" max="5127" width="10.5703125" style="146" customWidth="1"/>
    <col min="5128" max="5128" width="9.85546875" style="146" customWidth="1"/>
    <col min="5129" max="5130" width="12.7109375" style="146" bestFit="1" customWidth="1"/>
    <col min="5131" max="5131" width="9.140625" style="146"/>
    <col min="5132" max="5132" width="10.28515625" style="146" bestFit="1" customWidth="1"/>
    <col min="5133" max="5377" width="9.140625" style="146"/>
    <col min="5378" max="5378" width="14.28515625" style="146" customWidth="1"/>
    <col min="5379" max="5379" width="19.28515625" style="146" customWidth="1"/>
    <col min="5380" max="5380" width="16" style="146" customWidth="1"/>
    <col min="5381" max="5381" width="17.140625" style="146" customWidth="1"/>
    <col min="5382" max="5382" width="10.140625" style="146" customWidth="1"/>
    <col min="5383" max="5383" width="10.5703125" style="146" customWidth="1"/>
    <col min="5384" max="5384" width="9.85546875" style="146" customWidth="1"/>
    <col min="5385" max="5386" width="12.7109375" style="146" bestFit="1" customWidth="1"/>
    <col min="5387" max="5387" width="9.140625" style="146"/>
    <col min="5388" max="5388" width="10.28515625" style="146" bestFit="1" customWidth="1"/>
    <col min="5389" max="5633" width="9.140625" style="146"/>
    <col min="5634" max="5634" width="14.28515625" style="146" customWidth="1"/>
    <col min="5635" max="5635" width="19.28515625" style="146" customWidth="1"/>
    <col min="5636" max="5636" width="16" style="146" customWidth="1"/>
    <col min="5637" max="5637" width="17.140625" style="146" customWidth="1"/>
    <col min="5638" max="5638" width="10.140625" style="146" customWidth="1"/>
    <col min="5639" max="5639" width="10.5703125" style="146" customWidth="1"/>
    <col min="5640" max="5640" width="9.85546875" style="146" customWidth="1"/>
    <col min="5641" max="5642" width="12.7109375" style="146" bestFit="1" customWidth="1"/>
    <col min="5643" max="5643" width="9.140625" style="146"/>
    <col min="5644" max="5644" width="10.28515625" style="146" bestFit="1" customWidth="1"/>
    <col min="5645" max="5889" width="9.140625" style="146"/>
    <col min="5890" max="5890" width="14.28515625" style="146" customWidth="1"/>
    <col min="5891" max="5891" width="19.28515625" style="146" customWidth="1"/>
    <col min="5892" max="5892" width="16" style="146" customWidth="1"/>
    <col min="5893" max="5893" width="17.140625" style="146" customWidth="1"/>
    <col min="5894" max="5894" width="10.140625" style="146" customWidth="1"/>
    <col min="5895" max="5895" width="10.5703125" style="146" customWidth="1"/>
    <col min="5896" max="5896" width="9.85546875" style="146" customWidth="1"/>
    <col min="5897" max="5898" width="12.7109375" style="146" bestFit="1" customWidth="1"/>
    <col min="5899" max="5899" width="9.140625" style="146"/>
    <col min="5900" max="5900" width="10.28515625" style="146" bestFit="1" customWidth="1"/>
    <col min="5901" max="6145" width="9.140625" style="146"/>
    <col min="6146" max="6146" width="14.28515625" style="146" customWidth="1"/>
    <col min="6147" max="6147" width="19.28515625" style="146" customWidth="1"/>
    <col min="6148" max="6148" width="16" style="146" customWidth="1"/>
    <col min="6149" max="6149" width="17.140625" style="146" customWidth="1"/>
    <col min="6150" max="6150" width="10.140625" style="146" customWidth="1"/>
    <col min="6151" max="6151" width="10.5703125" style="146" customWidth="1"/>
    <col min="6152" max="6152" width="9.85546875" style="146" customWidth="1"/>
    <col min="6153" max="6154" width="12.7109375" style="146" bestFit="1" customWidth="1"/>
    <col min="6155" max="6155" width="9.140625" style="146"/>
    <col min="6156" max="6156" width="10.28515625" style="146" bestFit="1" customWidth="1"/>
    <col min="6157" max="6401" width="9.140625" style="146"/>
    <col min="6402" max="6402" width="14.28515625" style="146" customWidth="1"/>
    <col min="6403" max="6403" width="19.28515625" style="146" customWidth="1"/>
    <col min="6404" max="6404" width="16" style="146" customWidth="1"/>
    <col min="6405" max="6405" width="17.140625" style="146" customWidth="1"/>
    <col min="6406" max="6406" width="10.140625" style="146" customWidth="1"/>
    <col min="6407" max="6407" width="10.5703125" style="146" customWidth="1"/>
    <col min="6408" max="6408" width="9.85546875" style="146" customWidth="1"/>
    <col min="6409" max="6410" width="12.7109375" style="146" bestFit="1" customWidth="1"/>
    <col min="6411" max="6411" width="9.140625" style="146"/>
    <col min="6412" max="6412" width="10.28515625" style="146" bestFit="1" customWidth="1"/>
    <col min="6413" max="6657" width="9.140625" style="146"/>
    <col min="6658" max="6658" width="14.28515625" style="146" customWidth="1"/>
    <col min="6659" max="6659" width="19.28515625" style="146" customWidth="1"/>
    <col min="6660" max="6660" width="16" style="146" customWidth="1"/>
    <col min="6661" max="6661" width="17.140625" style="146" customWidth="1"/>
    <col min="6662" max="6662" width="10.140625" style="146" customWidth="1"/>
    <col min="6663" max="6663" width="10.5703125" style="146" customWidth="1"/>
    <col min="6664" max="6664" width="9.85546875" style="146" customWidth="1"/>
    <col min="6665" max="6666" width="12.7109375" style="146" bestFit="1" customWidth="1"/>
    <col min="6667" max="6667" width="9.140625" style="146"/>
    <col min="6668" max="6668" width="10.28515625" style="146" bestFit="1" customWidth="1"/>
    <col min="6669" max="6913" width="9.140625" style="146"/>
    <col min="6914" max="6914" width="14.28515625" style="146" customWidth="1"/>
    <col min="6915" max="6915" width="19.28515625" style="146" customWidth="1"/>
    <col min="6916" max="6916" width="16" style="146" customWidth="1"/>
    <col min="6917" max="6917" width="17.140625" style="146" customWidth="1"/>
    <col min="6918" max="6918" width="10.140625" style="146" customWidth="1"/>
    <col min="6919" max="6919" width="10.5703125" style="146" customWidth="1"/>
    <col min="6920" max="6920" width="9.85546875" style="146" customWidth="1"/>
    <col min="6921" max="6922" width="12.7109375" style="146" bestFit="1" customWidth="1"/>
    <col min="6923" max="6923" width="9.140625" style="146"/>
    <col min="6924" max="6924" width="10.28515625" style="146" bestFit="1" customWidth="1"/>
    <col min="6925" max="7169" width="9.140625" style="146"/>
    <col min="7170" max="7170" width="14.28515625" style="146" customWidth="1"/>
    <col min="7171" max="7171" width="19.28515625" style="146" customWidth="1"/>
    <col min="7172" max="7172" width="16" style="146" customWidth="1"/>
    <col min="7173" max="7173" width="17.140625" style="146" customWidth="1"/>
    <col min="7174" max="7174" width="10.140625" style="146" customWidth="1"/>
    <col min="7175" max="7175" width="10.5703125" style="146" customWidth="1"/>
    <col min="7176" max="7176" width="9.85546875" style="146" customWidth="1"/>
    <col min="7177" max="7178" width="12.7109375" style="146" bestFit="1" customWidth="1"/>
    <col min="7179" max="7179" width="9.140625" style="146"/>
    <col min="7180" max="7180" width="10.28515625" style="146" bestFit="1" customWidth="1"/>
    <col min="7181" max="7425" width="9.140625" style="146"/>
    <col min="7426" max="7426" width="14.28515625" style="146" customWidth="1"/>
    <col min="7427" max="7427" width="19.28515625" style="146" customWidth="1"/>
    <col min="7428" max="7428" width="16" style="146" customWidth="1"/>
    <col min="7429" max="7429" width="17.140625" style="146" customWidth="1"/>
    <col min="7430" max="7430" width="10.140625" style="146" customWidth="1"/>
    <col min="7431" max="7431" width="10.5703125" style="146" customWidth="1"/>
    <col min="7432" max="7432" width="9.85546875" style="146" customWidth="1"/>
    <col min="7433" max="7434" width="12.7109375" style="146" bestFit="1" customWidth="1"/>
    <col min="7435" max="7435" width="9.140625" style="146"/>
    <col min="7436" max="7436" width="10.28515625" style="146" bestFit="1" customWidth="1"/>
    <col min="7437" max="7681" width="9.140625" style="146"/>
    <col min="7682" max="7682" width="14.28515625" style="146" customWidth="1"/>
    <col min="7683" max="7683" width="19.28515625" style="146" customWidth="1"/>
    <col min="7684" max="7684" width="16" style="146" customWidth="1"/>
    <col min="7685" max="7685" width="17.140625" style="146" customWidth="1"/>
    <col min="7686" max="7686" width="10.140625" style="146" customWidth="1"/>
    <col min="7687" max="7687" width="10.5703125" style="146" customWidth="1"/>
    <col min="7688" max="7688" width="9.85546875" style="146" customWidth="1"/>
    <col min="7689" max="7690" width="12.7109375" style="146" bestFit="1" customWidth="1"/>
    <col min="7691" max="7691" width="9.140625" style="146"/>
    <col min="7692" max="7692" width="10.28515625" style="146" bestFit="1" customWidth="1"/>
    <col min="7693" max="7937" width="9.140625" style="146"/>
    <col min="7938" max="7938" width="14.28515625" style="146" customWidth="1"/>
    <col min="7939" max="7939" width="19.28515625" style="146" customWidth="1"/>
    <col min="7940" max="7940" width="16" style="146" customWidth="1"/>
    <col min="7941" max="7941" width="17.140625" style="146" customWidth="1"/>
    <col min="7942" max="7942" width="10.140625" style="146" customWidth="1"/>
    <col min="7943" max="7943" width="10.5703125" style="146" customWidth="1"/>
    <col min="7944" max="7944" width="9.85546875" style="146" customWidth="1"/>
    <col min="7945" max="7946" width="12.7109375" style="146" bestFit="1" customWidth="1"/>
    <col min="7947" max="7947" width="9.140625" style="146"/>
    <col min="7948" max="7948" width="10.28515625" style="146" bestFit="1" customWidth="1"/>
    <col min="7949" max="8193" width="9.140625" style="146"/>
    <col min="8194" max="8194" width="14.28515625" style="146" customWidth="1"/>
    <col min="8195" max="8195" width="19.28515625" style="146" customWidth="1"/>
    <col min="8196" max="8196" width="16" style="146" customWidth="1"/>
    <col min="8197" max="8197" width="17.140625" style="146" customWidth="1"/>
    <col min="8198" max="8198" width="10.140625" style="146" customWidth="1"/>
    <col min="8199" max="8199" width="10.5703125" style="146" customWidth="1"/>
    <col min="8200" max="8200" width="9.85546875" style="146" customWidth="1"/>
    <col min="8201" max="8202" width="12.7109375" style="146" bestFit="1" customWidth="1"/>
    <col min="8203" max="8203" width="9.140625" style="146"/>
    <col min="8204" max="8204" width="10.28515625" style="146" bestFit="1" customWidth="1"/>
    <col min="8205" max="8449" width="9.140625" style="146"/>
    <col min="8450" max="8450" width="14.28515625" style="146" customWidth="1"/>
    <col min="8451" max="8451" width="19.28515625" style="146" customWidth="1"/>
    <col min="8452" max="8452" width="16" style="146" customWidth="1"/>
    <col min="8453" max="8453" width="17.140625" style="146" customWidth="1"/>
    <col min="8454" max="8454" width="10.140625" style="146" customWidth="1"/>
    <col min="8455" max="8455" width="10.5703125" style="146" customWidth="1"/>
    <col min="8456" max="8456" width="9.85546875" style="146" customWidth="1"/>
    <col min="8457" max="8458" width="12.7109375" style="146" bestFit="1" customWidth="1"/>
    <col min="8459" max="8459" width="9.140625" style="146"/>
    <col min="8460" max="8460" width="10.28515625" style="146" bestFit="1" customWidth="1"/>
    <col min="8461" max="8705" width="9.140625" style="146"/>
    <col min="8706" max="8706" width="14.28515625" style="146" customWidth="1"/>
    <col min="8707" max="8707" width="19.28515625" style="146" customWidth="1"/>
    <col min="8708" max="8708" width="16" style="146" customWidth="1"/>
    <col min="8709" max="8709" width="17.140625" style="146" customWidth="1"/>
    <col min="8710" max="8710" width="10.140625" style="146" customWidth="1"/>
    <col min="8711" max="8711" width="10.5703125" style="146" customWidth="1"/>
    <col min="8712" max="8712" width="9.85546875" style="146" customWidth="1"/>
    <col min="8713" max="8714" width="12.7109375" style="146" bestFit="1" customWidth="1"/>
    <col min="8715" max="8715" width="9.140625" style="146"/>
    <col min="8716" max="8716" width="10.28515625" style="146" bestFit="1" customWidth="1"/>
    <col min="8717" max="8961" width="9.140625" style="146"/>
    <col min="8962" max="8962" width="14.28515625" style="146" customWidth="1"/>
    <col min="8963" max="8963" width="19.28515625" style="146" customWidth="1"/>
    <col min="8964" max="8964" width="16" style="146" customWidth="1"/>
    <col min="8965" max="8965" width="17.140625" style="146" customWidth="1"/>
    <col min="8966" max="8966" width="10.140625" style="146" customWidth="1"/>
    <col min="8967" max="8967" width="10.5703125" style="146" customWidth="1"/>
    <col min="8968" max="8968" width="9.85546875" style="146" customWidth="1"/>
    <col min="8969" max="8970" width="12.7109375" style="146" bestFit="1" customWidth="1"/>
    <col min="8971" max="8971" width="9.140625" style="146"/>
    <col min="8972" max="8972" width="10.28515625" style="146" bestFit="1" customWidth="1"/>
    <col min="8973" max="9217" width="9.140625" style="146"/>
    <col min="9218" max="9218" width="14.28515625" style="146" customWidth="1"/>
    <col min="9219" max="9219" width="19.28515625" style="146" customWidth="1"/>
    <col min="9220" max="9220" width="16" style="146" customWidth="1"/>
    <col min="9221" max="9221" width="17.140625" style="146" customWidth="1"/>
    <col min="9222" max="9222" width="10.140625" style="146" customWidth="1"/>
    <col min="9223" max="9223" width="10.5703125" style="146" customWidth="1"/>
    <col min="9224" max="9224" width="9.85546875" style="146" customWidth="1"/>
    <col min="9225" max="9226" width="12.7109375" style="146" bestFit="1" customWidth="1"/>
    <col min="9227" max="9227" width="9.140625" style="146"/>
    <col min="9228" max="9228" width="10.28515625" style="146" bestFit="1" customWidth="1"/>
    <col min="9229" max="9473" width="9.140625" style="146"/>
    <col min="9474" max="9474" width="14.28515625" style="146" customWidth="1"/>
    <col min="9475" max="9475" width="19.28515625" style="146" customWidth="1"/>
    <col min="9476" max="9476" width="16" style="146" customWidth="1"/>
    <col min="9477" max="9477" width="17.140625" style="146" customWidth="1"/>
    <col min="9478" max="9478" width="10.140625" style="146" customWidth="1"/>
    <col min="9479" max="9479" width="10.5703125" style="146" customWidth="1"/>
    <col min="9480" max="9480" width="9.85546875" style="146" customWidth="1"/>
    <col min="9481" max="9482" width="12.7109375" style="146" bestFit="1" customWidth="1"/>
    <col min="9483" max="9483" width="9.140625" style="146"/>
    <col min="9484" max="9484" width="10.28515625" style="146" bestFit="1" customWidth="1"/>
    <col min="9485" max="9729" width="9.140625" style="146"/>
    <col min="9730" max="9730" width="14.28515625" style="146" customWidth="1"/>
    <col min="9731" max="9731" width="19.28515625" style="146" customWidth="1"/>
    <col min="9732" max="9732" width="16" style="146" customWidth="1"/>
    <col min="9733" max="9733" width="17.140625" style="146" customWidth="1"/>
    <col min="9734" max="9734" width="10.140625" style="146" customWidth="1"/>
    <col min="9735" max="9735" width="10.5703125" style="146" customWidth="1"/>
    <col min="9736" max="9736" width="9.85546875" style="146" customWidth="1"/>
    <col min="9737" max="9738" width="12.7109375" style="146" bestFit="1" customWidth="1"/>
    <col min="9739" max="9739" width="9.140625" style="146"/>
    <col min="9740" max="9740" width="10.28515625" style="146" bestFit="1" customWidth="1"/>
    <col min="9741" max="9985" width="9.140625" style="146"/>
    <col min="9986" max="9986" width="14.28515625" style="146" customWidth="1"/>
    <col min="9987" max="9987" width="19.28515625" style="146" customWidth="1"/>
    <col min="9988" max="9988" width="16" style="146" customWidth="1"/>
    <col min="9989" max="9989" width="17.140625" style="146" customWidth="1"/>
    <col min="9990" max="9990" width="10.140625" style="146" customWidth="1"/>
    <col min="9991" max="9991" width="10.5703125" style="146" customWidth="1"/>
    <col min="9992" max="9992" width="9.85546875" style="146" customWidth="1"/>
    <col min="9993" max="9994" width="12.7109375" style="146" bestFit="1" customWidth="1"/>
    <col min="9995" max="9995" width="9.140625" style="146"/>
    <col min="9996" max="9996" width="10.28515625" style="146" bestFit="1" customWidth="1"/>
    <col min="9997" max="10241" width="9.140625" style="146"/>
    <col min="10242" max="10242" width="14.28515625" style="146" customWidth="1"/>
    <col min="10243" max="10243" width="19.28515625" style="146" customWidth="1"/>
    <col min="10244" max="10244" width="16" style="146" customWidth="1"/>
    <col min="10245" max="10245" width="17.140625" style="146" customWidth="1"/>
    <col min="10246" max="10246" width="10.140625" style="146" customWidth="1"/>
    <col min="10247" max="10247" width="10.5703125" style="146" customWidth="1"/>
    <col min="10248" max="10248" width="9.85546875" style="146" customWidth="1"/>
    <col min="10249" max="10250" width="12.7109375" style="146" bestFit="1" customWidth="1"/>
    <col min="10251" max="10251" width="9.140625" style="146"/>
    <col min="10252" max="10252" width="10.28515625" style="146" bestFit="1" customWidth="1"/>
    <col min="10253" max="10497" width="9.140625" style="146"/>
    <col min="10498" max="10498" width="14.28515625" style="146" customWidth="1"/>
    <col min="10499" max="10499" width="19.28515625" style="146" customWidth="1"/>
    <col min="10500" max="10500" width="16" style="146" customWidth="1"/>
    <col min="10501" max="10501" width="17.140625" style="146" customWidth="1"/>
    <col min="10502" max="10502" width="10.140625" style="146" customWidth="1"/>
    <col min="10503" max="10503" width="10.5703125" style="146" customWidth="1"/>
    <col min="10504" max="10504" width="9.85546875" style="146" customWidth="1"/>
    <col min="10505" max="10506" width="12.7109375" style="146" bestFit="1" customWidth="1"/>
    <col min="10507" max="10507" width="9.140625" style="146"/>
    <col min="10508" max="10508" width="10.28515625" style="146" bestFit="1" customWidth="1"/>
    <col min="10509" max="10753" width="9.140625" style="146"/>
    <col min="10754" max="10754" width="14.28515625" style="146" customWidth="1"/>
    <col min="10755" max="10755" width="19.28515625" style="146" customWidth="1"/>
    <col min="10756" max="10756" width="16" style="146" customWidth="1"/>
    <col min="10757" max="10757" width="17.140625" style="146" customWidth="1"/>
    <col min="10758" max="10758" width="10.140625" style="146" customWidth="1"/>
    <col min="10759" max="10759" width="10.5703125" style="146" customWidth="1"/>
    <col min="10760" max="10760" width="9.85546875" style="146" customWidth="1"/>
    <col min="10761" max="10762" width="12.7109375" style="146" bestFit="1" customWidth="1"/>
    <col min="10763" max="10763" width="9.140625" style="146"/>
    <col min="10764" max="10764" width="10.28515625" style="146" bestFit="1" customWidth="1"/>
    <col min="10765" max="11009" width="9.140625" style="146"/>
    <col min="11010" max="11010" width="14.28515625" style="146" customWidth="1"/>
    <col min="11011" max="11011" width="19.28515625" style="146" customWidth="1"/>
    <col min="11012" max="11012" width="16" style="146" customWidth="1"/>
    <col min="11013" max="11013" width="17.140625" style="146" customWidth="1"/>
    <col min="11014" max="11014" width="10.140625" style="146" customWidth="1"/>
    <col min="11015" max="11015" width="10.5703125" style="146" customWidth="1"/>
    <col min="11016" max="11016" width="9.85546875" style="146" customWidth="1"/>
    <col min="11017" max="11018" width="12.7109375" style="146" bestFit="1" customWidth="1"/>
    <col min="11019" max="11019" width="9.140625" style="146"/>
    <col min="11020" max="11020" width="10.28515625" style="146" bestFit="1" customWidth="1"/>
    <col min="11021" max="11265" width="9.140625" style="146"/>
    <col min="11266" max="11266" width="14.28515625" style="146" customWidth="1"/>
    <col min="11267" max="11267" width="19.28515625" style="146" customWidth="1"/>
    <col min="11268" max="11268" width="16" style="146" customWidth="1"/>
    <col min="11269" max="11269" width="17.140625" style="146" customWidth="1"/>
    <col min="11270" max="11270" width="10.140625" style="146" customWidth="1"/>
    <col min="11271" max="11271" width="10.5703125" style="146" customWidth="1"/>
    <col min="11272" max="11272" width="9.85546875" style="146" customWidth="1"/>
    <col min="11273" max="11274" width="12.7109375" style="146" bestFit="1" customWidth="1"/>
    <col min="11275" max="11275" width="9.140625" style="146"/>
    <col min="11276" max="11276" width="10.28515625" style="146" bestFit="1" customWidth="1"/>
    <col min="11277" max="11521" width="9.140625" style="146"/>
    <col min="11522" max="11522" width="14.28515625" style="146" customWidth="1"/>
    <col min="11523" max="11523" width="19.28515625" style="146" customWidth="1"/>
    <col min="11524" max="11524" width="16" style="146" customWidth="1"/>
    <col min="11525" max="11525" width="17.140625" style="146" customWidth="1"/>
    <col min="11526" max="11526" width="10.140625" style="146" customWidth="1"/>
    <col min="11527" max="11527" width="10.5703125" style="146" customWidth="1"/>
    <col min="11528" max="11528" width="9.85546875" style="146" customWidth="1"/>
    <col min="11529" max="11530" width="12.7109375" style="146" bestFit="1" customWidth="1"/>
    <col min="11531" max="11531" width="9.140625" style="146"/>
    <col min="11532" max="11532" width="10.28515625" style="146" bestFit="1" customWidth="1"/>
    <col min="11533" max="11777" width="9.140625" style="146"/>
    <col min="11778" max="11778" width="14.28515625" style="146" customWidth="1"/>
    <col min="11779" max="11779" width="19.28515625" style="146" customWidth="1"/>
    <col min="11780" max="11780" width="16" style="146" customWidth="1"/>
    <col min="11781" max="11781" width="17.140625" style="146" customWidth="1"/>
    <col min="11782" max="11782" width="10.140625" style="146" customWidth="1"/>
    <col min="11783" max="11783" width="10.5703125" style="146" customWidth="1"/>
    <col min="11784" max="11784" width="9.85546875" style="146" customWidth="1"/>
    <col min="11785" max="11786" width="12.7109375" style="146" bestFit="1" customWidth="1"/>
    <col min="11787" max="11787" width="9.140625" style="146"/>
    <col min="11788" max="11788" width="10.28515625" style="146" bestFit="1" customWidth="1"/>
    <col min="11789" max="12033" width="9.140625" style="146"/>
    <col min="12034" max="12034" width="14.28515625" style="146" customWidth="1"/>
    <col min="12035" max="12035" width="19.28515625" style="146" customWidth="1"/>
    <col min="12036" max="12036" width="16" style="146" customWidth="1"/>
    <col min="12037" max="12037" width="17.140625" style="146" customWidth="1"/>
    <col min="12038" max="12038" width="10.140625" style="146" customWidth="1"/>
    <col min="12039" max="12039" width="10.5703125" style="146" customWidth="1"/>
    <col min="12040" max="12040" width="9.85546875" style="146" customWidth="1"/>
    <col min="12041" max="12042" width="12.7109375" style="146" bestFit="1" customWidth="1"/>
    <col min="12043" max="12043" width="9.140625" style="146"/>
    <col min="12044" max="12044" width="10.28515625" style="146" bestFit="1" customWidth="1"/>
    <col min="12045" max="12289" width="9.140625" style="146"/>
    <col min="12290" max="12290" width="14.28515625" style="146" customWidth="1"/>
    <col min="12291" max="12291" width="19.28515625" style="146" customWidth="1"/>
    <col min="12292" max="12292" width="16" style="146" customWidth="1"/>
    <col min="12293" max="12293" width="17.140625" style="146" customWidth="1"/>
    <col min="12294" max="12294" width="10.140625" style="146" customWidth="1"/>
    <col min="12295" max="12295" width="10.5703125" style="146" customWidth="1"/>
    <col min="12296" max="12296" width="9.85546875" style="146" customWidth="1"/>
    <col min="12297" max="12298" width="12.7109375" style="146" bestFit="1" customWidth="1"/>
    <col min="12299" max="12299" width="9.140625" style="146"/>
    <col min="12300" max="12300" width="10.28515625" style="146" bestFit="1" customWidth="1"/>
    <col min="12301" max="12545" width="9.140625" style="146"/>
    <col min="12546" max="12546" width="14.28515625" style="146" customWidth="1"/>
    <col min="12547" max="12547" width="19.28515625" style="146" customWidth="1"/>
    <col min="12548" max="12548" width="16" style="146" customWidth="1"/>
    <col min="12549" max="12549" width="17.140625" style="146" customWidth="1"/>
    <col min="12550" max="12550" width="10.140625" style="146" customWidth="1"/>
    <col min="12551" max="12551" width="10.5703125" style="146" customWidth="1"/>
    <col min="12552" max="12552" width="9.85546875" style="146" customWidth="1"/>
    <col min="12553" max="12554" width="12.7109375" style="146" bestFit="1" customWidth="1"/>
    <col min="12555" max="12555" width="9.140625" style="146"/>
    <col min="12556" max="12556" width="10.28515625" style="146" bestFit="1" customWidth="1"/>
    <col min="12557" max="12801" width="9.140625" style="146"/>
    <col min="12802" max="12802" width="14.28515625" style="146" customWidth="1"/>
    <col min="12803" max="12803" width="19.28515625" style="146" customWidth="1"/>
    <col min="12804" max="12804" width="16" style="146" customWidth="1"/>
    <col min="12805" max="12805" width="17.140625" style="146" customWidth="1"/>
    <col min="12806" max="12806" width="10.140625" style="146" customWidth="1"/>
    <col min="12807" max="12807" width="10.5703125" style="146" customWidth="1"/>
    <col min="12808" max="12808" width="9.85546875" style="146" customWidth="1"/>
    <col min="12809" max="12810" width="12.7109375" style="146" bestFit="1" customWidth="1"/>
    <col min="12811" max="12811" width="9.140625" style="146"/>
    <col min="12812" max="12812" width="10.28515625" style="146" bestFit="1" customWidth="1"/>
    <col min="12813" max="13057" width="9.140625" style="146"/>
    <col min="13058" max="13058" width="14.28515625" style="146" customWidth="1"/>
    <col min="13059" max="13059" width="19.28515625" style="146" customWidth="1"/>
    <col min="13060" max="13060" width="16" style="146" customWidth="1"/>
    <col min="13061" max="13061" width="17.140625" style="146" customWidth="1"/>
    <col min="13062" max="13062" width="10.140625" style="146" customWidth="1"/>
    <col min="13063" max="13063" width="10.5703125" style="146" customWidth="1"/>
    <col min="13064" max="13064" width="9.85546875" style="146" customWidth="1"/>
    <col min="13065" max="13066" width="12.7109375" style="146" bestFit="1" customWidth="1"/>
    <col min="13067" max="13067" width="9.140625" style="146"/>
    <col min="13068" max="13068" width="10.28515625" style="146" bestFit="1" customWidth="1"/>
    <col min="13069" max="13313" width="9.140625" style="146"/>
    <col min="13314" max="13314" width="14.28515625" style="146" customWidth="1"/>
    <col min="13315" max="13315" width="19.28515625" style="146" customWidth="1"/>
    <col min="13316" max="13316" width="16" style="146" customWidth="1"/>
    <col min="13317" max="13317" width="17.140625" style="146" customWidth="1"/>
    <col min="13318" max="13318" width="10.140625" style="146" customWidth="1"/>
    <col min="13319" max="13319" width="10.5703125" style="146" customWidth="1"/>
    <col min="13320" max="13320" width="9.85546875" style="146" customWidth="1"/>
    <col min="13321" max="13322" width="12.7109375" style="146" bestFit="1" customWidth="1"/>
    <col min="13323" max="13323" width="9.140625" style="146"/>
    <col min="13324" max="13324" width="10.28515625" style="146" bestFit="1" customWidth="1"/>
    <col min="13325" max="13569" width="9.140625" style="146"/>
    <col min="13570" max="13570" width="14.28515625" style="146" customWidth="1"/>
    <col min="13571" max="13571" width="19.28515625" style="146" customWidth="1"/>
    <col min="13572" max="13572" width="16" style="146" customWidth="1"/>
    <col min="13573" max="13573" width="17.140625" style="146" customWidth="1"/>
    <col min="13574" max="13574" width="10.140625" style="146" customWidth="1"/>
    <col min="13575" max="13575" width="10.5703125" style="146" customWidth="1"/>
    <col min="13576" max="13576" width="9.85546875" style="146" customWidth="1"/>
    <col min="13577" max="13578" width="12.7109375" style="146" bestFit="1" customWidth="1"/>
    <col min="13579" max="13579" width="9.140625" style="146"/>
    <col min="13580" max="13580" width="10.28515625" style="146" bestFit="1" customWidth="1"/>
    <col min="13581" max="13825" width="9.140625" style="146"/>
    <col min="13826" max="13826" width="14.28515625" style="146" customWidth="1"/>
    <col min="13827" max="13827" width="19.28515625" style="146" customWidth="1"/>
    <col min="13828" max="13828" width="16" style="146" customWidth="1"/>
    <col min="13829" max="13829" width="17.140625" style="146" customWidth="1"/>
    <col min="13830" max="13830" width="10.140625" style="146" customWidth="1"/>
    <col min="13831" max="13831" width="10.5703125" style="146" customWidth="1"/>
    <col min="13832" max="13832" width="9.85546875" style="146" customWidth="1"/>
    <col min="13833" max="13834" width="12.7109375" style="146" bestFit="1" customWidth="1"/>
    <col min="13835" max="13835" width="9.140625" style="146"/>
    <col min="13836" max="13836" width="10.28515625" style="146" bestFit="1" customWidth="1"/>
    <col min="13837" max="14081" width="9.140625" style="146"/>
    <col min="14082" max="14082" width="14.28515625" style="146" customWidth="1"/>
    <col min="14083" max="14083" width="19.28515625" style="146" customWidth="1"/>
    <col min="14084" max="14084" width="16" style="146" customWidth="1"/>
    <col min="14085" max="14085" width="17.140625" style="146" customWidth="1"/>
    <col min="14086" max="14086" width="10.140625" style="146" customWidth="1"/>
    <col min="14087" max="14087" width="10.5703125" style="146" customWidth="1"/>
    <col min="14088" max="14088" width="9.85546875" style="146" customWidth="1"/>
    <col min="14089" max="14090" width="12.7109375" style="146" bestFit="1" customWidth="1"/>
    <col min="14091" max="14091" width="9.140625" style="146"/>
    <col min="14092" max="14092" width="10.28515625" style="146" bestFit="1" customWidth="1"/>
    <col min="14093" max="14337" width="9.140625" style="146"/>
    <col min="14338" max="14338" width="14.28515625" style="146" customWidth="1"/>
    <col min="14339" max="14339" width="19.28515625" style="146" customWidth="1"/>
    <col min="14340" max="14340" width="16" style="146" customWidth="1"/>
    <col min="14341" max="14341" width="17.140625" style="146" customWidth="1"/>
    <col min="14342" max="14342" width="10.140625" style="146" customWidth="1"/>
    <col min="14343" max="14343" width="10.5703125" style="146" customWidth="1"/>
    <col min="14344" max="14344" width="9.85546875" style="146" customWidth="1"/>
    <col min="14345" max="14346" width="12.7109375" style="146" bestFit="1" customWidth="1"/>
    <col min="14347" max="14347" width="9.140625" style="146"/>
    <col min="14348" max="14348" width="10.28515625" style="146" bestFit="1" customWidth="1"/>
    <col min="14349" max="14593" width="9.140625" style="146"/>
    <col min="14594" max="14594" width="14.28515625" style="146" customWidth="1"/>
    <col min="14595" max="14595" width="19.28515625" style="146" customWidth="1"/>
    <col min="14596" max="14596" width="16" style="146" customWidth="1"/>
    <col min="14597" max="14597" width="17.140625" style="146" customWidth="1"/>
    <col min="14598" max="14598" width="10.140625" style="146" customWidth="1"/>
    <col min="14599" max="14599" width="10.5703125" style="146" customWidth="1"/>
    <col min="14600" max="14600" width="9.85546875" style="146" customWidth="1"/>
    <col min="14601" max="14602" width="12.7109375" style="146" bestFit="1" customWidth="1"/>
    <col min="14603" max="14603" width="9.140625" style="146"/>
    <col min="14604" max="14604" width="10.28515625" style="146" bestFit="1" customWidth="1"/>
    <col min="14605" max="14849" width="9.140625" style="146"/>
    <col min="14850" max="14850" width="14.28515625" style="146" customWidth="1"/>
    <col min="14851" max="14851" width="19.28515625" style="146" customWidth="1"/>
    <col min="14852" max="14852" width="16" style="146" customWidth="1"/>
    <col min="14853" max="14853" width="17.140625" style="146" customWidth="1"/>
    <col min="14854" max="14854" width="10.140625" style="146" customWidth="1"/>
    <col min="14855" max="14855" width="10.5703125" style="146" customWidth="1"/>
    <col min="14856" max="14856" width="9.85546875" style="146" customWidth="1"/>
    <col min="14857" max="14858" width="12.7109375" style="146" bestFit="1" customWidth="1"/>
    <col min="14859" max="14859" width="9.140625" style="146"/>
    <col min="14860" max="14860" width="10.28515625" style="146" bestFit="1" customWidth="1"/>
    <col min="14861" max="15105" width="9.140625" style="146"/>
    <col min="15106" max="15106" width="14.28515625" style="146" customWidth="1"/>
    <col min="15107" max="15107" width="19.28515625" style="146" customWidth="1"/>
    <col min="15108" max="15108" width="16" style="146" customWidth="1"/>
    <col min="15109" max="15109" width="17.140625" style="146" customWidth="1"/>
    <col min="15110" max="15110" width="10.140625" style="146" customWidth="1"/>
    <col min="15111" max="15111" width="10.5703125" style="146" customWidth="1"/>
    <col min="15112" max="15112" width="9.85546875" style="146" customWidth="1"/>
    <col min="15113" max="15114" width="12.7109375" style="146" bestFit="1" customWidth="1"/>
    <col min="15115" max="15115" width="9.140625" style="146"/>
    <col min="15116" max="15116" width="10.28515625" style="146" bestFit="1" customWidth="1"/>
    <col min="15117" max="15361" width="9.140625" style="146"/>
    <col min="15362" max="15362" width="14.28515625" style="146" customWidth="1"/>
    <col min="15363" max="15363" width="19.28515625" style="146" customWidth="1"/>
    <col min="15364" max="15364" width="16" style="146" customWidth="1"/>
    <col min="15365" max="15365" width="17.140625" style="146" customWidth="1"/>
    <col min="15366" max="15366" width="10.140625" style="146" customWidth="1"/>
    <col min="15367" max="15367" width="10.5703125" style="146" customWidth="1"/>
    <col min="15368" max="15368" width="9.85546875" style="146" customWidth="1"/>
    <col min="15369" max="15370" width="12.7109375" style="146" bestFit="1" customWidth="1"/>
    <col min="15371" max="15371" width="9.140625" style="146"/>
    <col min="15372" max="15372" width="10.28515625" style="146" bestFit="1" customWidth="1"/>
    <col min="15373" max="15617" width="9.140625" style="146"/>
    <col min="15618" max="15618" width="14.28515625" style="146" customWidth="1"/>
    <col min="15619" max="15619" width="19.28515625" style="146" customWidth="1"/>
    <col min="15620" max="15620" width="16" style="146" customWidth="1"/>
    <col min="15621" max="15621" width="17.140625" style="146" customWidth="1"/>
    <col min="15622" max="15622" width="10.140625" style="146" customWidth="1"/>
    <col min="15623" max="15623" width="10.5703125" style="146" customWidth="1"/>
    <col min="15624" max="15624" width="9.85546875" style="146" customWidth="1"/>
    <col min="15625" max="15626" width="12.7109375" style="146" bestFit="1" customWidth="1"/>
    <col min="15627" max="15627" width="9.140625" style="146"/>
    <col min="15628" max="15628" width="10.28515625" style="146" bestFit="1" customWidth="1"/>
    <col min="15629" max="15873" width="9.140625" style="146"/>
    <col min="15874" max="15874" width="14.28515625" style="146" customWidth="1"/>
    <col min="15875" max="15875" width="19.28515625" style="146" customWidth="1"/>
    <col min="15876" max="15876" width="16" style="146" customWidth="1"/>
    <col min="15877" max="15877" width="17.140625" style="146" customWidth="1"/>
    <col min="15878" max="15878" width="10.140625" style="146" customWidth="1"/>
    <col min="15879" max="15879" width="10.5703125" style="146" customWidth="1"/>
    <col min="15880" max="15880" width="9.85546875" style="146" customWidth="1"/>
    <col min="15881" max="15882" width="12.7109375" style="146" bestFit="1" customWidth="1"/>
    <col min="15883" max="15883" width="9.140625" style="146"/>
    <col min="15884" max="15884" width="10.28515625" style="146" bestFit="1" customWidth="1"/>
    <col min="15885" max="16129" width="9.140625" style="146"/>
    <col min="16130" max="16130" width="14.28515625" style="146" customWidth="1"/>
    <col min="16131" max="16131" width="19.28515625" style="146" customWidth="1"/>
    <col min="16132" max="16132" width="16" style="146" customWidth="1"/>
    <col min="16133" max="16133" width="17.140625" style="146" customWidth="1"/>
    <col min="16134" max="16134" width="10.140625" style="146" customWidth="1"/>
    <col min="16135" max="16135" width="10.5703125" style="146" customWidth="1"/>
    <col min="16136" max="16136" width="9.85546875" style="146" customWidth="1"/>
    <col min="16137" max="16138" width="12.7109375" style="146" bestFit="1" customWidth="1"/>
    <col min="16139" max="16139" width="9.140625" style="146"/>
    <col min="16140" max="16140" width="10.28515625" style="146" bestFit="1" customWidth="1"/>
    <col min="16141" max="16384" width="9.140625" style="146"/>
  </cols>
  <sheetData>
    <row r="1" spans="1:14" ht="28.5" customHeight="1" x14ac:dyDescent="0.25">
      <c r="A1" s="275" t="s">
        <v>331</v>
      </c>
      <c r="B1" s="275"/>
      <c r="C1" s="275"/>
      <c r="D1" s="275"/>
      <c r="E1" s="275"/>
      <c r="I1" s="325" t="s">
        <v>144</v>
      </c>
      <c r="J1" s="326"/>
      <c r="K1" s="326"/>
      <c r="L1" s="326"/>
      <c r="M1" s="326"/>
      <c r="N1" s="326"/>
    </row>
    <row r="2" spans="1:14" ht="49.5" customHeight="1" x14ac:dyDescent="0.25">
      <c r="A2" s="327" t="s">
        <v>291</v>
      </c>
      <c r="B2" s="327"/>
      <c r="C2" s="327"/>
      <c r="D2" s="327"/>
      <c r="E2" s="327"/>
      <c r="I2" s="248" t="s">
        <v>289</v>
      </c>
      <c r="J2" s="249"/>
      <c r="K2" s="250"/>
      <c r="L2" s="176" t="s">
        <v>288</v>
      </c>
      <c r="M2" s="132" t="s">
        <v>365</v>
      </c>
      <c r="N2" s="176" t="s">
        <v>287</v>
      </c>
    </row>
    <row r="3" spans="1:14" ht="28.5" customHeight="1" x14ac:dyDescent="0.25">
      <c r="A3" s="327" t="s">
        <v>292</v>
      </c>
      <c r="B3" s="327"/>
      <c r="C3" s="327"/>
      <c r="D3" s="327"/>
      <c r="E3" s="327"/>
      <c r="I3" s="251" t="s">
        <v>275</v>
      </c>
      <c r="J3" s="252"/>
      <c r="K3" s="253"/>
      <c r="L3" s="120">
        <v>1200</v>
      </c>
      <c r="M3" s="328">
        <v>0.28494000000000003</v>
      </c>
      <c r="N3" s="134">
        <f t="shared" ref="N3:N11" si="0">ROUND(L3*M3,0)</f>
        <v>342</v>
      </c>
    </row>
    <row r="4" spans="1:14" s="329" customFormat="1" ht="28.5" customHeight="1" x14ac:dyDescent="0.25">
      <c r="A4" s="245" t="s">
        <v>293</v>
      </c>
      <c r="B4" s="245">
        <v>1</v>
      </c>
      <c r="C4" s="245"/>
      <c r="D4" s="176">
        <v>2</v>
      </c>
      <c r="E4" s="176" t="s">
        <v>294</v>
      </c>
      <c r="F4" s="146"/>
      <c r="G4" s="146"/>
      <c r="I4" s="251" t="s">
        <v>276</v>
      </c>
      <c r="J4" s="252"/>
      <c r="K4" s="253"/>
      <c r="L4" s="120">
        <v>2500</v>
      </c>
      <c r="M4" s="328">
        <v>0.28494000000000003</v>
      </c>
      <c r="N4" s="134">
        <f t="shared" si="0"/>
        <v>712</v>
      </c>
    </row>
    <row r="5" spans="1:14" s="329" customFormat="1" ht="28.5" customHeight="1" x14ac:dyDescent="0.25">
      <c r="A5" s="245"/>
      <c r="B5" s="245" t="s">
        <v>295</v>
      </c>
      <c r="C5" s="245"/>
      <c r="D5" s="176" t="s">
        <v>296</v>
      </c>
      <c r="E5" s="176" t="s">
        <v>297</v>
      </c>
      <c r="F5" s="146"/>
      <c r="G5" s="146"/>
      <c r="I5" s="251" t="s">
        <v>277</v>
      </c>
      <c r="J5" s="252"/>
      <c r="K5" s="253"/>
      <c r="L5" s="120">
        <v>1500</v>
      </c>
      <c r="M5" s="328">
        <v>0.28494000000000003</v>
      </c>
      <c r="N5" s="134">
        <f t="shared" si="0"/>
        <v>427</v>
      </c>
    </row>
    <row r="6" spans="1:14" s="329" customFormat="1" ht="28.5" customHeight="1" x14ac:dyDescent="0.25">
      <c r="A6" s="245"/>
      <c r="B6" s="245" t="s">
        <v>298</v>
      </c>
      <c r="C6" s="245"/>
      <c r="D6" s="176" t="s">
        <v>299</v>
      </c>
      <c r="E6" s="176" t="s">
        <v>300</v>
      </c>
      <c r="F6" s="146"/>
      <c r="G6" s="146"/>
      <c r="I6" s="251" t="s">
        <v>278</v>
      </c>
      <c r="J6" s="252"/>
      <c r="K6" s="253"/>
      <c r="L6" s="120">
        <v>300</v>
      </c>
      <c r="M6" s="328">
        <v>0.28494000000000003</v>
      </c>
      <c r="N6" s="134">
        <f t="shared" si="0"/>
        <v>85</v>
      </c>
    </row>
    <row r="7" spans="1:14" ht="28.5" customHeight="1" x14ac:dyDescent="0.25">
      <c r="A7" s="330" t="s">
        <v>301</v>
      </c>
      <c r="B7" s="330"/>
      <c r="C7" s="330"/>
      <c r="D7" s="330"/>
      <c r="E7" s="330"/>
      <c r="I7" s="251" t="s">
        <v>279</v>
      </c>
      <c r="J7" s="252"/>
      <c r="K7" s="253"/>
      <c r="L7" s="120">
        <v>2700</v>
      </c>
      <c r="M7" s="328">
        <v>0.28494000000000003</v>
      </c>
      <c r="N7" s="134">
        <f t="shared" si="0"/>
        <v>769</v>
      </c>
    </row>
    <row r="8" spans="1:14" ht="28.5" customHeight="1" x14ac:dyDescent="0.25">
      <c r="A8" s="157" t="s">
        <v>382</v>
      </c>
      <c r="B8" s="120">
        <v>1</v>
      </c>
      <c r="C8" s="120">
        <f>N3</f>
        <v>342</v>
      </c>
      <c r="D8" s="331">
        <f>'G2 BGR-MT Servente'!G112</f>
        <v>6394.7213130740874</v>
      </c>
      <c r="E8" s="331">
        <f>(B8/C8)*D8</f>
        <v>18.698015535304346</v>
      </c>
      <c r="H8" s="332"/>
      <c r="I8" s="251" t="s">
        <v>280</v>
      </c>
      <c r="J8" s="252"/>
      <c r="K8" s="253"/>
      <c r="L8" s="120">
        <v>9000</v>
      </c>
      <c r="M8" s="328">
        <v>0.28494000000000003</v>
      </c>
      <c r="N8" s="134">
        <f t="shared" si="0"/>
        <v>2564</v>
      </c>
    </row>
    <row r="9" spans="1:14" ht="28.5" customHeight="1" x14ac:dyDescent="0.25">
      <c r="A9" s="333" t="s">
        <v>302</v>
      </c>
      <c r="B9" s="333"/>
      <c r="C9" s="333"/>
      <c r="D9" s="333"/>
      <c r="E9" s="334">
        <f>SUM(E8:E8)</f>
        <v>18.698015535304346</v>
      </c>
      <c r="H9" s="332"/>
      <c r="I9" s="251" t="s">
        <v>290</v>
      </c>
      <c r="J9" s="252"/>
      <c r="K9" s="253"/>
      <c r="L9" s="120">
        <v>2700</v>
      </c>
      <c r="M9" s="328">
        <v>0.28494000000000003</v>
      </c>
      <c r="N9" s="134">
        <f t="shared" si="0"/>
        <v>769</v>
      </c>
    </row>
    <row r="10" spans="1:14" ht="28.5" customHeight="1" x14ac:dyDescent="0.25">
      <c r="A10" s="330" t="s">
        <v>303</v>
      </c>
      <c r="B10" s="330"/>
      <c r="C10" s="330"/>
      <c r="D10" s="330"/>
      <c r="E10" s="330"/>
      <c r="H10" s="335"/>
      <c r="I10" s="251" t="s">
        <v>282</v>
      </c>
      <c r="J10" s="252"/>
      <c r="K10" s="253"/>
      <c r="L10" s="120">
        <v>380</v>
      </c>
      <c r="M10" s="328">
        <v>0.28494000000000003</v>
      </c>
      <c r="N10" s="134">
        <f t="shared" si="0"/>
        <v>108</v>
      </c>
    </row>
    <row r="11" spans="1:14" ht="28.5" customHeight="1" x14ac:dyDescent="0.25">
      <c r="A11" s="157" t="s">
        <v>382</v>
      </c>
      <c r="B11" s="120">
        <v>1</v>
      </c>
      <c r="C11" s="336">
        <f>N4</f>
        <v>712</v>
      </c>
      <c r="D11" s="331">
        <f>'G2 BGR-MT Servente'!G112</f>
        <v>6394.7213130740874</v>
      </c>
      <c r="E11" s="336">
        <f>(B11/C11)*D11</f>
        <v>8.9813501588119209</v>
      </c>
      <c r="H11" s="332"/>
      <c r="I11" s="251" t="s">
        <v>281</v>
      </c>
      <c r="J11" s="252"/>
      <c r="K11" s="253"/>
      <c r="L11" s="120">
        <v>380</v>
      </c>
      <c r="M11" s="328">
        <v>0.28494000000000003</v>
      </c>
      <c r="N11" s="134">
        <f t="shared" si="0"/>
        <v>108</v>
      </c>
    </row>
    <row r="12" spans="1:14" ht="28.5" customHeight="1" x14ac:dyDescent="0.25">
      <c r="A12" s="333" t="s">
        <v>302</v>
      </c>
      <c r="B12" s="333"/>
      <c r="C12" s="333"/>
      <c r="D12" s="333"/>
      <c r="E12" s="334">
        <f>SUM(E11:E11)</f>
        <v>8.9813501588119209</v>
      </c>
      <c r="H12" s="332"/>
      <c r="I12" s="337" t="s">
        <v>363</v>
      </c>
      <c r="J12" s="337"/>
      <c r="K12" s="337"/>
      <c r="L12" s="337"/>
      <c r="M12" s="337"/>
      <c r="N12" s="337"/>
    </row>
    <row r="13" spans="1:14" ht="28.5" customHeight="1" x14ac:dyDescent="0.25">
      <c r="A13" s="330" t="s">
        <v>304</v>
      </c>
      <c r="B13" s="330"/>
      <c r="C13" s="330"/>
      <c r="D13" s="330"/>
      <c r="E13" s="330"/>
      <c r="H13" s="335"/>
      <c r="I13" s="338"/>
      <c r="J13" s="338"/>
      <c r="K13" s="338"/>
      <c r="L13" s="338"/>
      <c r="M13" s="338"/>
      <c r="N13" s="338"/>
    </row>
    <row r="14" spans="1:14" ht="28.5" customHeight="1" x14ac:dyDescent="0.25">
      <c r="A14" s="157" t="s">
        <v>382</v>
      </c>
      <c r="B14" s="120">
        <v>1</v>
      </c>
      <c r="C14" s="120">
        <f>N5</f>
        <v>427</v>
      </c>
      <c r="D14" s="331">
        <f>'G2 BGR-MT Servente'!G112</f>
        <v>6394.7213130740874</v>
      </c>
      <c r="E14" s="331">
        <f>(B14/C14)*D14</f>
        <v>14.975928133662968</v>
      </c>
      <c r="H14" s="332"/>
      <c r="I14" s="338"/>
      <c r="J14" s="338"/>
      <c r="K14" s="338"/>
      <c r="L14" s="338"/>
      <c r="M14" s="338"/>
      <c r="N14" s="338"/>
    </row>
    <row r="15" spans="1:14" ht="28.5" customHeight="1" x14ac:dyDescent="0.25">
      <c r="A15" s="333" t="s">
        <v>302</v>
      </c>
      <c r="B15" s="333"/>
      <c r="C15" s="333"/>
      <c r="D15" s="333"/>
      <c r="E15" s="334">
        <f>SUM(E14:E14)</f>
        <v>14.975928133662968</v>
      </c>
    </row>
    <row r="16" spans="1:14" ht="28.5" customHeight="1" x14ac:dyDescent="0.25">
      <c r="A16" s="330" t="s">
        <v>305</v>
      </c>
      <c r="B16" s="330"/>
      <c r="C16" s="330"/>
      <c r="D16" s="330"/>
      <c r="E16" s="330"/>
      <c r="F16" s="335"/>
    </row>
    <row r="17" spans="1:8" ht="28.5" customHeight="1" x14ac:dyDescent="0.25">
      <c r="A17" s="157" t="s">
        <v>382</v>
      </c>
      <c r="B17" s="120">
        <v>1</v>
      </c>
      <c r="C17" s="120">
        <f>N6</f>
        <v>85</v>
      </c>
      <c r="D17" s="331">
        <f>'G2 BGR-MT Servente'!G112</f>
        <v>6394.7213130740874</v>
      </c>
      <c r="E17" s="331">
        <f>(B17/C17)*D17</f>
        <v>75.232015447930436</v>
      </c>
      <c r="F17" s="332"/>
    </row>
    <row r="18" spans="1:8" ht="28.5" customHeight="1" x14ac:dyDescent="0.25">
      <c r="A18" s="333" t="s">
        <v>302</v>
      </c>
      <c r="B18" s="333"/>
      <c r="C18" s="333"/>
      <c r="D18" s="333"/>
      <c r="E18" s="334">
        <f>SUM(E17:E17)</f>
        <v>75.232015447930436</v>
      </c>
      <c r="F18" s="332"/>
    </row>
    <row r="19" spans="1:8" ht="28.5" customHeight="1" x14ac:dyDescent="0.25">
      <c r="A19" s="327" t="s">
        <v>306</v>
      </c>
      <c r="B19" s="327"/>
      <c r="C19" s="327"/>
      <c r="D19" s="327"/>
      <c r="E19" s="327"/>
      <c r="F19" s="329"/>
    </row>
    <row r="20" spans="1:8" s="329" customFormat="1" ht="28.5" customHeight="1" x14ac:dyDescent="0.25">
      <c r="A20" s="264" t="s">
        <v>293</v>
      </c>
      <c r="B20" s="265"/>
      <c r="C20" s="176">
        <v>1</v>
      </c>
      <c r="D20" s="176">
        <v>2</v>
      </c>
      <c r="E20" s="176" t="s">
        <v>294</v>
      </c>
      <c r="F20" s="339"/>
    </row>
    <row r="21" spans="1:8" s="329" customFormat="1" ht="28.5" customHeight="1" x14ac:dyDescent="0.25">
      <c r="A21" s="266"/>
      <c r="B21" s="267"/>
      <c r="C21" s="176" t="s">
        <v>295</v>
      </c>
      <c r="D21" s="176" t="s">
        <v>307</v>
      </c>
      <c r="E21" s="176" t="s">
        <v>297</v>
      </c>
    </row>
    <row r="22" spans="1:8" s="329" customFormat="1" ht="28.5" customHeight="1" x14ac:dyDescent="0.25">
      <c r="A22" s="268"/>
      <c r="B22" s="269"/>
      <c r="C22" s="176" t="s">
        <v>308</v>
      </c>
      <c r="D22" s="176" t="s">
        <v>299</v>
      </c>
      <c r="E22" s="176" t="s">
        <v>309</v>
      </c>
    </row>
    <row r="23" spans="1:8" ht="28.5" customHeight="1" x14ac:dyDescent="0.25">
      <c r="A23" s="330" t="s">
        <v>310</v>
      </c>
      <c r="B23" s="330"/>
      <c r="C23" s="330"/>
      <c r="D23" s="330"/>
      <c r="E23" s="330"/>
    </row>
    <row r="24" spans="1:8" ht="28.5" customHeight="1" x14ac:dyDescent="0.25">
      <c r="A24" s="157" t="s">
        <v>382</v>
      </c>
      <c r="B24" s="120">
        <v>1</v>
      </c>
      <c r="C24" s="336">
        <f>N7</f>
        <v>769</v>
      </c>
      <c r="D24" s="331">
        <f>'G2 BGR-MT Servente'!G112</f>
        <v>6394.7213130740874</v>
      </c>
      <c r="E24" s="331">
        <f>(B24/C24)*D24</f>
        <v>8.3156323967153281</v>
      </c>
    </row>
    <row r="25" spans="1:8" s="329" customFormat="1" ht="28.5" customHeight="1" x14ac:dyDescent="0.25">
      <c r="A25" s="333" t="s">
        <v>302</v>
      </c>
      <c r="B25" s="333"/>
      <c r="C25" s="333"/>
      <c r="D25" s="333"/>
      <c r="E25" s="334">
        <f>SUM(E24:E24)</f>
        <v>8.3156323967153281</v>
      </c>
    </row>
    <row r="26" spans="1:8" s="329" customFormat="1" ht="28.5" customHeight="1" x14ac:dyDescent="0.25">
      <c r="A26" s="330" t="s">
        <v>311</v>
      </c>
      <c r="B26" s="330"/>
      <c r="C26" s="330"/>
      <c r="D26" s="330"/>
      <c r="E26" s="330"/>
    </row>
    <row r="27" spans="1:8" s="329" customFormat="1" ht="28.5" customHeight="1" x14ac:dyDescent="0.25">
      <c r="A27" s="157" t="s">
        <v>382</v>
      </c>
      <c r="B27" s="120">
        <v>1</v>
      </c>
      <c r="C27" s="336">
        <f>N8</f>
        <v>2564</v>
      </c>
      <c r="D27" s="331">
        <f>'G2 BGR-MT Servente'!G112</f>
        <v>6394.7213130740874</v>
      </c>
      <c r="E27" s="331">
        <f>(B27/C27)*D27</f>
        <v>2.4940410737418439</v>
      </c>
    </row>
    <row r="28" spans="1:8" s="329" customFormat="1" ht="28.5" customHeight="1" x14ac:dyDescent="0.25">
      <c r="A28" s="333" t="s">
        <v>302</v>
      </c>
      <c r="B28" s="333"/>
      <c r="C28" s="333"/>
      <c r="D28" s="333"/>
      <c r="E28" s="334">
        <f>SUM(E27:E27)</f>
        <v>2.4940410737418439</v>
      </c>
    </row>
    <row r="29" spans="1:8" s="329" customFormat="1" ht="28.5" customHeight="1" x14ac:dyDescent="0.25">
      <c r="A29" s="330" t="s">
        <v>337</v>
      </c>
      <c r="B29" s="330"/>
      <c r="C29" s="330"/>
      <c r="D29" s="330"/>
      <c r="E29" s="330"/>
    </row>
    <row r="30" spans="1:8" s="329" customFormat="1" ht="28.5" customHeight="1" x14ac:dyDescent="0.25">
      <c r="A30" s="157" t="s">
        <v>382</v>
      </c>
      <c r="B30" s="120">
        <v>1</v>
      </c>
      <c r="C30" s="336">
        <f>N9</f>
        <v>769</v>
      </c>
      <c r="D30" s="331">
        <f>'G2 BGR-MT Servente'!G112</f>
        <v>6394.7213130740874</v>
      </c>
      <c r="E30" s="331">
        <f>(B30/C30)*D30</f>
        <v>8.3156323967153281</v>
      </c>
    </row>
    <row r="31" spans="1:8" s="329" customFormat="1" ht="28.5" customHeight="1" x14ac:dyDescent="0.25">
      <c r="A31" s="333" t="s">
        <v>302</v>
      </c>
      <c r="B31" s="333"/>
      <c r="C31" s="333"/>
      <c r="D31" s="333"/>
      <c r="E31" s="334">
        <f>SUM(E30:E30)</f>
        <v>8.3156323967153281</v>
      </c>
    </row>
    <row r="32" spans="1:8" ht="28.5" customHeight="1" x14ac:dyDescent="0.25">
      <c r="A32" s="330" t="s">
        <v>313</v>
      </c>
      <c r="B32" s="330"/>
      <c r="C32" s="330"/>
      <c r="D32" s="330"/>
      <c r="E32" s="330"/>
      <c r="F32" s="330"/>
      <c r="G32" s="330"/>
      <c r="H32" s="330"/>
    </row>
    <row r="33" spans="1:8" ht="28.5" customHeight="1" x14ac:dyDescent="0.25">
      <c r="A33" s="330" t="s">
        <v>314</v>
      </c>
      <c r="B33" s="330"/>
      <c r="C33" s="330"/>
      <c r="D33" s="330"/>
      <c r="E33" s="330"/>
      <c r="F33" s="330"/>
      <c r="G33" s="330"/>
      <c r="H33" s="330"/>
    </row>
    <row r="34" spans="1:8" ht="71.25" customHeight="1" x14ac:dyDescent="0.25">
      <c r="A34" s="176" t="s">
        <v>293</v>
      </c>
      <c r="B34" s="248" t="s">
        <v>360</v>
      </c>
      <c r="C34" s="250"/>
      <c r="D34" s="176" t="s">
        <v>316</v>
      </c>
      <c r="E34" s="176" t="s">
        <v>317</v>
      </c>
      <c r="F34" s="176" t="s">
        <v>318</v>
      </c>
      <c r="G34" s="176" t="s">
        <v>319</v>
      </c>
      <c r="H34" s="176" t="s">
        <v>320</v>
      </c>
    </row>
    <row r="35" spans="1:8" ht="39.75" customHeight="1" x14ac:dyDescent="0.25">
      <c r="A35" s="157" t="s">
        <v>382</v>
      </c>
      <c r="B35" s="120">
        <v>1</v>
      </c>
      <c r="C35" s="120">
        <f>N10</f>
        <v>108</v>
      </c>
      <c r="D35" s="120">
        <v>16</v>
      </c>
      <c r="E35" s="120" t="s">
        <v>321</v>
      </c>
      <c r="F35" s="340">
        <f>(B35/C35)*16*(1/188.76)</f>
        <v>7.8484926969775459E-4</v>
      </c>
      <c r="G35" s="331">
        <f>'G2 BGR-MT Servente'!G112</f>
        <v>6394.7213130740874</v>
      </c>
      <c r="H35" s="331">
        <f>G35*F35</f>
        <v>5.0188923524868638</v>
      </c>
    </row>
    <row r="36" spans="1:8" s="329" customFormat="1" ht="39.75" customHeight="1" x14ac:dyDescent="0.25">
      <c r="A36" s="341" t="s">
        <v>302</v>
      </c>
      <c r="B36" s="342"/>
      <c r="C36" s="342"/>
      <c r="D36" s="342"/>
      <c r="E36" s="342"/>
      <c r="F36" s="342"/>
      <c r="G36" s="343"/>
      <c r="H36" s="334">
        <f>SUM(H35:H35)</f>
        <v>5.0188923524868638</v>
      </c>
    </row>
    <row r="37" spans="1:8" ht="39.75" customHeight="1" x14ac:dyDescent="0.25">
      <c r="A37" s="330" t="s">
        <v>322</v>
      </c>
      <c r="B37" s="330"/>
      <c r="C37" s="330"/>
      <c r="D37" s="330"/>
      <c r="E37" s="330"/>
      <c r="F37" s="330"/>
      <c r="G37" s="330"/>
      <c r="H37" s="330"/>
    </row>
    <row r="38" spans="1:8" ht="39.75" customHeight="1" thickBot="1" x14ac:dyDescent="0.3">
      <c r="A38" s="344" t="s">
        <v>323</v>
      </c>
      <c r="B38" s="345"/>
      <c r="C38" s="345"/>
      <c r="D38" s="345"/>
      <c r="E38" s="345"/>
      <c r="F38" s="345"/>
      <c r="G38" s="345"/>
      <c r="H38" s="345"/>
    </row>
    <row r="39" spans="1:8" ht="70.5" customHeight="1" x14ac:dyDescent="0.25">
      <c r="A39" s="176" t="s">
        <v>293</v>
      </c>
      <c r="B39" s="262" t="s">
        <v>360</v>
      </c>
      <c r="C39" s="263"/>
      <c r="D39" s="176" t="s">
        <v>316</v>
      </c>
      <c r="E39" s="176" t="s">
        <v>317</v>
      </c>
      <c r="F39" s="176" t="s">
        <v>318</v>
      </c>
      <c r="G39" s="176" t="s">
        <v>319</v>
      </c>
      <c r="H39" s="176" t="s">
        <v>320</v>
      </c>
    </row>
    <row r="40" spans="1:8" ht="39.75" customHeight="1" x14ac:dyDescent="0.25">
      <c r="A40" s="157" t="s">
        <v>382</v>
      </c>
      <c r="B40" s="120">
        <v>1</v>
      </c>
      <c r="C40" s="120">
        <f>N11</f>
        <v>108</v>
      </c>
      <c r="D40" s="120">
        <v>16</v>
      </c>
      <c r="E40" s="120" t="s">
        <v>321</v>
      </c>
      <c r="F40" s="340">
        <f>(B40/C40)*16*(1/188.76)</f>
        <v>7.8484926969775459E-4</v>
      </c>
      <c r="G40" s="331">
        <f>'G2 BGR-MT Servente'!G112</f>
        <v>6394.7213130740874</v>
      </c>
      <c r="H40" s="331">
        <f>G40*F40</f>
        <v>5.0188923524868638</v>
      </c>
    </row>
    <row r="41" spans="1:8" s="329" customFormat="1" ht="39.75" customHeight="1" x14ac:dyDescent="0.25">
      <c r="A41" s="341" t="s">
        <v>302</v>
      </c>
      <c r="B41" s="342"/>
      <c r="C41" s="342"/>
      <c r="D41" s="342"/>
      <c r="E41" s="342"/>
      <c r="F41" s="342"/>
      <c r="G41" s="343"/>
      <c r="H41" s="334">
        <f>SUM(H40:H40)</f>
        <v>5.0188923524868638</v>
      </c>
    </row>
    <row r="43" spans="1:8" x14ac:dyDescent="0.25">
      <c r="A43" s="346"/>
      <c r="B43" s="346"/>
      <c r="C43" s="346"/>
      <c r="D43" s="347"/>
      <c r="E43" s="347"/>
      <c r="F43" s="347"/>
      <c r="G43" s="347"/>
      <c r="H43" s="347"/>
    </row>
    <row r="44" spans="1:8" ht="43.5" customHeight="1" x14ac:dyDescent="0.25">
      <c r="A44" s="348"/>
      <c r="B44" s="348"/>
      <c r="C44" s="348"/>
      <c r="D44" s="348"/>
      <c r="E44" s="348"/>
      <c r="F44" s="348"/>
      <c r="G44" s="348"/>
      <c r="H44" s="348"/>
    </row>
  </sheetData>
  <mergeCells count="45">
    <mergeCell ref="A20:B22"/>
    <mergeCell ref="A18:D18"/>
    <mergeCell ref="A9:D9"/>
    <mergeCell ref="I9:K9"/>
    <mergeCell ref="I10:K10"/>
    <mergeCell ref="I11:K11"/>
    <mergeCell ref="A10:E10"/>
    <mergeCell ref="A12:D12"/>
    <mergeCell ref="A13:E13"/>
    <mergeCell ref="A15:D15"/>
    <mergeCell ref="A16:E16"/>
    <mergeCell ref="A19:E19"/>
    <mergeCell ref="I12:N14"/>
    <mergeCell ref="A23:E23"/>
    <mergeCell ref="A25:D25"/>
    <mergeCell ref="A43:C43"/>
    <mergeCell ref="B39:C39"/>
    <mergeCell ref="B34:C34"/>
    <mergeCell ref="A26:E26"/>
    <mergeCell ref="A28:D28"/>
    <mergeCell ref="A29:E29"/>
    <mergeCell ref="A31:D31"/>
    <mergeCell ref="A44:H44"/>
    <mergeCell ref="I1:N1"/>
    <mergeCell ref="I2:K2"/>
    <mergeCell ref="I3:K3"/>
    <mergeCell ref="I4:K4"/>
    <mergeCell ref="I5:K5"/>
    <mergeCell ref="I6:K6"/>
    <mergeCell ref="I7:K7"/>
    <mergeCell ref="I8:K8"/>
    <mergeCell ref="A36:G36"/>
    <mergeCell ref="A37:H37"/>
    <mergeCell ref="A38:H38"/>
    <mergeCell ref="A41:G41"/>
    <mergeCell ref="A32:H32"/>
    <mergeCell ref="A33:H33"/>
    <mergeCell ref="A1:E1"/>
    <mergeCell ref="A2:E2"/>
    <mergeCell ref="A3:E3"/>
    <mergeCell ref="A4:A6"/>
    <mergeCell ref="A7:E7"/>
    <mergeCell ref="B5:C5"/>
    <mergeCell ref="B4:C4"/>
    <mergeCell ref="B6:C6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43C5-6610-45EC-84C6-E650FE9C230D}">
  <sheetPr>
    <pageSetUpPr fitToPage="1"/>
  </sheetPr>
  <dimension ref="A1:ALZ114"/>
  <sheetViews>
    <sheetView showGridLines="0" topLeftCell="A9" zoomScaleNormal="100" workbookViewId="0">
      <selection activeCell="D17" sqref="D17:E17"/>
    </sheetView>
  </sheetViews>
  <sheetFormatPr defaultColWidth="9.140625"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5" customWidth="1"/>
    <col min="1026" max="16384" width="9.140625" style="75"/>
  </cols>
  <sheetData>
    <row r="1" spans="1:7" ht="28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37" t="s">
        <v>108</v>
      </c>
      <c r="B3" s="237"/>
      <c r="C3" s="237"/>
      <c r="D3" s="237"/>
      <c r="E3" s="237"/>
      <c r="F3" s="237"/>
      <c r="G3" s="237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29" t="s">
        <v>1</v>
      </c>
      <c r="B5" s="229"/>
      <c r="C5" s="229"/>
      <c r="D5" s="229"/>
      <c r="E5" s="229"/>
      <c r="F5" s="229"/>
      <c r="G5" s="229"/>
    </row>
    <row r="6" spans="1:7" ht="21.75" customHeight="1" x14ac:dyDescent="0.2">
      <c r="A6" s="229" t="s">
        <v>2</v>
      </c>
      <c r="B6" s="229"/>
      <c r="C6" s="229"/>
      <c r="D6" s="229"/>
      <c r="E6" s="229"/>
      <c r="F6" s="229"/>
      <c r="G6" s="22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238" t="s">
        <v>3</v>
      </c>
      <c r="B8" s="238"/>
      <c r="C8" s="238"/>
      <c r="D8" s="238"/>
      <c r="E8" s="238"/>
      <c r="F8" s="238"/>
      <c r="G8" s="238"/>
    </row>
    <row r="9" spans="1:7" s="6" customFormat="1" ht="3.75" customHeight="1" x14ac:dyDescent="0.2">
      <c r="A9" s="239"/>
      <c r="B9" s="239"/>
      <c r="C9" s="239"/>
      <c r="D9" s="239"/>
      <c r="E9" s="239"/>
      <c r="F9" s="239"/>
      <c r="G9" s="239"/>
    </row>
    <row r="10" spans="1:7" s="6" customFormat="1" ht="21.75" customHeight="1" x14ac:dyDescent="0.25">
      <c r="A10" s="197" t="s">
        <v>4</v>
      </c>
      <c r="B10" s="197"/>
      <c r="C10" s="197"/>
      <c r="D10" s="197"/>
      <c r="E10" s="197"/>
      <c r="F10" s="197"/>
      <c r="G10" s="197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160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157</v>
      </c>
    </row>
    <row r="13" spans="1:7" s="6" customFormat="1" ht="34.5" customHeight="1" x14ac:dyDescent="0.25">
      <c r="A13" s="11" t="s">
        <v>9</v>
      </c>
      <c r="B13" s="233" t="s">
        <v>10</v>
      </c>
      <c r="C13" s="233"/>
      <c r="D13" s="233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33" t="s">
        <v>19</v>
      </c>
      <c r="C17" s="234"/>
      <c r="D17" s="235"/>
      <c r="E17" s="235"/>
      <c r="F17" s="22"/>
      <c r="G17" s="24">
        <v>1511.95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33" t="s">
        <v>26</v>
      </c>
      <c r="C20" s="233"/>
      <c r="D20" s="233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198" t="s">
        <v>27</v>
      </c>
      <c r="B22" s="198"/>
      <c r="C22" s="198"/>
      <c r="D22" s="198"/>
      <c r="E22" s="198"/>
      <c r="F22" s="198"/>
      <c r="G22" s="198"/>
    </row>
    <row r="23" spans="1:7" s="1" customFormat="1" ht="19.5" customHeight="1" x14ac:dyDescent="0.25">
      <c r="A23" s="240"/>
      <c r="B23" s="240"/>
      <c r="C23" s="240"/>
      <c r="D23" s="240"/>
      <c r="E23" s="240"/>
      <c r="F23" s="240"/>
      <c r="G23" s="28" t="s">
        <v>28</v>
      </c>
    </row>
    <row r="24" spans="1:7" s="1" customFormat="1" ht="32.25" customHeight="1" x14ac:dyDescent="0.25">
      <c r="A24" s="29" t="s">
        <v>5</v>
      </c>
      <c r="B24" s="30" t="s">
        <v>29</v>
      </c>
      <c r="C24" s="31"/>
      <c r="D24" s="235" t="s">
        <v>364</v>
      </c>
      <c r="E24" s="235"/>
      <c r="F24" s="31"/>
      <c r="G24" s="173">
        <f>G17</f>
        <v>1511.95</v>
      </c>
    </row>
    <row r="25" spans="1:7" s="1" customFormat="1" ht="45" x14ac:dyDescent="0.25">
      <c r="A25" s="29" t="s">
        <v>7</v>
      </c>
      <c r="B25" s="33" t="s">
        <v>113</v>
      </c>
      <c r="C25" s="34"/>
      <c r="D25" s="174" t="s">
        <v>359</v>
      </c>
      <c r="E25" s="193">
        <v>0.4</v>
      </c>
      <c r="F25" s="193"/>
      <c r="G25" s="173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348</v>
      </c>
      <c r="C26" s="34"/>
      <c r="D26" s="235" t="s">
        <v>347</v>
      </c>
      <c r="E26" s="235"/>
      <c r="F26" s="22"/>
      <c r="G26" s="24">
        <v>58.49</v>
      </c>
    </row>
    <row r="27" spans="1:7" s="1" customFormat="1" ht="21.75" customHeight="1" x14ac:dyDescent="0.25">
      <c r="A27" s="197" t="s">
        <v>30</v>
      </c>
      <c r="B27" s="197"/>
      <c r="C27" s="197"/>
      <c r="D27" s="197"/>
      <c r="E27" s="197"/>
      <c r="F27" s="197"/>
      <c r="G27" s="35">
        <f>SUM(G24:G26)</f>
        <v>2135.2399999999998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198" t="s">
        <v>31</v>
      </c>
      <c r="B29" s="198"/>
      <c r="C29" s="198"/>
      <c r="D29" s="198"/>
      <c r="E29" s="198"/>
      <c r="F29" s="198"/>
      <c r="G29" s="198"/>
    </row>
    <row r="30" spans="1:7" s="1" customFormat="1" ht="19.5" customHeight="1" x14ac:dyDescent="0.25">
      <c r="A30" s="208" t="s">
        <v>32</v>
      </c>
      <c r="B30" s="208"/>
      <c r="C30" s="208"/>
      <c r="D30" s="208"/>
      <c r="E30" s="208"/>
      <c r="F30" s="208"/>
      <c r="G30" s="208"/>
    </row>
    <row r="31" spans="1:7" s="1" customFormat="1" ht="19.5" customHeight="1" x14ac:dyDescent="0.25">
      <c r="A31" s="196"/>
      <c r="B31" s="196"/>
      <c r="C31" s="196"/>
      <c r="D31" s="196"/>
      <c r="E31" s="232" t="s">
        <v>33</v>
      </c>
      <c r="F31" s="232"/>
      <c r="G31" s="28" t="s">
        <v>28</v>
      </c>
    </row>
    <row r="32" spans="1:7" ht="19.5" customHeight="1" x14ac:dyDescent="0.2">
      <c r="A32" s="36" t="s">
        <v>5</v>
      </c>
      <c r="B32" s="229" t="s">
        <v>34</v>
      </c>
      <c r="C32" s="229"/>
      <c r="D32" s="229"/>
      <c r="E32" s="193">
        <v>8.3299999999999999E-2</v>
      </c>
      <c r="F32" s="193"/>
      <c r="G32" s="37">
        <f>ROUND($E$32*$G$27,2)</f>
        <v>177.87</v>
      </c>
    </row>
    <row r="33" spans="1:7" ht="49.5" customHeight="1" x14ac:dyDescent="0.2">
      <c r="A33" s="36" t="s">
        <v>7</v>
      </c>
      <c r="B33" s="213" t="s">
        <v>35</v>
      </c>
      <c r="C33" s="229"/>
      <c r="D33" s="229"/>
      <c r="E33" s="230">
        <v>2.7799999999999998E-2</v>
      </c>
      <c r="F33" s="230"/>
      <c r="G33" s="37">
        <f>ROUND($E$33*$G$27,2)</f>
        <v>59.36</v>
      </c>
    </row>
    <row r="34" spans="1:7" ht="19.5" customHeight="1" x14ac:dyDescent="0.2">
      <c r="A34" s="208" t="s">
        <v>36</v>
      </c>
      <c r="B34" s="208"/>
      <c r="C34" s="208"/>
      <c r="D34" s="208"/>
      <c r="E34" s="231">
        <f>SUM(E32:E33)</f>
        <v>0.1111</v>
      </c>
      <c r="F34" s="231"/>
      <c r="G34" s="38">
        <f>SUM(G32:G33)</f>
        <v>237.23000000000002</v>
      </c>
    </row>
    <row r="35" spans="1:7" s="39" customFormat="1" ht="19.5" customHeight="1" x14ac:dyDescent="0.25">
      <c r="A35" s="208" t="s">
        <v>37</v>
      </c>
      <c r="B35" s="208"/>
      <c r="C35" s="208"/>
      <c r="D35" s="208"/>
      <c r="E35" s="208"/>
      <c r="F35" s="208"/>
      <c r="G35" s="208"/>
    </row>
    <row r="36" spans="1:7" s="39" customFormat="1" ht="39" customHeight="1" x14ac:dyDescent="0.25">
      <c r="A36" s="36" t="s">
        <v>5</v>
      </c>
      <c r="B36" s="33" t="s">
        <v>38</v>
      </c>
      <c r="C36" s="40"/>
      <c r="D36" s="224" t="s">
        <v>39</v>
      </c>
      <c r="E36" s="224"/>
      <c r="F36" s="41">
        <v>0.2</v>
      </c>
      <c r="G36" s="37">
        <f>ROUND(F36*($G$27+$G$34),2)</f>
        <v>474.49</v>
      </c>
    </row>
    <row r="37" spans="1:7" s="39" customFormat="1" ht="39" customHeight="1" x14ac:dyDescent="0.25">
      <c r="A37" s="36" t="s">
        <v>7</v>
      </c>
      <c r="B37" s="33" t="s">
        <v>40</v>
      </c>
      <c r="C37" s="40"/>
      <c r="D37" s="224" t="s">
        <v>41</v>
      </c>
      <c r="E37" s="224"/>
      <c r="F37" s="42">
        <v>2.5000000000000001E-2</v>
      </c>
      <c r="G37" s="37">
        <f t="shared" ref="G37:G43" si="0">ROUND(F37*($G$27+$G$34),2)</f>
        <v>59.31</v>
      </c>
    </row>
    <row r="38" spans="1:7" s="39" customFormat="1" ht="62.25" customHeight="1" x14ac:dyDescent="0.25">
      <c r="A38" s="36" t="s">
        <v>9</v>
      </c>
      <c r="B38" s="222" t="s">
        <v>42</v>
      </c>
      <c r="C38" s="228"/>
      <c r="D38" s="224" t="s">
        <v>43</v>
      </c>
      <c r="E38" s="224"/>
      <c r="F38" s="43">
        <v>0.06</v>
      </c>
      <c r="G38" s="37">
        <f t="shared" si="0"/>
        <v>142.35</v>
      </c>
    </row>
    <row r="39" spans="1:7" s="39" customFormat="1" ht="48" customHeight="1" x14ac:dyDescent="0.25">
      <c r="A39" s="36" t="s">
        <v>11</v>
      </c>
      <c r="B39" s="33" t="s">
        <v>44</v>
      </c>
      <c r="C39" s="40"/>
      <c r="D39" s="224" t="s">
        <v>41</v>
      </c>
      <c r="E39" s="224"/>
      <c r="F39" s="42">
        <v>1.4999999999999999E-2</v>
      </c>
      <c r="G39" s="37">
        <f t="shared" si="0"/>
        <v>35.590000000000003</v>
      </c>
    </row>
    <row r="40" spans="1:7" s="39" customFormat="1" ht="43.5" customHeight="1" x14ac:dyDescent="0.25">
      <c r="A40" s="36" t="s">
        <v>13</v>
      </c>
      <c r="B40" s="33" t="s">
        <v>45</v>
      </c>
      <c r="C40" s="40"/>
      <c r="D40" s="224" t="s">
        <v>41</v>
      </c>
      <c r="E40" s="224"/>
      <c r="F40" s="42">
        <v>0.01</v>
      </c>
      <c r="G40" s="37">
        <f t="shared" si="0"/>
        <v>23.72</v>
      </c>
    </row>
    <row r="41" spans="1:7" s="39" customFormat="1" ht="42.75" customHeight="1" x14ac:dyDescent="0.25">
      <c r="A41" s="36" t="s">
        <v>15</v>
      </c>
      <c r="B41" s="33" t="s">
        <v>46</v>
      </c>
      <c r="C41" s="40"/>
      <c r="D41" s="224" t="s">
        <v>41</v>
      </c>
      <c r="E41" s="224"/>
      <c r="F41" s="42">
        <v>6.0000000000000001E-3</v>
      </c>
      <c r="G41" s="37">
        <f t="shared" si="0"/>
        <v>14.23</v>
      </c>
    </row>
    <row r="42" spans="1:7" s="39" customFormat="1" ht="46.5" customHeight="1" x14ac:dyDescent="0.25">
      <c r="A42" s="36" t="s">
        <v>18</v>
      </c>
      <c r="B42" s="33" t="s">
        <v>47</v>
      </c>
      <c r="C42" s="40"/>
      <c r="D42" s="224" t="s">
        <v>41</v>
      </c>
      <c r="E42" s="224"/>
      <c r="F42" s="42">
        <v>2E-3</v>
      </c>
      <c r="G42" s="37">
        <f t="shared" si="0"/>
        <v>4.74</v>
      </c>
    </row>
    <row r="43" spans="1:7" s="39" customFormat="1" ht="48" customHeight="1" x14ac:dyDescent="0.25">
      <c r="A43" s="36" t="s">
        <v>20</v>
      </c>
      <c r="B43" s="33" t="s">
        <v>48</v>
      </c>
      <c r="C43" s="40"/>
      <c r="D43" s="224" t="s">
        <v>41</v>
      </c>
      <c r="E43" s="224"/>
      <c r="F43" s="42">
        <v>0.08</v>
      </c>
      <c r="G43" s="37">
        <f t="shared" si="0"/>
        <v>189.8</v>
      </c>
    </row>
    <row r="44" spans="1:7" s="39" customFormat="1" ht="19.5" customHeight="1" x14ac:dyDescent="0.25">
      <c r="A44" s="225" t="s">
        <v>49</v>
      </c>
      <c r="B44" s="226"/>
      <c r="C44" s="226"/>
      <c r="D44" s="226"/>
      <c r="E44" s="227"/>
      <c r="F44" s="44">
        <f>SUM(F36:F43)</f>
        <v>0.39800000000000008</v>
      </c>
      <c r="G44" s="45">
        <f>SUM(G36:G43)</f>
        <v>944.23</v>
      </c>
    </row>
    <row r="45" spans="1:7" ht="19.5" customHeight="1" x14ac:dyDescent="0.2">
      <c r="A45" s="208" t="s">
        <v>50</v>
      </c>
      <c r="B45" s="208"/>
      <c r="C45" s="208"/>
      <c r="D45" s="208"/>
      <c r="E45" s="208"/>
      <c r="F45" s="208"/>
      <c r="G45" s="208"/>
    </row>
    <row r="46" spans="1:7" ht="57.75" customHeight="1" x14ac:dyDescent="0.2">
      <c r="A46" s="46" t="s">
        <v>5</v>
      </c>
      <c r="B46" s="194" t="s">
        <v>51</v>
      </c>
      <c r="C46" s="195"/>
      <c r="D46" s="47" t="s">
        <v>349</v>
      </c>
      <c r="E46" s="37">
        <v>22</v>
      </c>
      <c r="F46" s="48">
        <v>0.05</v>
      </c>
      <c r="G46" s="37">
        <f>ROUND((E46*22)*(1-F46),2)</f>
        <v>459.8</v>
      </c>
    </row>
    <row r="47" spans="1:7" ht="70.5" customHeight="1" x14ac:dyDescent="0.2">
      <c r="A47" s="36" t="s">
        <v>7</v>
      </c>
      <c r="B47" s="194" t="s">
        <v>52</v>
      </c>
      <c r="C47" s="195"/>
      <c r="D47" s="47" t="s">
        <v>161</v>
      </c>
      <c r="E47" s="37">
        <v>4.0999999999999996</v>
      </c>
      <c r="F47" s="48">
        <v>0.06</v>
      </c>
      <c r="G47" s="37">
        <f>ROUND((E47*2*22)-(0.06*$G$24),2)</f>
        <v>89.68</v>
      </c>
    </row>
    <row r="48" spans="1:7" ht="70.5" customHeight="1" x14ac:dyDescent="0.2">
      <c r="A48" s="36" t="s">
        <v>9</v>
      </c>
      <c r="B48" s="199" t="s">
        <v>350</v>
      </c>
      <c r="C48" s="201"/>
      <c r="D48" s="47" t="s">
        <v>351</v>
      </c>
      <c r="E48" s="37"/>
      <c r="F48" s="49"/>
      <c r="G48" s="37">
        <v>152</v>
      </c>
    </row>
    <row r="49" spans="1:9" ht="40.5" customHeight="1" x14ac:dyDescent="0.2">
      <c r="A49" s="36" t="s">
        <v>11</v>
      </c>
      <c r="B49" s="199" t="s">
        <v>114</v>
      </c>
      <c r="C49" s="201"/>
      <c r="D49" s="47"/>
      <c r="E49" s="37"/>
      <c r="F49" s="49"/>
      <c r="G49" s="37">
        <f>E49</f>
        <v>0</v>
      </c>
    </row>
    <row r="50" spans="1:9" ht="31.5" customHeight="1" x14ac:dyDescent="0.2">
      <c r="A50" s="208" t="s">
        <v>53</v>
      </c>
      <c r="B50" s="208"/>
      <c r="C50" s="208"/>
      <c r="D50" s="208"/>
      <c r="E50" s="208"/>
      <c r="F50" s="208"/>
      <c r="G50" s="38">
        <f>SUM(G46:G49)</f>
        <v>701.48</v>
      </c>
    </row>
    <row r="51" spans="1:9" ht="31.5" customHeight="1" x14ac:dyDescent="0.2">
      <c r="A51" s="209" t="s">
        <v>54</v>
      </c>
      <c r="B51" s="209"/>
      <c r="C51" s="209"/>
      <c r="D51" s="209"/>
      <c r="E51" s="209"/>
      <c r="F51" s="209"/>
      <c r="G51" s="50">
        <f>SUM(G50,G44,G34)</f>
        <v>1882.94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198" t="s">
        <v>55</v>
      </c>
      <c r="B53" s="198"/>
      <c r="C53" s="198"/>
      <c r="D53" s="198"/>
      <c r="E53" s="198"/>
      <c r="F53" s="198"/>
      <c r="G53" s="198"/>
    </row>
    <row r="54" spans="1:9" ht="80.25" customHeight="1" x14ac:dyDescent="0.2">
      <c r="A54" s="204" t="s">
        <v>5</v>
      </c>
      <c r="B54" s="213" t="s">
        <v>56</v>
      </c>
      <c r="C54" s="213"/>
      <c r="D54" s="213"/>
      <c r="E54" s="193">
        <f>(1/12)*D55</f>
        <v>4.1666666666666666E-3</v>
      </c>
      <c r="F54" s="193"/>
      <c r="G54" s="218">
        <f>ROUND($G$27+$G$34,0)*E54</f>
        <v>9.8833333333333329</v>
      </c>
    </row>
    <row r="55" spans="1:9" ht="77.25" customHeight="1" x14ac:dyDescent="0.2">
      <c r="A55" s="204"/>
      <c r="B55" s="223" t="s">
        <v>57</v>
      </c>
      <c r="C55" s="223"/>
      <c r="D55" s="51">
        <v>0.05</v>
      </c>
      <c r="E55" s="193"/>
      <c r="F55" s="193"/>
      <c r="G55" s="218"/>
    </row>
    <row r="56" spans="1:9" ht="42.75" customHeight="1" x14ac:dyDescent="0.2">
      <c r="A56" s="36" t="s">
        <v>7</v>
      </c>
      <c r="B56" s="213" t="s">
        <v>58</v>
      </c>
      <c r="C56" s="213"/>
      <c r="D56" s="213"/>
      <c r="E56" s="193">
        <v>0.08</v>
      </c>
      <c r="F56" s="193"/>
      <c r="G56" s="37">
        <f>ROUND(G54*E56,2)</f>
        <v>0.79</v>
      </c>
      <c r="H56" s="52"/>
      <c r="I56" s="52"/>
    </row>
    <row r="57" spans="1:9" ht="53.25" customHeight="1" x14ac:dyDescent="0.2">
      <c r="A57" s="36" t="s">
        <v>9</v>
      </c>
      <c r="B57" s="194" t="s">
        <v>59</v>
      </c>
      <c r="C57" s="222"/>
      <c r="D57" s="195"/>
      <c r="E57" s="193">
        <f>(7/30)/12</f>
        <v>1.9444444444444445E-2</v>
      </c>
      <c r="F57" s="193"/>
      <c r="G57" s="37">
        <f>ROUND((($G$27+$G$34)*E57),2)</f>
        <v>46.13</v>
      </c>
    </row>
    <row r="58" spans="1:9" ht="37.5" customHeight="1" x14ac:dyDescent="0.2">
      <c r="A58" s="36" t="s">
        <v>11</v>
      </c>
      <c r="B58" s="213" t="s">
        <v>60</v>
      </c>
      <c r="C58" s="213"/>
      <c r="D58" s="213"/>
      <c r="E58" s="193">
        <f>F44</f>
        <v>0.39800000000000008</v>
      </c>
      <c r="F58" s="193"/>
      <c r="G58" s="37">
        <f>ROUND(E58*G57,2)</f>
        <v>18.36</v>
      </c>
    </row>
    <row r="59" spans="1:9" ht="64.5" customHeight="1" x14ac:dyDescent="0.2">
      <c r="A59" s="36" t="s">
        <v>13</v>
      </c>
      <c r="B59" s="213" t="s">
        <v>61</v>
      </c>
      <c r="C59" s="213"/>
      <c r="D59" s="213"/>
      <c r="E59" s="193">
        <v>0.04</v>
      </c>
      <c r="F59" s="193"/>
      <c r="G59" s="37">
        <f>ROUND(E59*($G$27+$G$34),2)</f>
        <v>94.9</v>
      </c>
    </row>
    <row r="60" spans="1:9" ht="21.75" customHeight="1" x14ac:dyDescent="0.2">
      <c r="A60" s="197" t="s">
        <v>62</v>
      </c>
      <c r="B60" s="197"/>
      <c r="C60" s="197"/>
      <c r="D60" s="197"/>
      <c r="E60" s="197"/>
      <c r="F60" s="197"/>
      <c r="G60" s="50">
        <f>ROUND(SUM(G54:G59),2)</f>
        <v>170.06</v>
      </c>
    </row>
    <row r="61" spans="1:9" ht="3.75" customHeight="1" x14ac:dyDescent="0.2">
      <c r="A61" s="53"/>
      <c r="B61" s="54"/>
      <c r="C61" s="54"/>
      <c r="D61" s="54"/>
      <c r="E61" s="54"/>
      <c r="F61" s="54"/>
      <c r="G61" s="54"/>
    </row>
    <row r="62" spans="1:9" ht="21.75" customHeight="1" x14ac:dyDescent="0.2">
      <c r="A62" s="198" t="s">
        <v>63</v>
      </c>
      <c r="B62" s="198"/>
      <c r="C62" s="198"/>
      <c r="D62" s="198"/>
      <c r="E62" s="198"/>
      <c r="F62" s="198"/>
      <c r="G62" s="198"/>
    </row>
    <row r="63" spans="1:9" ht="21.75" customHeight="1" x14ac:dyDescent="0.2">
      <c r="A63" s="208" t="s">
        <v>64</v>
      </c>
      <c r="B63" s="208"/>
      <c r="C63" s="208"/>
      <c r="D63" s="208"/>
      <c r="E63" s="208"/>
      <c r="F63" s="208"/>
      <c r="G63" s="208"/>
    </row>
    <row r="64" spans="1:9" ht="21.75" customHeight="1" x14ac:dyDescent="0.2">
      <c r="A64" s="204" t="s">
        <v>5</v>
      </c>
      <c r="B64" s="213" t="s">
        <v>65</v>
      </c>
      <c r="C64" s="213"/>
      <c r="D64" s="213"/>
      <c r="E64" s="214">
        <v>8.3299999999999999E-2</v>
      </c>
      <c r="F64" s="215"/>
      <c r="G64" s="218">
        <f>E64*($G$27+$G$51+$G$60)</f>
        <v>348.88039199999997</v>
      </c>
    </row>
    <row r="65" spans="1:8" ht="39.75" customHeight="1" x14ac:dyDescent="0.2">
      <c r="A65" s="204"/>
      <c r="B65" s="219" t="s">
        <v>66</v>
      </c>
      <c r="C65" s="220"/>
      <c r="D65" s="221"/>
      <c r="E65" s="216"/>
      <c r="F65" s="217"/>
      <c r="G65" s="218"/>
    </row>
    <row r="66" spans="1:8" x14ac:dyDescent="0.2">
      <c r="A66" s="204" t="s">
        <v>7</v>
      </c>
      <c r="B66" s="213" t="s">
        <v>67</v>
      </c>
      <c r="C66" s="213"/>
      <c r="D66" s="213"/>
      <c r="E66" s="214">
        <f>(6/360)</f>
        <v>1.6666666666666666E-2</v>
      </c>
      <c r="F66" s="215"/>
      <c r="G66" s="218">
        <f>E66*($G$27+$G$34+$G$44)</f>
        <v>55.278333333333329</v>
      </c>
    </row>
    <row r="67" spans="1:8" ht="78" customHeight="1" x14ac:dyDescent="0.2">
      <c r="A67" s="204"/>
      <c r="B67" s="219" t="s">
        <v>68</v>
      </c>
      <c r="C67" s="220"/>
      <c r="D67" s="221"/>
      <c r="E67" s="216"/>
      <c r="F67" s="217"/>
      <c r="G67" s="218"/>
    </row>
    <row r="68" spans="1:8" x14ac:dyDescent="0.2">
      <c r="A68" s="204" t="s">
        <v>9</v>
      </c>
      <c r="B68" s="213" t="s">
        <v>69</v>
      </c>
      <c r="C68" s="213"/>
      <c r="D68" s="213"/>
      <c r="E68" s="214">
        <f>((5/360)*(1.399%))</f>
        <v>1.9430555555555556E-4</v>
      </c>
      <c r="F68" s="215"/>
      <c r="G68" s="218">
        <f>E68*($G$27+$G$34+$G$44)</f>
        <v>0.64445323611111105</v>
      </c>
    </row>
    <row r="69" spans="1:8" ht="57" customHeight="1" x14ac:dyDescent="0.2">
      <c r="A69" s="204"/>
      <c r="B69" s="219" t="s">
        <v>70</v>
      </c>
      <c r="C69" s="220"/>
      <c r="D69" s="221"/>
      <c r="E69" s="216"/>
      <c r="F69" s="217"/>
      <c r="G69" s="218"/>
    </row>
    <row r="70" spans="1:8" x14ac:dyDescent="0.2">
      <c r="A70" s="204" t="s">
        <v>11</v>
      </c>
      <c r="B70" s="213" t="s">
        <v>71</v>
      </c>
      <c r="C70" s="213"/>
      <c r="D70" s="213"/>
      <c r="E70" s="214">
        <f>((15/360)*(2.16%))</f>
        <v>8.9999999999999998E-4</v>
      </c>
      <c r="F70" s="215"/>
      <c r="G70" s="218">
        <f>E70*($G$27+$G$34+$G$44)</f>
        <v>2.9850299999999996</v>
      </c>
    </row>
    <row r="71" spans="1:8" ht="63" customHeight="1" x14ac:dyDescent="0.2">
      <c r="A71" s="204"/>
      <c r="B71" s="219" t="s">
        <v>72</v>
      </c>
      <c r="C71" s="220"/>
      <c r="D71" s="221"/>
      <c r="E71" s="216"/>
      <c r="F71" s="217"/>
      <c r="G71" s="218"/>
    </row>
    <row r="72" spans="1:8" x14ac:dyDescent="0.2">
      <c r="A72" s="204" t="s">
        <v>13</v>
      </c>
      <c r="B72" s="213" t="s">
        <v>73</v>
      </c>
      <c r="C72" s="213"/>
      <c r="D72" s="213"/>
      <c r="E72" s="214">
        <f>((50%)*(1.99%)*(4/12)*(8.93%+8.93%+2.98%))</f>
        <v>6.9119333333333326E-4</v>
      </c>
      <c r="F72" s="215"/>
      <c r="G72" s="218">
        <f>(E72*G27)</f>
        <v>1.4758636530666664</v>
      </c>
    </row>
    <row r="73" spans="1:8" ht="54.75" customHeight="1" x14ac:dyDescent="0.2">
      <c r="A73" s="204"/>
      <c r="B73" s="219" t="s">
        <v>74</v>
      </c>
      <c r="C73" s="220"/>
      <c r="D73" s="221"/>
      <c r="E73" s="216"/>
      <c r="F73" s="217"/>
      <c r="G73" s="218"/>
    </row>
    <row r="74" spans="1:8" ht="19.5" customHeight="1" x14ac:dyDescent="0.2">
      <c r="A74" s="208" t="s">
        <v>75</v>
      </c>
      <c r="B74" s="208"/>
      <c r="C74" s="208"/>
      <c r="D74" s="208"/>
      <c r="E74" s="208"/>
      <c r="F74" s="208"/>
      <c r="G74" s="45">
        <f>SUM(G64:G73)</f>
        <v>409.26407222251106</v>
      </c>
    </row>
    <row r="75" spans="1:8" ht="3.75" customHeight="1" x14ac:dyDescent="0.2">
      <c r="A75" s="55"/>
      <c r="B75" s="56"/>
      <c r="C75" s="56"/>
      <c r="D75" s="56"/>
      <c r="E75" s="56"/>
      <c r="F75" s="56"/>
      <c r="G75" s="56"/>
    </row>
    <row r="76" spans="1:8" ht="3.75" customHeight="1" x14ac:dyDescent="0.2">
      <c r="A76" s="57"/>
      <c r="B76" s="58"/>
      <c r="C76" s="58"/>
      <c r="D76" s="58"/>
      <c r="E76" s="58"/>
      <c r="F76" s="58"/>
      <c r="G76" s="58"/>
    </row>
    <row r="77" spans="1:8" ht="30.75" customHeight="1" x14ac:dyDescent="0.2">
      <c r="A77" s="209" t="s">
        <v>76</v>
      </c>
      <c r="B77" s="209"/>
      <c r="C77" s="209"/>
      <c r="D77" s="209"/>
      <c r="E77" s="209"/>
      <c r="F77" s="209"/>
      <c r="G77" s="59">
        <f>G74</f>
        <v>409.26407222251106</v>
      </c>
    </row>
    <row r="78" spans="1:8" ht="3.75" customHeight="1" x14ac:dyDescent="0.2">
      <c r="A78" s="210"/>
      <c r="B78" s="210"/>
      <c r="C78" s="210"/>
      <c r="D78" s="210"/>
      <c r="E78" s="210"/>
      <c r="F78" s="210"/>
      <c r="G78" s="210"/>
    </row>
    <row r="79" spans="1:8" ht="21.75" customHeight="1" x14ac:dyDescent="0.2">
      <c r="A79" s="198" t="s">
        <v>77</v>
      </c>
      <c r="B79" s="198"/>
      <c r="C79" s="198"/>
      <c r="D79" s="198"/>
      <c r="E79" s="198"/>
      <c r="F79" s="198"/>
      <c r="G79" s="198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7" cm="1">
        <f t="array" ref="G80:H80">'Insumos Diversos'!J92:K92</f>
        <v>47</v>
      </c>
      <c r="H80" s="1">
        <v>0</v>
      </c>
    </row>
    <row r="81" spans="1:7" ht="19.5" customHeight="1" x14ac:dyDescent="0.2">
      <c r="A81" s="60" t="s">
        <v>7</v>
      </c>
      <c r="B81" s="30" t="s">
        <v>274</v>
      </c>
      <c r="C81" s="31"/>
      <c r="D81" s="31"/>
      <c r="E81" s="31"/>
      <c r="F81" s="31"/>
      <c r="G81" s="37">
        <f>'Insumos Diversos'!M48</f>
        <v>371</v>
      </c>
    </row>
    <row r="82" spans="1:7" ht="19.5" customHeight="1" x14ac:dyDescent="0.2">
      <c r="A82" s="61" t="s">
        <v>9</v>
      </c>
      <c r="B82" s="30" t="s">
        <v>79</v>
      </c>
      <c r="C82" s="31"/>
      <c r="D82" s="31"/>
      <c r="E82" s="31"/>
      <c r="F82" s="31"/>
      <c r="G82" s="37">
        <f>'Insumos Diversos'!M76</f>
        <v>8.68</v>
      </c>
    </row>
    <row r="83" spans="1:7" ht="21.75" customHeight="1" x14ac:dyDescent="0.2">
      <c r="A83" s="211" t="s">
        <v>80</v>
      </c>
      <c r="B83" s="211"/>
      <c r="C83" s="211"/>
      <c r="D83" s="211"/>
      <c r="E83" s="211"/>
      <c r="F83" s="211"/>
      <c r="G83" s="35">
        <f>SUM(G80:G82)</f>
        <v>426.68</v>
      </c>
    </row>
    <row r="84" spans="1:7" ht="3.75" customHeight="1" x14ac:dyDescent="0.2">
      <c r="A84" s="212"/>
      <c r="B84" s="212"/>
      <c r="C84" s="212"/>
      <c r="D84" s="212"/>
      <c r="E84" s="212"/>
      <c r="F84" s="212"/>
      <c r="G84" s="212"/>
    </row>
    <row r="85" spans="1:7" ht="23.25" customHeight="1" x14ac:dyDescent="0.2">
      <c r="A85" s="198" t="s">
        <v>81</v>
      </c>
      <c r="B85" s="198"/>
      <c r="C85" s="198"/>
      <c r="D85" s="198"/>
      <c r="E85" s="198"/>
      <c r="F85" s="198"/>
      <c r="G85" s="198"/>
    </row>
    <row r="86" spans="1:7" ht="19.5" customHeight="1" x14ac:dyDescent="0.2">
      <c r="A86" s="36" t="s">
        <v>5</v>
      </c>
      <c r="B86" s="199" t="s">
        <v>82</v>
      </c>
      <c r="C86" s="200"/>
      <c r="D86" s="201"/>
      <c r="E86" s="202">
        <v>0.03</v>
      </c>
      <c r="F86" s="203"/>
      <c r="G86" s="37">
        <f>ROUND((G103)*E86,2)</f>
        <v>150.72999999999999</v>
      </c>
    </row>
    <row r="87" spans="1:7" ht="19.5" customHeight="1" x14ac:dyDescent="0.2">
      <c r="A87" s="36" t="s">
        <v>7</v>
      </c>
      <c r="B87" s="199" t="s">
        <v>83</v>
      </c>
      <c r="C87" s="200"/>
      <c r="D87" s="201"/>
      <c r="E87" s="202">
        <v>6.7900000000000002E-2</v>
      </c>
      <c r="F87" s="203"/>
      <c r="G87" s="37">
        <f>ROUND((G103+$G$86)*E87,2)</f>
        <v>351.38</v>
      </c>
    </row>
    <row r="88" spans="1:7" ht="19.5" customHeight="1" x14ac:dyDescent="0.2">
      <c r="A88" s="204" t="s">
        <v>9</v>
      </c>
      <c r="B88" s="205" t="s">
        <v>84</v>
      </c>
      <c r="C88" s="62"/>
      <c r="D88" s="63"/>
      <c r="E88" s="206">
        <f>SUM(E89:F93)</f>
        <v>0.13250000000000001</v>
      </c>
      <c r="F88" s="207"/>
      <c r="G88" s="64"/>
    </row>
    <row r="89" spans="1:7" ht="19.5" customHeight="1" x14ac:dyDescent="0.2">
      <c r="A89" s="204"/>
      <c r="B89" s="205"/>
      <c r="C89" s="65" t="s">
        <v>85</v>
      </c>
      <c r="D89" s="66" t="s">
        <v>86</v>
      </c>
      <c r="E89" s="193">
        <v>1.6500000000000001E-2</v>
      </c>
      <c r="F89" s="193"/>
      <c r="G89" s="37">
        <f>ROUND((E89)*($G$105),2)</f>
        <v>105.11</v>
      </c>
    </row>
    <row r="90" spans="1:7" ht="19.5" customHeight="1" x14ac:dyDescent="0.2">
      <c r="A90" s="204"/>
      <c r="B90" s="205"/>
      <c r="C90" s="67"/>
      <c r="D90" s="66" t="s">
        <v>87</v>
      </c>
      <c r="E90" s="193">
        <v>7.5999999999999998E-2</v>
      </c>
      <c r="F90" s="193"/>
      <c r="G90" s="37">
        <f>ROUND((E90)*($G$105),2)</f>
        <v>484.15</v>
      </c>
    </row>
    <row r="91" spans="1:7" ht="19.5" customHeight="1" x14ac:dyDescent="0.2">
      <c r="A91" s="204"/>
      <c r="B91" s="205"/>
      <c r="C91" s="68"/>
      <c r="D91" s="66" t="s">
        <v>88</v>
      </c>
      <c r="E91" s="193"/>
      <c r="F91" s="193"/>
      <c r="G91" s="37">
        <f>ROUND((E91)*($G$105),2)</f>
        <v>0</v>
      </c>
    </row>
    <row r="92" spans="1:7" ht="77.25" customHeight="1" x14ac:dyDescent="0.2">
      <c r="A92" s="204"/>
      <c r="B92" s="205"/>
      <c r="C92" s="69" t="s">
        <v>162</v>
      </c>
      <c r="D92" s="66" t="s">
        <v>89</v>
      </c>
      <c r="E92" s="193">
        <v>0.04</v>
      </c>
      <c r="F92" s="193"/>
      <c r="G92" s="37">
        <f>ROUND((E92)*($G$105),2)</f>
        <v>254.81</v>
      </c>
    </row>
    <row r="93" spans="1:7" ht="41.25" customHeight="1" x14ac:dyDescent="0.2">
      <c r="A93" s="204"/>
      <c r="B93" s="205"/>
      <c r="C93" s="194" t="s">
        <v>90</v>
      </c>
      <c r="D93" s="195"/>
      <c r="E93" s="193"/>
      <c r="F93" s="193"/>
      <c r="G93" s="37">
        <f>ROUND((E93)*($G$105),2)</f>
        <v>0</v>
      </c>
    </row>
    <row r="94" spans="1:7" ht="19.5" customHeight="1" x14ac:dyDescent="0.2">
      <c r="A94" s="204"/>
      <c r="B94" s="196" t="s">
        <v>91</v>
      </c>
      <c r="C94" s="196"/>
      <c r="D94" s="196"/>
      <c r="E94" s="196"/>
      <c r="F94" s="196"/>
      <c r="G94" s="70">
        <f>SUM(G89,G90,G91,G92,G93)</f>
        <v>844.06999999999994</v>
      </c>
    </row>
    <row r="95" spans="1:7" ht="21.75" customHeight="1" x14ac:dyDescent="0.2">
      <c r="A95" s="197" t="s">
        <v>92</v>
      </c>
      <c r="B95" s="197"/>
      <c r="C95" s="197"/>
      <c r="D95" s="197"/>
      <c r="E95" s="197"/>
      <c r="F95" s="197"/>
      <c r="G95" s="71">
        <f>SUM(G94,G87,G86)</f>
        <v>1346.1799999999998</v>
      </c>
    </row>
    <row r="96" spans="1:7" ht="3.75" customHeight="1" x14ac:dyDescent="0.2">
      <c r="A96" s="189"/>
      <c r="B96" s="189"/>
      <c r="C96" s="189"/>
      <c r="D96" s="189"/>
      <c r="E96" s="189"/>
      <c r="F96" s="189"/>
      <c r="G96" s="189"/>
    </row>
    <row r="97" spans="1:7" ht="23.25" customHeight="1" x14ac:dyDescent="0.2">
      <c r="A97" s="190" t="s">
        <v>93</v>
      </c>
      <c r="B97" s="190"/>
      <c r="C97" s="190"/>
      <c r="D97" s="190"/>
      <c r="E97" s="190"/>
      <c r="F97" s="190"/>
      <c r="G97" s="190"/>
    </row>
    <row r="98" spans="1:7" ht="19.5" customHeight="1" x14ac:dyDescent="0.2">
      <c r="A98" s="36" t="s">
        <v>5</v>
      </c>
      <c r="B98" s="33" t="s">
        <v>94</v>
      </c>
      <c r="C98" s="40"/>
      <c r="D98" s="40"/>
      <c r="E98" s="40"/>
      <c r="F98" s="40"/>
      <c r="G98" s="32">
        <f>G27</f>
        <v>2135.2399999999998</v>
      </c>
    </row>
    <row r="99" spans="1:7" ht="19.5" customHeight="1" x14ac:dyDescent="0.2">
      <c r="A99" s="36" t="s">
        <v>7</v>
      </c>
      <c r="B99" s="33" t="s">
        <v>95</v>
      </c>
      <c r="C99" s="40"/>
      <c r="D99" s="40"/>
      <c r="E99" s="40"/>
      <c r="F99" s="40"/>
      <c r="G99" s="32">
        <f>G51</f>
        <v>1882.94</v>
      </c>
    </row>
    <row r="100" spans="1:7" ht="19.5" customHeight="1" x14ac:dyDescent="0.2">
      <c r="A100" s="36" t="s">
        <v>9</v>
      </c>
      <c r="B100" s="33" t="s">
        <v>96</v>
      </c>
      <c r="C100" s="40"/>
      <c r="D100" s="40"/>
      <c r="E100" s="40"/>
      <c r="F100" s="40"/>
      <c r="G100" s="32">
        <f>G60</f>
        <v>170.06</v>
      </c>
    </row>
    <row r="101" spans="1:7" ht="19.5" customHeight="1" x14ac:dyDescent="0.2">
      <c r="A101" s="36" t="s">
        <v>11</v>
      </c>
      <c r="B101" s="33" t="s">
        <v>97</v>
      </c>
      <c r="C101" s="40"/>
      <c r="D101" s="40"/>
      <c r="E101" s="40"/>
      <c r="F101" s="40"/>
      <c r="G101" s="32">
        <f>G77</f>
        <v>409.26407222251106</v>
      </c>
    </row>
    <row r="102" spans="1:7" ht="19.5" customHeight="1" x14ac:dyDescent="0.2">
      <c r="A102" s="36" t="s">
        <v>13</v>
      </c>
      <c r="B102" s="33" t="s">
        <v>98</v>
      </c>
      <c r="C102" s="40"/>
      <c r="D102" s="40"/>
      <c r="E102" s="40"/>
      <c r="F102" s="40"/>
      <c r="G102" s="32">
        <f>G83</f>
        <v>426.68</v>
      </c>
    </row>
    <row r="103" spans="1:7" ht="19.5" customHeight="1" x14ac:dyDescent="0.2">
      <c r="A103" s="191" t="s">
        <v>99</v>
      </c>
      <c r="B103" s="192"/>
      <c r="C103" s="192"/>
      <c r="D103" s="192"/>
      <c r="E103" s="192"/>
      <c r="F103" s="192"/>
      <c r="G103" s="72">
        <f>SUM(G98:G102)</f>
        <v>5024.1840722225115</v>
      </c>
    </row>
    <row r="104" spans="1:7" ht="19.5" customHeight="1" x14ac:dyDescent="0.2">
      <c r="A104" s="36" t="s">
        <v>15</v>
      </c>
      <c r="B104" s="33" t="s">
        <v>100</v>
      </c>
      <c r="C104" s="40"/>
      <c r="D104" s="40"/>
      <c r="E104" s="40"/>
      <c r="F104" s="40"/>
      <c r="G104" s="32">
        <f>G95</f>
        <v>1346.1799999999998</v>
      </c>
    </row>
    <row r="105" spans="1:7" ht="43.5" customHeight="1" x14ac:dyDescent="0.2">
      <c r="A105" s="185" t="s">
        <v>101</v>
      </c>
      <c r="B105" s="185"/>
      <c r="C105" s="185"/>
      <c r="D105" s="185"/>
      <c r="E105" s="185"/>
      <c r="F105" s="185"/>
      <c r="G105" s="73">
        <f>SUM(G103+G86+G87)/(1-E88)</f>
        <v>6370.3678065965551</v>
      </c>
    </row>
    <row r="106" spans="1:7" ht="3.75" customHeight="1" x14ac:dyDescent="0.2">
      <c r="A106" s="189"/>
      <c r="B106" s="189"/>
      <c r="C106" s="189"/>
      <c r="D106" s="189"/>
      <c r="E106" s="189"/>
      <c r="F106" s="189"/>
      <c r="G106" s="189"/>
    </row>
    <row r="107" spans="1:7" ht="22.5" customHeight="1" x14ac:dyDescent="0.2">
      <c r="A107" s="187" t="s">
        <v>102</v>
      </c>
      <c r="B107" s="187"/>
      <c r="C107" s="187"/>
      <c r="D107" s="187"/>
      <c r="E107" s="187"/>
      <c r="F107" s="187"/>
      <c r="G107" s="187"/>
    </row>
    <row r="108" spans="1:7" ht="21" customHeight="1" x14ac:dyDescent="0.2">
      <c r="A108" s="186" t="s">
        <v>103</v>
      </c>
      <c r="B108" s="186"/>
      <c r="C108" s="186"/>
      <c r="D108" s="186"/>
      <c r="E108" s="186"/>
      <c r="F108" s="186"/>
      <c r="G108" s="32">
        <f>G105</f>
        <v>6370.3678065965551</v>
      </c>
    </row>
    <row r="109" spans="1:7" ht="21" customHeight="1" x14ac:dyDescent="0.2">
      <c r="A109" s="186" t="s">
        <v>104</v>
      </c>
      <c r="B109" s="186"/>
      <c r="C109" s="186"/>
      <c r="D109" s="186"/>
      <c r="E109" s="186"/>
      <c r="F109" s="186"/>
      <c r="G109" s="11">
        <v>1</v>
      </c>
    </row>
    <row r="110" spans="1:7" ht="21" customHeight="1" x14ac:dyDescent="0.2">
      <c r="A110" s="186" t="s">
        <v>105</v>
      </c>
      <c r="B110" s="186"/>
      <c r="C110" s="186"/>
      <c r="D110" s="186"/>
      <c r="E110" s="186"/>
      <c r="F110" s="186"/>
      <c r="G110" s="32">
        <f>G109*G108</f>
        <v>6370.3678065965551</v>
      </c>
    </row>
    <row r="111" spans="1:7" ht="21" customHeight="1" x14ac:dyDescent="0.2">
      <c r="A111" s="186" t="s">
        <v>106</v>
      </c>
      <c r="B111" s="186"/>
      <c r="C111" s="186"/>
      <c r="D111" s="186"/>
      <c r="E111" s="186"/>
      <c r="F111" s="186"/>
      <c r="G111" s="11">
        <v>1</v>
      </c>
    </row>
    <row r="112" spans="1:7" ht="22.5" customHeight="1" x14ac:dyDescent="0.2">
      <c r="A112" s="187" t="s">
        <v>107</v>
      </c>
      <c r="B112" s="187"/>
      <c r="C112" s="187"/>
      <c r="D112" s="187"/>
      <c r="E112" s="187"/>
      <c r="F112" s="187"/>
      <c r="G112" s="74">
        <f>G111*G110</f>
        <v>6370.3678065965551</v>
      </c>
    </row>
    <row r="113" spans="1:7" ht="3.75" customHeight="1" x14ac:dyDescent="0.2">
      <c r="A113" s="188"/>
      <c r="B113" s="188"/>
      <c r="C113" s="188"/>
      <c r="D113" s="188"/>
      <c r="E113" s="188"/>
      <c r="F113" s="188"/>
      <c r="G113" s="188"/>
    </row>
    <row r="114" spans="1:7" ht="22.5" customHeight="1" x14ac:dyDescent="0.2">
      <c r="A114" s="270" t="s">
        <v>131</v>
      </c>
      <c r="B114" s="271"/>
      <c r="C114" s="271"/>
      <c r="D114" s="271"/>
      <c r="E114" s="271"/>
      <c r="F114" s="272"/>
      <c r="G114" s="73">
        <f>G112*G18</f>
        <v>127407.3561319311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A27:F27"/>
    <mergeCell ref="A29:G29"/>
    <mergeCell ref="D24:E24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D26:E26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87:F87"/>
    <mergeCell ref="A88:A94"/>
    <mergeCell ref="B88:B93"/>
    <mergeCell ref="E88:F88"/>
    <mergeCell ref="E89:F89"/>
    <mergeCell ref="E90:F90"/>
    <mergeCell ref="A74:F74"/>
    <mergeCell ref="A77:F77"/>
    <mergeCell ref="A78:G78"/>
    <mergeCell ref="A79:G79"/>
    <mergeCell ref="A83:F83"/>
    <mergeCell ref="A84:G84"/>
    <mergeCell ref="A114:F114"/>
    <mergeCell ref="E25:F25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D5A8-BE1E-47DD-8621-32CC7B70EE2A}">
  <dimension ref="A1:N46"/>
  <sheetViews>
    <sheetView showGridLines="0" topLeftCell="A6" zoomScaleNormal="100" workbookViewId="0">
      <selection activeCell="A17" sqref="A17"/>
    </sheetView>
  </sheetViews>
  <sheetFormatPr defaultRowHeight="12" x14ac:dyDescent="0.25"/>
  <cols>
    <col min="1" max="8" width="11.42578125" style="146" customWidth="1"/>
    <col min="9" max="9" width="12.42578125" style="146" customWidth="1"/>
    <col min="10" max="10" width="12.7109375" style="146" bestFit="1" customWidth="1"/>
    <col min="11" max="11" width="12.7109375" style="146" customWidth="1"/>
    <col min="12" max="12" width="10.28515625" style="146" bestFit="1" customWidth="1"/>
    <col min="13" max="257" width="9.140625" style="146"/>
    <col min="258" max="258" width="14.28515625" style="146" customWidth="1"/>
    <col min="259" max="259" width="19.28515625" style="146" customWidth="1"/>
    <col min="260" max="260" width="16" style="146" customWidth="1"/>
    <col min="261" max="261" width="17.140625" style="146" customWidth="1"/>
    <col min="262" max="262" width="10.140625" style="146" customWidth="1"/>
    <col min="263" max="263" width="10.5703125" style="146" customWidth="1"/>
    <col min="264" max="264" width="9.85546875" style="146" customWidth="1"/>
    <col min="265" max="266" width="12.7109375" style="146" bestFit="1" customWidth="1"/>
    <col min="267" max="267" width="9.140625" style="146"/>
    <col min="268" max="268" width="10.28515625" style="146" bestFit="1" customWidth="1"/>
    <col min="269" max="513" width="9.140625" style="146"/>
    <col min="514" max="514" width="14.28515625" style="146" customWidth="1"/>
    <col min="515" max="515" width="19.28515625" style="146" customWidth="1"/>
    <col min="516" max="516" width="16" style="146" customWidth="1"/>
    <col min="517" max="517" width="17.140625" style="146" customWidth="1"/>
    <col min="518" max="518" width="10.140625" style="146" customWidth="1"/>
    <col min="519" max="519" width="10.5703125" style="146" customWidth="1"/>
    <col min="520" max="520" width="9.85546875" style="146" customWidth="1"/>
    <col min="521" max="522" width="12.7109375" style="146" bestFit="1" customWidth="1"/>
    <col min="523" max="523" width="9.140625" style="146"/>
    <col min="524" max="524" width="10.28515625" style="146" bestFit="1" customWidth="1"/>
    <col min="525" max="769" width="9.140625" style="146"/>
    <col min="770" max="770" width="14.28515625" style="146" customWidth="1"/>
    <col min="771" max="771" width="19.28515625" style="146" customWidth="1"/>
    <col min="772" max="772" width="16" style="146" customWidth="1"/>
    <col min="773" max="773" width="17.140625" style="146" customWidth="1"/>
    <col min="774" max="774" width="10.140625" style="146" customWidth="1"/>
    <col min="775" max="775" width="10.5703125" style="146" customWidth="1"/>
    <col min="776" max="776" width="9.85546875" style="146" customWidth="1"/>
    <col min="777" max="778" width="12.7109375" style="146" bestFit="1" customWidth="1"/>
    <col min="779" max="779" width="9.140625" style="146"/>
    <col min="780" max="780" width="10.28515625" style="146" bestFit="1" customWidth="1"/>
    <col min="781" max="1025" width="9.140625" style="146"/>
    <col min="1026" max="1026" width="14.28515625" style="146" customWidth="1"/>
    <col min="1027" max="1027" width="19.28515625" style="146" customWidth="1"/>
    <col min="1028" max="1028" width="16" style="146" customWidth="1"/>
    <col min="1029" max="1029" width="17.140625" style="146" customWidth="1"/>
    <col min="1030" max="1030" width="10.140625" style="146" customWidth="1"/>
    <col min="1031" max="1031" width="10.5703125" style="146" customWidth="1"/>
    <col min="1032" max="1032" width="9.85546875" style="146" customWidth="1"/>
    <col min="1033" max="1034" width="12.7109375" style="146" bestFit="1" customWidth="1"/>
    <col min="1035" max="1035" width="9.140625" style="146"/>
    <col min="1036" max="1036" width="10.28515625" style="146" bestFit="1" customWidth="1"/>
    <col min="1037" max="1281" width="9.140625" style="146"/>
    <col min="1282" max="1282" width="14.28515625" style="146" customWidth="1"/>
    <col min="1283" max="1283" width="19.28515625" style="146" customWidth="1"/>
    <col min="1284" max="1284" width="16" style="146" customWidth="1"/>
    <col min="1285" max="1285" width="17.140625" style="146" customWidth="1"/>
    <col min="1286" max="1286" width="10.140625" style="146" customWidth="1"/>
    <col min="1287" max="1287" width="10.5703125" style="146" customWidth="1"/>
    <col min="1288" max="1288" width="9.85546875" style="146" customWidth="1"/>
    <col min="1289" max="1290" width="12.7109375" style="146" bestFit="1" customWidth="1"/>
    <col min="1291" max="1291" width="9.140625" style="146"/>
    <col min="1292" max="1292" width="10.28515625" style="146" bestFit="1" customWidth="1"/>
    <col min="1293" max="1537" width="9.140625" style="146"/>
    <col min="1538" max="1538" width="14.28515625" style="146" customWidth="1"/>
    <col min="1539" max="1539" width="19.28515625" style="146" customWidth="1"/>
    <col min="1540" max="1540" width="16" style="146" customWidth="1"/>
    <col min="1541" max="1541" width="17.140625" style="146" customWidth="1"/>
    <col min="1542" max="1542" width="10.140625" style="146" customWidth="1"/>
    <col min="1543" max="1543" width="10.5703125" style="146" customWidth="1"/>
    <col min="1544" max="1544" width="9.85546875" style="146" customWidth="1"/>
    <col min="1545" max="1546" width="12.7109375" style="146" bestFit="1" customWidth="1"/>
    <col min="1547" max="1547" width="9.140625" style="146"/>
    <col min="1548" max="1548" width="10.28515625" style="146" bestFit="1" customWidth="1"/>
    <col min="1549" max="1793" width="9.140625" style="146"/>
    <col min="1794" max="1794" width="14.28515625" style="146" customWidth="1"/>
    <col min="1795" max="1795" width="19.28515625" style="146" customWidth="1"/>
    <col min="1796" max="1796" width="16" style="146" customWidth="1"/>
    <col min="1797" max="1797" width="17.140625" style="146" customWidth="1"/>
    <col min="1798" max="1798" width="10.140625" style="146" customWidth="1"/>
    <col min="1799" max="1799" width="10.5703125" style="146" customWidth="1"/>
    <col min="1800" max="1800" width="9.85546875" style="146" customWidth="1"/>
    <col min="1801" max="1802" width="12.7109375" style="146" bestFit="1" customWidth="1"/>
    <col min="1803" max="1803" width="9.140625" style="146"/>
    <col min="1804" max="1804" width="10.28515625" style="146" bestFit="1" customWidth="1"/>
    <col min="1805" max="2049" width="9.140625" style="146"/>
    <col min="2050" max="2050" width="14.28515625" style="146" customWidth="1"/>
    <col min="2051" max="2051" width="19.28515625" style="146" customWidth="1"/>
    <col min="2052" max="2052" width="16" style="146" customWidth="1"/>
    <col min="2053" max="2053" width="17.140625" style="146" customWidth="1"/>
    <col min="2054" max="2054" width="10.140625" style="146" customWidth="1"/>
    <col min="2055" max="2055" width="10.5703125" style="146" customWidth="1"/>
    <col min="2056" max="2056" width="9.85546875" style="146" customWidth="1"/>
    <col min="2057" max="2058" width="12.7109375" style="146" bestFit="1" customWidth="1"/>
    <col min="2059" max="2059" width="9.140625" style="146"/>
    <col min="2060" max="2060" width="10.28515625" style="146" bestFit="1" customWidth="1"/>
    <col min="2061" max="2305" width="9.140625" style="146"/>
    <col min="2306" max="2306" width="14.28515625" style="146" customWidth="1"/>
    <col min="2307" max="2307" width="19.28515625" style="146" customWidth="1"/>
    <col min="2308" max="2308" width="16" style="146" customWidth="1"/>
    <col min="2309" max="2309" width="17.140625" style="146" customWidth="1"/>
    <col min="2310" max="2310" width="10.140625" style="146" customWidth="1"/>
    <col min="2311" max="2311" width="10.5703125" style="146" customWidth="1"/>
    <col min="2312" max="2312" width="9.85546875" style="146" customWidth="1"/>
    <col min="2313" max="2314" width="12.7109375" style="146" bestFit="1" customWidth="1"/>
    <col min="2315" max="2315" width="9.140625" style="146"/>
    <col min="2316" max="2316" width="10.28515625" style="146" bestFit="1" customWidth="1"/>
    <col min="2317" max="2561" width="9.140625" style="146"/>
    <col min="2562" max="2562" width="14.28515625" style="146" customWidth="1"/>
    <col min="2563" max="2563" width="19.28515625" style="146" customWidth="1"/>
    <col min="2564" max="2564" width="16" style="146" customWidth="1"/>
    <col min="2565" max="2565" width="17.140625" style="146" customWidth="1"/>
    <col min="2566" max="2566" width="10.140625" style="146" customWidth="1"/>
    <col min="2567" max="2567" width="10.5703125" style="146" customWidth="1"/>
    <col min="2568" max="2568" width="9.85546875" style="146" customWidth="1"/>
    <col min="2569" max="2570" width="12.7109375" style="146" bestFit="1" customWidth="1"/>
    <col min="2571" max="2571" width="9.140625" style="146"/>
    <col min="2572" max="2572" width="10.28515625" style="146" bestFit="1" customWidth="1"/>
    <col min="2573" max="2817" width="9.140625" style="146"/>
    <col min="2818" max="2818" width="14.28515625" style="146" customWidth="1"/>
    <col min="2819" max="2819" width="19.28515625" style="146" customWidth="1"/>
    <col min="2820" max="2820" width="16" style="146" customWidth="1"/>
    <col min="2821" max="2821" width="17.140625" style="146" customWidth="1"/>
    <col min="2822" max="2822" width="10.140625" style="146" customWidth="1"/>
    <col min="2823" max="2823" width="10.5703125" style="146" customWidth="1"/>
    <col min="2824" max="2824" width="9.85546875" style="146" customWidth="1"/>
    <col min="2825" max="2826" width="12.7109375" style="146" bestFit="1" customWidth="1"/>
    <col min="2827" max="2827" width="9.140625" style="146"/>
    <col min="2828" max="2828" width="10.28515625" style="146" bestFit="1" customWidth="1"/>
    <col min="2829" max="3073" width="9.140625" style="146"/>
    <col min="3074" max="3074" width="14.28515625" style="146" customWidth="1"/>
    <col min="3075" max="3075" width="19.28515625" style="146" customWidth="1"/>
    <col min="3076" max="3076" width="16" style="146" customWidth="1"/>
    <col min="3077" max="3077" width="17.140625" style="146" customWidth="1"/>
    <col min="3078" max="3078" width="10.140625" style="146" customWidth="1"/>
    <col min="3079" max="3079" width="10.5703125" style="146" customWidth="1"/>
    <col min="3080" max="3080" width="9.85546875" style="146" customWidth="1"/>
    <col min="3081" max="3082" width="12.7109375" style="146" bestFit="1" customWidth="1"/>
    <col min="3083" max="3083" width="9.140625" style="146"/>
    <col min="3084" max="3084" width="10.28515625" style="146" bestFit="1" customWidth="1"/>
    <col min="3085" max="3329" width="9.140625" style="146"/>
    <col min="3330" max="3330" width="14.28515625" style="146" customWidth="1"/>
    <col min="3331" max="3331" width="19.28515625" style="146" customWidth="1"/>
    <col min="3332" max="3332" width="16" style="146" customWidth="1"/>
    <col min="3333" max="3333" width="17.140625" style="146" customWidth="1"/>
    <col min="3334" max="3334" width="10.140625" style="146" customWidth="1"/>
    <col min="3335" max="3335" width="10.5703125" style="146" customWidth="1"/>
    <col min="3336" max="3336" width="9.85546875" style="146" customWidth="1"/>
    <col min="3337" max="3338" width="12.7109375" style="146" bestFit="1" customWidth="1"/>
    <col min="3339" max="3339" width="9.140625" style="146"/>
    <col min="3340" max="3340" width="10.28515625" style="146" bestFit="1" customWidth="1"/>
    <col min="3341" max="3585" width="9.140625" style="146"/>
    <col min="3586" max="3586" width="14.28515625" style="146" customWidth="1"/>
    <col min="3587" max="3587" width="19.28515625" style="146" customWidth="1"/>
    <col min="3588" max="3588" width="16" style="146" customWidth="1"/>
    <col min="3589" max="3589" width="17.140625" style="146" customWidth="1"/>
    <col min="3590" max="3590" width="10.140625" style="146" customWidth="1"/>
    <col min="3591" max="3591" width="10.5703125" style="146" customWidth="1"/>
    <col min="3592" max="3592" width="9.85546875" style="146" customWidth="1"/>
    <col min="3593" max="3594" width="12.7109375" style="146" bestFit="1" customWidth="1"/>
    <col min="3595" max="3595" width="9.140625" style="146"/>
    <col min="3596" max="3596" width="10.28515625" style="146" bestFit="1" customWidth="1"/>
    <col min="3597" max="3841" width="9.140625" style="146"/>
    <col min="3842" max="3842" width="14.28515625" style="146" customWidth="1"/>
    <col min="3843" max="3843" width="19.28515625" style="146" customWidth="1"/>
    <col min="3844" max="3844" width="16" style="146" customWidth="1"/>
    <col min="3845" max="3845" width="17.140625" style="146" customWidth="1"/>
    <col min="3846" max="3846" width="10.140625" style="146" customWidth="1"/>
    <col min="3847" max="3847" width="10.5703125" style="146" customWidth="1"/>
    <col min="3848" max="3848" width="9.85546875" style="146" customWidth="1"/>
    <col min="3849" max="3850" width="12.7109375" style="146" bestFit="1" customWidth="1"/>
    <col min="3851" max="3851" width="9.140625" style="146"/>
    <col min="3852" max="3852" width="10.28515625" style="146" bestFit="1" customWidth="1"/>
    <col min="3853" max="4097" width="9.140625" style="146"/>
    <col min="4098" max="4098" width="14.28515625" style="146" customWidth="1"/>
    <col min="4099" max="4099" width="19.28515625" style="146" customWidth="1"/>
    <col min="4100" max="4100" width="16" style="146" customWidth="1"/>
    <col min="4101" max="4101" width="17.140625" style="146" customWidth="1"/>
    <col min="4102" max="4102" width="10.140625" style="146" customWidth="1"/>
    <col min="4103" max="4103" width="10.5703125" style="146" customWidth="1"/>
    <col min="4104" max="4104" width="9.85546875" style="146" customWidth="1"/>
    <col min="4105" max="4106" width="12.7109375" style="146" bestFit="1" customWidth="1"/>
    <col min="4107" max="4107" width="9.140625" style="146"/>
    <col min="4108" max="4108" width="10.28515625" style="146" bestFit="1" customWidth="1"/>
    <col min="4109" max="4353" width="9.140625" style="146"/>
    <col min="4354" max="4354" width="14.28515625" style="146" customWidth="1"/>
    <col min="4355" max="4355" width="19.28515625" style="146" customWidth="1"/>
    <col min="4356" max="4356" width="16" style="146" customWidth="1"/>
    <col min="4357" max="4357" width="17.140625" style="146" customWidth="1"/>
    <col min="4358" max="4358" width="10.140625" style="146" customWidth="1"/>
    <col min="4359" max="4359" width="10.5703125" style="146" customWidth="1"/>
    <col min="4360" max="4360" width="9.85546875" style="146" customWidth="1"/>
    <col min="4361" max="4362" width="12.7109375" style="146" bestFit="1" customWidth="1"/>
    <col min="4363" max="4363" width="9.140625" style="146"/>
    <col min="4364" max="4364" width="10.28515625" style="146" bestFit="1" customWidth="1"/>
    <col min="4365" max="4609" width="9.140625" style="146"/>
    <col min="4610" max="4610" width="14.28515625" style="146" customWidth="1"/>
    <col min="4611" max="4611" width="19.28515625" style="146" customWidth="1"/>
    <col min="4612" max="4612" width="16" style="146" customWidth="1"/>
    <col min="4613" max="4613" width="17.140625" style="146" customWidth="1"/>
    <col min="4614" max="4614" width="10.140625" style="146" customWidth="1"/>
    <col min="4615" max="4615" width="10.5703125" style="146" customWidth="1"/>
    <col min="4616" max="4616" width="9.85546875" style="146" customWidth="1"/>
    <col min="4617" max="4618" width="12.7109375" style="146" bestFit="1" customWidth="1"/>
    <col min="4619" max="4619" width="9.140625" style="146"/>
    <col min="4620" max="4620" width="10.28515625" style="146" bestFit="1" customWidth="1"/>
    <col min="4621" max="4865" width="9.140625" style="146"/>
    <col min="4866" max="4866" width="14.28515625" style="146" customWidth="1"/>
    <col min="4867" max="4867" width="19.28515625" style="146" customWidth="1"/>
    <col min="4868" max="4868" width="16" style="146" customWidth="1"/>
    <col min="4869" max="4869" width="17.140625" style="146" customWidth="1"/>
    <col min="4870" max="4870" width="10.140625" style="146" customWidth="1"/>
    <col min="4871" max="4871" width="10.5703125" style="146" customWidth="1"/>
    <col min="4872" max="4872" width="9.85546875" style="146" customWidth="1"/>
    <col min="4873" max="4874" width="12.7109375" style="146" bestFit="1" customWidth="1"/>
    <col min="4875" max="4875" width="9.140625" style="146"/>
    <col min="4876" max="4876" width="10.28515625" style="146" bestFit="1" customWidth="1"/>
    <col min="4877" max="5121" width="9.140625" style="146"/>
    <col min="5122" max="5122" width="14.28515625" style="146" customWidth="1"/>
    <col min="5123" max="5123" width="19.28515625" style="146" customWidth="1"/>
    <col min="5124" max="5124" width="16" style="146" customWidth="1"/>
    <col min="5125" max="5125" width="17.140625" style="146" customWidth="1"/>
    <col min="5126" max="5126" width="10.140625" style="146" customWidth="1"/>
    <col min="5127" max="5127" width="10.5703125" style="146" customWidth="1"/>
    <col min="5128" max="5128" width="9.85546875" style="146" customWidth="1"/>
    <col min="5129" max="5130" width="12.7109375" style="146" bestFit="1" customWidth="1"/>
    <col min="5131" max="5131" width="9.140625" style="146"/>
    <col min="5132" max="5132" width="10.28515625" style="146" bestFit="1" customWidth="1"/>
    <col min="5133" max="5377" width="9.140625" style="146"/>
    <col min="5378" max="5378" width="14.28515625" style="146" customWidth="1"/>
    <col min="5379" max="5379" width="19.28515625" style="146" customWidth="1"/>
    <col min="5380" max="5380" width="16" style="146" customWidth="1"/>
    <col min="5381" max="5381" width="17.140625" style="146" customWidth="1"/>
    <col min="5382" max="5382" width="10.140625" style="146" customWidth="1"/>
    <col min="5383" max="5383" width="10.5703125" style="146" customWidth="1"/>
    <col min="5384" max="5384" width="9.85546875" style="146" customWidth="1"/>
    <col min="5385" max="5386" width="12.7109375" style="146" bestFit="1" customWidth="1"/>
    <col min="5387" max="5387" width="9.140625" style="146"/>
    <col min="5388" max="5388" width="10.28515625" style="146" bestFit="1" customWidth="1"/>
    <col min="5389" max="5633" width="9.140625" style="146"/>
    <col min="5634" max="5634" width="14.28515625" style="146" customWidth="1"/>
    <col min="5635" max="5635" width="19.28515625" style="146" customWidth="1"/>
    <col min="5636" max="5636" width="16" style="146" customWidth="1"/>
    <col min="5637" max="5637" width="17.140625" style="146" customWidth="1"/>
    <col min="5638" max="5638" width="10.140625" style="146" customWidth="1"/>
    <col min="5639" max="5639" width="10.5703125" style="146" customWidth="1"/>
    <col min="5640" max="5640" width="9.85546875" style="146" customWidth="1"/>
    <col min="5641" max="5642" width="12.7109375" style="146" bestFit="1" customWidth="1"/>
    <col min="5643" max="5643" width="9.140625" style="146"/>
    <col min="5644" max="5644" width="10.28515625" style="146" bestFit="1" customWidth="1"/>
    <col min="5645" max="5889" width="9.140625" style="146"/>
    <col min="5890" max="5890" width="14.28515625" style="146" customWidth="1"/>
    <col min="5891" max="5891" width="19.28515625" style="146" customWidth="1"/>
    <col min="5892" max="5892" width="16" style="146" customWidth="1"/>
    <col min="5893" max="5893" width="17.140625" style="146" customWidth="1"/>
    <col min="5894" max="5894" width="10.140625" style="146" customWidth="1"/>
    <col min="5895" max="5895" width="10.5703125" style="146" customWidth="1"/>
    <col min="5896" max="5896" width="9.85546875" style="146" customWidth="1"/>
    <col min="5897" max="5898" width="12.7109375" style="146" bestFit="1" customWidth="1"/>
    <col min="5899" max="5899" width="9.140625" style="146"/>
    <col min="5900" max="5900" width="10.28515625" style="146" bestFit="1" customWidth="1"/>
    <col min="5901" max="6145" width="9.140625" style="146"/>
    <col min="6146" max="6146" width="14.28515625" style="146" customWidth="1"/>
    <col min="6147" max="6147" width="19.28515625" style="146" customWidth="1"/>
    <col min="6148" max="6148" width="16" style="146" customWidth="1"/>
    <col min="6149" max="6149" width="17.140625" style="146" customWidth="1"/>
    <col min="6150" max="6150" width="10.140625" style="146" customWidth="1"/>
    <col min="6151" max="6151" width="10.5703125" style="146" customWidth="1"/>
    <col min="6152" max="6152" width="9.85546875" style="146" customWidth="1"/>
    <col min="6153" max="6154" width="12.7109375" style="146" bestFit="1" customWidth="1"/>
    <col min="6155" max="6155" width="9.140625" style="146"/>
    <col min="6156" max="6156" width="10.28515625" style="146" bestFit="1" customWidth="1"/>
    <col min="6157" max="6401" width="9.140625" style="146"/>
    <col min="6402" max="6402" width="14.28515625" style="146" customWidth="1"/>
    <col min="6403" max="6403" width="19.28515625" style="146" customWidth="1"/>
    <col min="6404" max="6404" width="16" style="146" customWidth="1"/>
    <col min="6405" max="6405" width="17.140625" style="146" customWidth="1"/>
    <col min="6406" max="6406" width="10.140625" style="146" customWidth="1"/>
    <col min="6407" max="6407" width="10.5703125" style="146" customWidth="1"/>
    <col min="6408" max="6408" width="9.85546875" style="146" customWidth="1"/>
    <col min="6409" max="6410" width="12.7109375" style="146" bestFit="1" customWidth="1"/>
    <col min="6411" max="6411" width="9.140625" style="146"/>
    <col min="6412" max="6412" width="10.28515625" style="146" bestFit="1" customWidth="1"/>
    <col min="6413" max="6657" width="9.140625" style="146"/>
    <col min="6658" max="6658" width="14.28515625" style="146" customWidth="1"/>
    <col min="6659" max="6659" width="19.28515625" style="146" customWidth="1"/>
    <col min="6660" max="6660" width="16" style="146" customWidth="1"/>
    <col min="6661" max="6661" width="17.140625" style="146" customWidth="1"/>
    <col min="6662" max="6662" width="10.140625" style="146" customWidth="1"/>
    <col min="6663" max="6663" width="10.5703125" style="146" customWidth="1"/>
    <col min="6664" max="6664" width="9.85546875" style="146" customWidth="1"/>
    <col min="6665" max="6666" width="12.7109375" style="146" bestFit="1" customWidth="1"/>
    <col min="6667" max="6667" width="9.140625" style="146"/>
    <col min="6668" max="6668" width="10.28515625" style="146" bestFit="1" customWidth="1"/>
    <col min="6669" max="6913" width="9.140625" style="146"/>
    <col min="6914" max="6914" width="14.28515625" style="146" customWidth="1"/>
    <col min="6915" max="6915" width="19.28515625" style="146" customWidth="1"/>
    <col min="6916" max="6916" width="16" style="146" customWidth="1"/>
    <col min="6917" max="6917" width="17.140625" style="146" customWidth="1"/>
    <col min="6918" max="6918" width="10.140625" style="146" customWidth="1"/>
    <col min="6919" max="6919" width="10.5703125" style="146" customWidth="1"/>
    <col min="6920" max="6920" width="9.85546875" style="146" customWidth="1"/>
    <col min="6921" max="6922" width="12.7109375" style="146" bestFit="1" customWidth="1"/>
    <col min="6923" max="6923" width="9.140625" style="146"/>
    <col min="6924" max="6924" width="10.28515625" style="146" bestFit="1" customWidth="1"/>
    <col min="6925" max="7169" width="9.140625" style="146"/>
    <col min="7170" max="7170" width="14.28515625" style="146" customWidth="1"/>
    <col min="7171" max="7171" width="19.28515625" style="146" customWidth="1"/>
    <col min="7172" max="7172" width="16" style="146" customWidth="1"/>
    <col min="7173" max="7173" width="17.140625" style="146" customWidth="1"/>
    <col min="7174" max="7174" width="10.140625" style="146" customWidth="1"/>
    <col min="7175" max="7175" width="10.5703125" style="146" customWidth="1"/>
    <col min="7176" max="7176" width="9.85546875" style="146" customWidth="1"/>
    <col min="7177" max="7178" width="12.7109375" style="146" bestFit="1" customWidth="1"/>
    <col min="7179" max="7179" width="9.140625" style="146"/>
    <col min="7180" max="7180" width="10.28515625" style="146" bestFit="1" customWidth="1"/>
    <col min="7181" max="7425" width="9.140625" style="146"/>
    <col min="7426" max="7426" width="14.28515625" style="146" customWidth="1"/>
    <col min="7427" max="7427" width="19.28515625" style="146" customWidth="1"/>
    <col min="7428" max="7428" width="16" style="146" customWidth="1"/>
    <col min="7429" max="7429" width="17.140625" style="146" customWidth="1"/>
    <col min="7430" max="7430" width="10.140625" style="146" customWidth="1"/>
    <col min="7431" max="7431" width="10.5703125" style="146" customWidth="1"/>
    <col min="7432" max="7432" width="9.85546875" style="146" customWidth="1"/>
    <col min="7433" max="7434" width="12.7109375" style="146" bestFit="1" customWidth="1"/>
    <col min="7435" max="7435" width="9.140625" style="146"/>
    <col min="7436" max="7436" width="10.28515625" style="146" bestFit="1" customWidth="1"/>
    <col min="7437" max="7681" width="9.140625" style="146"/>
    <col min="7682" max="7682" width="14.28515625" style="146" customWidth="1"/>
    <col min="7683" max="7683" width="19.28515625" style="146" customWidth="1"/>
    <col min="7684" max="7684" width="16" style="146" customWidth="1"/>
    <col min="7685" max="7685" width="17.140625" style="146" customWidth="1"/>
    <col min="7686" max="7686" width="10.140625" style="146" customWidth="1"/>
    <col min="7687" max="7687" width="10.5703125" style="146" customWidth="1"/>
    <col min="7688" max="7688" width="9.85546875" style="146" customWidth="1"/>
    <col min="7689" max="7690" width="12.7109375" style="146" bestFit="1" customWidth="1"/>
    <col min="7691" max="7691" width="9.140625" style="146"/>
    <col min="7692" max="7692" width="10.28515625" style="146" bestFit="1" customWidth="1"/>
    <col min="7693" max="7937" width="9.140625" style="146"/>
    <col min="7938" max="7938" width="14.28515625" style="146" customWidth="1"/>
    <col min="7939" max="7939" width="19.28515625" style="146" customWidth="1"/>
    <col min="7940" max="7940" width="16" style="146" customWidth="1"/>
    <col min="7941" max="7941" width="17.140625" style="146" customWidth="1"/>
    <col min="7942" max="7942" width="10.140625" style="146" customWidth="1"/>
    <col min="7943" max="7943" width="10.5703125" style="146" customWidth="1"/>
    <col min="7944" max="7944" width="9.85546875" style="146" customWidth="1"/>
    <col min="7945" max="7946" width="12.7109375" style="146" bestFit="1" customWidth="1"/>
    <col min="7947" max="7947" width="9.140625" style="146"/>
    <col min="7948" max="7948" width="10.28515625" style="146" bestFit="1" customWidth="1"/>
    <col min="7949" max="8193" width="9.140625" style="146"/>
    <col min="8194" max="8194" width="14.28515625" style="146" customWidth="1"/>
    <col min="8195" max="8195" width="19.28515625" style="146" customWidth="1"/>
    <col min="8196" max="8196" width="16" style="146" customWidth="1"/>
    <col min="8197" max="8197" width="17.140625" style="146" customWidth="1"/>
    <col min="8198" max="8198" width="10.140625" style="146" customWidth="1"/>
    <col min="8199" max="8199" width="10.5703125" style="146" customWidth="1"/>
    <col min="8200" max="8200" width="9.85546875" style="146" customWidth="1"/>
    <col min="8201" max="8202" width="12.7109375" style="146" bestFit="1" customWidth="1"/>
    <col min="8203" max="8203" width="9.140625" style="146"/>
    <col min="8204" max="8204" width="10.28515625" style="146" bestFit="1" customWidth="1"/>
    <col min="8205" max="8449" width="9.140625" style="146"/>
    <col min="8450" max="8450" width="14.28515625" style="146" customWidth="1"/>
    <col min="8451" max="8451" width="19.28515625" style="146" customWidth="1"/>
    <col min="8452" max="8452" width="16" style="146" customWidth="1"/>
    <col min="8453" max="8453" width="17.140625" style="146" customWidth="1"/>
    <col min="8454" max="8454" width="10.140625" style="146" customWidth="1"/>
    <col min="8455" max="8455" width="10.5703125" style="146" customWidth="1"/>
    <col min="8456" max="8456" width="9.85546875" style="146" customWidth="1"/>
    <col min="8457" max="8458" width="12.7109375" style="146" bestFit="1" customWidth="1"/>
    <col min="8459" max="8459" width="9.140625" style="146"/>
    <col min="8460" max="8460" width="10.28515625" style="146" bestFit="1" customWidth="1"/>
    <col min="8461" max="8705" width="9.140625" style="146"/>
    <col min="8706" max="8706" width="14.28515625" style="146" customWidth="1"/>
    <col min="8707" max="8707" width="19.28515625" style="146" customWidth="1"/>
    <col min="8708" max="8708" width="16" style="146" customWidth="1"/>
    <col min="8709" max="8709" width="17.140625" style="146" customWidth="1"/>
    <col min="8710" max="8710" width="10.140625" style="146" customWidth="1"/>
    <col min="8711" max="8711" width="10.5703125" style="146" customWidth="1"/>
    <col min="8712" max="8712" width="9.85546875" style="146" customWidth="1"/>
    <col min="8713" max="8714" width="12.7109375" style="146" bestFit="1" customWidth="1"/>
    <col min="8715" max="8715" width="9.140625" style="146"/>
    <col min="8716" max="8716" width="10.28515625" style="146" bestFit="1" customWidth="1"/>
    <col min="8717" max="8961" width="9.140625" style="146"/>
    <col min="8962" max="8962" width="14.28515625" style="146" customWidth="1"/>
    <col min="8963" max="8963" width="19.28515625" style="146" customWidth="1"/>
    <col min="8964" max="8964" width="16" style="146" customWidth="1"/>
    <col min="8965" max="8965" width="17.140625" style="146" customWidth="1"/>
    <col min="8966" max="8966" width="10.140625" style="146" customWidth="1"/>
    <col min="8967" max="8967" width="10.5703125" style="146" customWidth="1"/>
    <col min="8968" max="8968" width="9.85546875" style="146" customWidth="1"/>
    <col min="8969" max="8970" width="12.7109375" style="146" bestFit="1" customWidth="1"/>
    <col min="8971" max="8971" width="9.140625" style="146"/>
    <col min="8972" max="8972" width="10.28515625" style="146" bestFit="1" customWidth="1"/>
    <col min="8973" max="9217" width="9.140625" style="146"/>
    <col min="9218" max="9218" width="14.28515625" style="146" customWidth="1"/>
    <col min="9219" max="9219" width="19.28515625" style="146" customWidth="1"/>
    <col min="9220" max="9220" width="16" style="146" customWidth="1"/>
    <col min="9221" max="9221" width="17.140625" style="146" customWidth="1"/>
    <col min="9222" max="9222" width="10.140625" style="146" customWidth="1"/>
    <col min="9223" max="9223" width="10.5703125" style="146" customWidth="1"/>
    <col min="9224" max="9224" width="9.85546875" style="146" customWidth="1"/>
    <col min="9225" max="9226" width="12.7109375" style="146" bestFit="1" customWidth="1"/>
    <col min="9227" max="9227" width="9.140625" style="146"/>
    <col min="9228" max="9228" width="10.28515625" style="146" bestFit="1" customWidth="1"/>
    <col min="9229" max="9473" width="9.140625" style="146"/>
    <col min="9474" max="9474" width="14.28515625" style="146" customWidth="1"/>
    <col min="9475" max="9475" width="19.28515625" style="146" customWidth="1"/>
    <col min="9476" max="9476" width="16" style="146" customWidth="1"/>
    <col min="9477" max="9477" width="17.140625" style="146" customWidth="1"/>
    <col min="9478" max="9478" width="10.140625" style="146" customWidth="1"/>
    <col min="9479" max="9479" width="10.5703125" style="146" customWidth="1"/>
    <col min="9480" max="9480" width="9.85546875" style="146" customWidth="1"/>
    <col min="9481" max="9482" width="12.7109375" style="146" bestFit="1" customWidth="1"/>
    <col min="9483" max="9483" width="9.140625" style="146"/>
    <col min="9484" max="9484" width="10.28515625" style="146" bestFit="1" customWidth="1"/>
    <col min="9485" max="9729" width="9.140625" style="146"/>
    <col min="9730" max="9730" width="14.28515625" style="146" customWidth="1"/>
    <col min="9731" max="9731" width="19.28515625" style="146" customWidth="1"/>
    <col min="9732" max="9732" width="16" style="146" customWidth="1"/>
    <col min="9733" max="9733" width="17.140625" style="146" customWidth="1"/>
    <col min="9734" max="9734" width="10.140625" style="146" customWidth="1"/>
    <col min="9735" max="9735" width="10.5703125" style="146" customWidth="1"/>
    <col min="9736" max="9736" width="9.85546875" style="146" customWidth="1"/>
    <col min="9737" max="9738" width="12.7109375" style="146" bestFit="1" customWidth="1"/>
    <col min="9739" max="9739" width="9.140625" style="146"/>
    <col min="9740" max="9740" width="10.28515625" style="146" bestFit="1" customWidth="1"/>
    <col min="9741" max="9985" width="9.140625" style="146"/>
    <col min="9986" max="9986" width="14.28515625" style="146" customWidth="1"/>
    <col min="9987" max="9987" width="19.28515625" style="146" customWidth="1"/>
    <col min="9988" max="9988" width="16" style="146" customWidth="1"/>
    <col min="9989" max="9989" width="17.140625" style="146" customWidth="1"/>
    <col min="9990" max="9990" width="10.140625" style="146" customWidth="1"/>
    <col min="9991" max="9991" width="10.5703125" style="146" customWidth="1"/>
    <col min="9992" max="9992" width="9.85546875" style="146" customWidth="1"/>
    <col min="9993" max="9994" width="12.7109375" style="146" bestFit="1" customWidth="1"/>
    <col min="9995" max="9995" width="9.140625" style="146"/>
    <col min="9996" max="9996" width="10.28515625" style="146" bestFit="1" customWidth="1"/>
    <col min="9997" max="10241" width="9.140625" style="146"/>
    <col min="10242" max="10242" width="14.28515625" style="146" customWidth="1"/>
    <col min="10243" max="10243" width="19.28515625" style="146" customWidth="1"/>
    <col min="10244" max="10244" width="16" style="146" customWidth="1"/>
    <col min="10245" max="10245" width="17.140625" style="146" customWidth="1"/>
    <col min="10246" max="10246" width="10.140625" style="146" customWidth="1"/>
    <col min="10247" max="10247" width="10.5703125" style="146" customWidth="1"/>
    <col min="10248" max="10248" width="9.85546875" style="146" customWidth="1"/>
    <col min="10249" max="10250" width="12.7109375" style="146" bestFit="1" customWidth="1"/>
    <col min="10251" max="10251" width="9.140625" style="146"/>
    <col min="10252" max="10252" width="10.28515625" style="146" bestFit="1" customWidth="1"/>
    <col min="10253" max="10497" width="9.140625" style="146"/>
    <col min="10498" max="10498" width="14.28515625" style="146" customWidth="1"/>
    <col min="10499" max="10499" width="19.28515625" style="146" customWidth="1"/>
    <col min="10500" max="10500" width="16" style="146" customWidth="1"/>
    <col min="10501" max="10501" width="17.140625" style="146" customWidth="1"/>
    <col min="10502" max="10502" width="10.140625" style="146" customWidth="1"/>
    <col min="10503" max="10503" width="10.5703125" style="146" customWidth="1"/>
    <col min="10504" max="10504" width="9.85546875" style="146" customWidth="1"/>
    <col min="10505" max="10506" width="12.7109375" style="146" bestFit="1" customWidth="1"/>
    <col min="10507" max="10507" width="9.140625" style="146"/>
    <col min="10508" max="10508" width="10.28515625" style="146" bestFit="1" customWidth="1"/>
    <col min="10509" max="10753" width="9.140625" style="146"/>
    <col min="10754" max="10754" width="14.28515625" style="146" customWidth="1"/>
    <col min="10755" max="10755" width="19.28515625" style="146" customWidth="1"/>
    <col min="10756" max="10756" width="16" style="146" customWidth="1"/>
    <col min="10757" max="10757" width="17.140625" style="146" customWidth="1"/>
    <col min="10758" max="10758" width="10.140625" style="146" customWidth="1"/>
    <col min="10759" max="10759" width="10.5703125" style="146" customWidth="1"/>
    <col min="10760" max="10760" width="9.85546875" style="146" customWidth="1"/>
    <col min="10761" max="10762" width="12.7109375" style="146" bestFit="1" customWidth="1"/>
    <col min="10763" max="10763" width="9.140625" style="146"/>
    <col min="10764" max="10764" width="10.28515625" style="146" bestFit="1" customWidth="1"/>
    <col min="10765" max="11009" width="9.140625" style="146"/>
    <col min="11010" max="11010" width="14.28515625" style="146" customWidth="1"/>
    <col min="11011" max="11011" width="19.28515625" style="146" customWidth="1"/>
    <col min="11012" max="11012" width="16" style="146" customWidth="1"/>
    <col min="11013" max="11013" width="17.140625" style="146" customWidth="1"/>
    <col min="11014" max="11014" width="10.140625" style="146" customWidth="1"/>
    <col min="11015" max="11015" width="10.5703125" style="146" customWidth="1"/>
    <col min="11016" max="11016" width="9.85546875" style="146" customWidth="1"/>
    <col min="11017" max="11018" width="12.7109375" style="146" bestFit="1" customWidth="1"/>
    <col min="11019" max="11019" width="9.140625" style="146"/>
    <col min="11020" max="11020" width="10.28515625" style="146" bestFit="1" customWidth="1"/>
    <col min="11021" max="11265" width="9.140625" style="146"/>
    <col min="11266" max="11266" width="14.28515625" style="146" customWidth="1"/>
    <col min="11267" max="11267" width="19.28515625" style="146" customWidth="1"/>
    <col min="11268" max="11268" width="16" style="146" customWidth="1"/>
    <col min="11269" max="11269" width="17.140625" style="146" customWidth="1"/>
    <col min="11270" max="11270" width="10.140625" style="146" customWidth="1"/>
    <col min="11271" max="11271" width="10.5703125" style="146" customWidth="1"/>
    <col min="11272" max="11272" width="9.85546875" style="146" customWidth="1"/>
    <col min="11273" max="11274" width="12.7109375" style="146" bestFit="1" customWidth="1"/>
    <col min="11275" max="11275" width="9.140625" style="146"/>
    <col min="11276" max="11276" width="10.28515625" style="146" bestFit="1" customWidth="1"/>
    <col min="11277" max="11521" width="9.140625" style="146"/>
    <col min="11522" max="11522" width="14.28515625" style="146" customWidth="1"/>
    <col min="11523" max="11523" width="19.28515625" style="146" customWidth="1"/>
    <col min="11524" max="11524" width="16" style="146" customWidth="1"/>
    <col min="11525" max="11525" width="17.140625" style="146" customWidth="1"/>
    <col min="11526" max="11526" width="10.140625" style="146" customWidth="1"/>
    <col min="11527" max="11527" width="10.5703125" style="146" customWidth="1"/>
    <col min="11528" max="11528" width="9.85546875" style="146" customWidth="1"/>
    <col min="11529" max="11530" width="12.7109375" style="146" bestFit="1" customWidth="1"/>
    <col min="11531" max="11531" width="9.140625" style="146"/>
    <col min="11532" max="11532" width="10.28515625" style="146" bestFit="1" customWidth="1"/>
    <col min="11533" max="11777" width="9.140625" style="146"/>
    <col min="11778" max="11778" width="14.28515625" style="146" customWidth="1"/>
    <col min="11779" max="11779" width="19.28515625" style="146" customWidth="1"/>
    <col min="11780" max="11780" width="16" style="146" customWidth="1"/>
    <col min="11781" max="11781" width="17.140625" style="146" customWidth="1"/>
    <col min="11782" max="11782" width="10.140625" style="146" customWidth="1"/>
    <col min="11783" max="11783" width="10.5703125" style="146" customWidth="1"/>
    <col min="11784" max="11784" width="9.85546875" style="146" customWidth="1"/>
    <col min="11785" max="11786" width="12.7109375" style="146" bestFit="1" customWidth="1"/>
    <col min="11787" max="11787" width="9.140625" style="146"/>
    <col min="11788" max="11788" width="10.28515625" style="146" bestFit="1" customWidth="1"/>
    <col min="11789" max="12033" width="9.140625" style="146"/>
    <col min="12034" max="12034" width="14.28515625" style="146" customWidth="1"/>
    <col min="12035" max="12035" width="19.28515625" style="146" customWidth="1"/>
    <col min="12036" max="12036" width="16" style="146" customWidth="1"/>
    <col min="12037" max="12037" width="17.140625" style="146" customWidth="1"/>
    <col min="12038" max="12038" width="10.140625" style="146" customWidth="1"/>
    <col min="12039" max="12039" width="10.5703125" style="146" customWidth="1"/>
    <col min="12040" max="12040" width="9.85546875" style="146" customWidth="1"/>
    <col min="12041" max="12042" width="12.7109375" style="146" bestFit="1" customWidth="1"/>
    <col min="12043" max="12043" width="9.140625" style="146"/>
    <col min="12044" max="12044" width="10.28515625" style="146" bestFit="1" customWidth="1"/>
    <col min="12045" max="12289" width="9.140625" style="146"/>
    <col min="12290" max="12290" width="14.28515625" style="146" customWidth="1"/>
    <col min="12291" max="12291" width="19.28515625" style="146" customWidth="1"/>
    <col min="12292" max="12292" width="16" style="146" customWidth="1"/>
    <col min="12293" max="12293" width="17.140625" style="146" customWidth="1"/>
    <col min="12294" max="12294" width="10.140625" style="146" customWidth="1"/>
    <col min="12295" max="12295" width="10.5703125" style="146" customWidth="1"/>
    <col min="12296" max="12296" width="9.85546875" style="146" customWidth="1"/>
    <col min="12297" max="12298" width="12.7109375" style="146" bestFit="1" customWidth="1"/>
    <col min="12299" max="12299" width="9.140625" style="146"/>
    <col min="12300" max="12300" width="10.28515625" style="146" bestFit="1" customWidth="1"/>
    <col min="12301" max="12545" width="9.140625" style="146"/>
    <col min="12546" max="12546" width="14.28515625" style="146" customWidth="1"/>
    <col min="12547" max="12547" width="19.28515625" style="146" customWidth="1"/>
    <col min="12548" max="12548" width="16" style="146" customWidth="1"/>
    <col min="12549" max="12549" width="17.140625" style="146" customWidth="1"/>
    <col min="12550" max="12550" width="10.140625" style="146" customWidth="1"/>
    <col min="12551" max="12551" width="10.5703125" style="146" customWidth="1"/>
    <col min="12552" max="12552" width="9.85546875" style="146" customWidth="1"/>
    <col min="12553" max="12554" width="12.7109375" style="146" bestFit="1" customWidth="1"/>
    <col min="12555" max="12555" width="9.140625" style="146"/>
    <col min="12556" max="12556" width="10.28515625" style="146" bestFit="1" customWidth="1"/>
    <col min="12557" max="12801" width="9.140625" style="146"/>
    <col min="12802" max="12802" width="14.28515625" style="146" customWidth="1"/>
    <col min="12803" max="12803" width="19.28515625" style="146" customWidth="1"/>
    <col min="12804" max="12804" width="16" style="146" customWidth="1"/>
    <col min="12805" max="12805" width="17.140625" style="146" customWidth="1"/>
    <col min="12806" max="12806" width="10.140625" style="146" customWidth="1"/>
    <col min="12807" max="12807" width="10.5703125" style="146" customWidth="1"/>
    <col min="12808" max="12808" width="9.85546875" style="146" customWidth="1"/>
    <col min="12809" max="12810" width="12.7109375" style="146" bestFit="1" customWidth="1"/>
    <col min="12811" max="12811" width="9.140625" style="146"/>
    <col min="12812" max="12812" width="10.28515625" style="146" bestFit="1" customWidth="1"/>
    <col min="12813" max="13057" width="9.140625" style="146"/>
    <col min="13058" max="13058" width="14.28515625" style="146" customWidth="1"/>
    <col min="13059" max="13059" width="19.28515625" style="146" customWidth="1"/>
    <col min="13060" max="13060" width="16" style="146" customWidth="1"/>
    <col min="13061" max="13061" width="17.140625" style="146" customWidth="1"/>
    <col min="13062" max="13062" width="10.140625" style="146" customWidth="1"/>
    <col min="13063" max="13063" width="10.5703125" style="146" customWidth="1"/>
    <col min="13064" max="13064" width="9.85546875" style="146" customWidth="1"/>
    <col min="13065" max="13066" width="12.7109375" style="146" bestFit="1" customWidth="1"/>
    <col min="13067" max="13067" width="9.140625" style="146"/>
    <col min="13068" max="13068" width="10.28515625" style="146" bestFit="1" customWidth="1"/>
    <col min="13069" max="13313" width="9.140625" style="146"/>
    <col min="13314" max="13314" width="14.28515625" style="146" customWidth="1"/>
    <col min="13315" max="13315" width="19.28515625" style="146" customWidth="1"/>
    <col min="13316" max="13316" width="16" style="146" customWidth="1"/>
    <col min="13317" max="13317" width="17.140625" style="146" customWidth="1"/>
    <col min="13318" max="13318" width="10.140625" style="146" customWidth="1"/>
    <col min="13319" max="13319" width="10.5703125" style="146" customWidth="1"/>
    <col min="13320" max="13320" width="9.85546875" style="146" customWidth="1"/>
    <col min="13321" max="13322" width="12.7109375" style="146" bestFit="1" customWidth="1"/>
    <col min="13323" max="13323" width="9.140625" style="146"/>
    <col min="13324" max="13324" width="10.28515625" style="146" bestFit="1" customWidth="1"/>
    <col min="13325" max="13569" width="9.140625" style="146"/>
    <col min="13570" max="13570" width="14.28515625" style="146" customWidth="1"/>
    <col min="13571" max="13571" width="19.28515625" style="146" customWidth="1"/>
    <col min="13572" max="13572" width="16" style="146" customWidth="1"/>
    <col min="13573" max="13573" width="17.140625" style="146" customWidth="1"/>
    <col min="13574" max="13574" width="10.140625" style="146" customWidth="1"/>
    <col min="13575" max="13575" width="10.5703125" style="146" customWidth="1"/>
    <col min="13576" max="13576" width="9.85546875" style="146" customWidth="1"/>
    <col min="13577" max="13578" width="12.7109375" style="146" bestFit="1" customWidth="1"/>
    <col min="13579" max="13579" width="9.140625" style="146"/>
    <col min="13580" max="13580" width="10.28515625" style="146" bestFit="1" customWidth="1"/>
    <col min="13581" max="13825" width="9.140625" style="146"/>
    <col min="13826" max="13826" width="14.28515625" style="146" customWidth="1"/>
    <col min="13827" max="13827" width="19.28515625" style="146" customWidth="1"/>
    <col min="13828" max="13828" width="16" style="146" customWidth="1"/>
    <col min="13829" max="13829" width="17.140625" style="146" customWidth="1"/>
    <col min="13830" max="13830" width="10.140625" style="146" customWidth="1"/>
    <col min="13831" max="13831" width="10.5703125" style="146" customWidth="1"/>
    <col min="13832" max="13832" width="9.85546875" style="146" customWidth="1"/>
    <col min="13833" max="13834" width="12.7109375" style="146" bestFit="1" customWidth="1"/>
    <col min="13835" max="13835" width="9.140625" style="146"/>
    <col min="13836" max="13836" width="10.28515625" style="146" bestFit="1" customWidth="1"/>
    <col min="13837" max="14081" width="9.140625" style="146"/>
    <col min="14082" max="14082" width="14.28515625" style="146" customWidth="1"/>
    <col min="14083" max="14083" width="19.28515625" style="146" customWidth="1"/>
    <col min="14084" max="14084" width="16" style="146" customWidth="1"/>
    <col min="14085" max="14085" width="17.140625" style="146" customWidth="1"/>
    <col min="14086" max="14086" width="10.140625" style="146" customWidth="1"/>
    <col min="14087" max="14087" width="10.5703125" style="146" customWidth="1"/>
    <col min="14088" max="14088" width="9.85546875" style="146" customWidth="1"/>
    <col min="14089" max="14090" width="12.7109375" style="146" bestFit="1" customWidth="1"/>
    <col min="14091" max="14091" width="9.140625" style="146"/>
    <col min="14092" max="14092" width="10.28515625" style="146" bestFit="1" customWidth="1"/>
    <col min="14093" max="14337" width="9.140625" style="146"/>
    <col min="14338" max="14338" width="14.28515625" style="146" customWidth="1"/>
    <col min="14339" max="14339" width="19.28515625" style="146" customWidth="1"/>
    <col min="14340" max="14340" width="16" style="146" customWidth="1"/>
    <col min="14341" max="14341" width="17.140625" style="146" customWidth="1"/>
    <col min="14342" max="14342" width="10.140625" style="146" customWidth="1"/>
    <col min="14343" max="14343" width="10.5703125" style="146" customWidth="1"/>
    <col min="14344" max="14344" width="9.85546875" style="146" customWidth="1"/>
    <col min="14345" max="14346" width="12.7109375" style="146" bestFit="1" customWidth="1"/>
    <col min="14347" max="14347" width="9.140625" style="146"/>
    <col min="14348" max="14348" width="10.28515625" style="146" bestFit="1" customWidth="1"/>
    <col min="14349" max="14593" width="9.140625" style="146"/>
    <col min="14594" max="14594" width="14.28515625" style="146" customWidth="1"/>
    <col min="14595" max="14595" width="19.28515625" style="146" customWidth="1"/>
    <col min="14596" max="14596" width="16" style="146" customWidth="1"/>
    <col min="14597" max="14597" width="17.140625" style="146" customWidth="1"/>
    <col min="14598" max="14598" width="10.140625" style="146" customWidth="1"/>
    <col min="14599" max="14599" width="10.5703125" style="146" customWidth="1"/>
    <col min="14600" max="14600" width="9.85546875" style="146" customWidth="1"/>
    <col min="14601" max="14602" width="12.7109375" style="146" bestFit="1" customWidth="1"/>
    <col min="14603" max="14603" width="9.140625" style="146"/>
    <col min="14604" max="14604" width="10.28515625" style="146" bestFit="1" customWidth="1"/>
    <col min="14605" max="14849" width="9.140625" style="146"/>
    <col min="14850" max="14850" width="14.28515625" style="146" customWidth="1"/>
    <col min="14851" max="14851" width="19.28515625" style="146" customWidth="1"/>
    <col min="14852" max="14852" width="16" style="146" customWidth="1"/>
    <col min="14853" max="14853" width="17.140625" style="146" customWidth="1"/>
    <col min="14854" max="14854" width="10.140625" style="146" customWidth="1"/>
    <col min="14855" max="14855" width="10.5703125" style="146" customWidth="1"/>
    <col min="14856" max="14856" width="9.85546875" style="146" customWidth="1"/>
    <col min="14857" max="14858" width="12.7109375" style="146" bestFit="1" customWidth="1"/>
    <col min="14859" max="14859" width="9.140625" style="146"/>
    <col min="14860" max="14860" width="10.28515625" style="146" bestFit="1" customWidth="1"/>
    <col min="14861" max="15105" width="9.140625" style="146"/>
    <col min="15106" max="15106" width="14.28515625" style="146" customWidth="1"/>
    <col min="15107" max="15107" width="19.28515625" style="146" customWidth="1"/>
    <col min="15108" max="15108" width="16" style="146" customWidth="1"/>
    <col min="15109" max="15109" width="17.140625" style="146" customWidth="1"/>
    <col min="15110" max="15110" width="10.140625" style="146" customWidth="1"/>
    <col min="15111" max="15111" width="10.5703125" style="146" customWidth="1"/>
    <col min="15112" max="15112" width="9.85546875" style="146" customWidth="1"/>
    <col min="15113" max="15114" width="12.7109375" style="146" bestFit="1" customWidth="1"/>
    <col min="15115" max="15115" width="9.140625" style="146"/>
    <col min="15116" max="15116" width="10.28515625" style="146" bestFit="1" customWidth="1"/>
    <col min="15117" max="15361" width="9.140625" style="146"/>
    <col min="15362" max="15362" width="14.28515625" style="146" customWidth="1"/>
    <col min="15363" max="15363" width="19.28515625" style="146" customWidth="1"/>
    <col min="15364" max="15364" width="16" style="146" customWidth="1"/>
    <col min="15365" max="15365" width="17.140625" style="146" customWidth="1"/>
    <col min="15366" max="15366" width="10.140625" style="146" customWidth="1"/>
    <col min="15367" max="15367" width="10.5703125" style="146" customWidth="1"/>
    <col min="15368" max="15368" width="9.85546875" style="146" customWidth="1"/>
    <col min="15369" max="15370" width="12.7109375" style="146" bestFit="1" customWidth="1"/>
    <col min="15371" max="15371" width="9.140625" style="146"/>
    <col min="15372" max="15372" width="10.28515625" style="146" bestFit="1" customWidth="1"/>
    <col min="15373" max="15617" width="9.140625" style="146"/>
    <col min="15618" max="15618" width="14.28515625" style="146" customWidth="1"/>
    <col min="15619" max="15619" width="19.28515625" style="146" customWidth="1"/>
    <col min="15620" max="15620" width="16" style="146" customWidth="1"/>
    <col min="15621" max="15621" width="17.140625" style="146" customWidth="1"/>
    <col min="15622" max="15622" width="10.140625" style="146" customWidth="1"/>
    <col min="15623" max="15623" width="10.5703125" style="146" customWidth="1"/>
    <col min="15624" max="15624" width="9.85546875" style="146" customWidth="1"/>
    <col min="15625" max="15626" width="12.7109375" style="146" bestFit="1" customWidth="1"/>
    <col min="15627" max="15627" width="9.140625" style="146"/>
    <col min="15628" max="15628" width="10.28515625" style="146" bestFit="1" customWidth="1"/>
    <col min="15629" max="15873" width="9.140625" style="146"/>
    <col min="15874" max="15874" width="14.28515625" style="146" customWidth="1"/>
    <col min="15875" max="15875" width="19.28515625" style="146" customWidth="1"/>
    <col min="15876" max="15876" width="16" style="146" customWidth="1"/>
    <col min="15877" max="15877" width="17.140625" style="146" customWidth="1"/>
    <col min="15878" max="15878" width="10.140625" style="146" customWidth="1"/>
    <col min="15879" max="15879" width="10.5703125" style="146" customWidth="1"/>
    <col min="15880" max="15880" width="9.85546875" style="146" customWidth="1"/>
    <col min="15881" max="15882" width="12.7109375" style="146" bestFit="1" customWidth="1"/>
    <col min="15883" max="15883" width="9.140625" style="146"/>
    <col min="15884" max="15884" width="10.28515625" style="146" bestFit="1" customWidth="1"/>
    <col min="15885" max="16129" width="9.140625" style="146"/>
    <col min="16130" max="16130" width="14.28515625" style="146" customWidth="1"/>
    <col min="16131" max="16131" width="19.28515625" style="146" customWidth="1"/>
    <col min="16132" max="16132" width="16" style="146" customWidth="1"/>
    <col min="16133" max="16133" width="17.140625" style="146" customWidth="1"/>
    <col min="16134" max="16134" width="10.140625" style="146" customWidth="1"/>
    <col min="16135" max="16135" width="10.5703125" style="146" customWidth="1"/>
    <col min="16136" max="16136" width="9.85546875" style="146" customWidth="1"/>
    <col min="16137" max="16138" width="12.7109375" style="146" bestFit="1" customWidth="1"/>
    <col min="16139" max="16139" width="9.140625" style="146"/>
    <col min="16140" max="16140" width="10.28515625" style="146" bestFit="1" customWidth="1"/>
    <col min="16141" max="16384" width="9.140625" style="146"/>
  </cols>
  <sheetData>
    <row r="1" spans="1:14" ht="28.5" customHeight="1" x14ac:dyDescent="0.25">
      <c r="A1" s="275" t="s">
        <v>339</v>
      </c>
      <c r="B1" s="275"/>
      <c r="C1" s="275"/>
      <c r="D1" s="275"/>
      <c r="E1" s="275"/>
      <c r="I1" s="349" t="s">
        <v>150</v>
      </c>
      <c r="J1" s="350"/>
      <c r="K1" s="350"/>
      <c r="L1" s="350"/>
      <c r="M1" s="350"/>
      <c r="N1" s="350"/>
    </row>
    <row r="2" spans="1:14" ht="28.5" customHeight="1" x14ac:dyDescent="0.25">
      <c r="A2" s="351" t="s">
        <v>291</v>
      </c>
      <c r="B2" s="352"/>
      <c r="C2" s="352"/>
      <c r="D2" s="352"/>
      <c r="E2" s="353"/>
      <c r="I2" s="251" t="s">
        <v>275</v>
      </c>
      <c r="J2" s="252"/>
      <c r="K2" s="253"/>
      <c r="L2" s="120">
        <v>1200</v>
      </c>
      <c r="M2" s="328">
        <v>0.44262000000000001</v>
      </c>
      <c r="N2" s="134">
        <f>ROUND(L2*M2,0)</f>
        <v>531</v>
      </c>
    </row>
    <row r="3" spans="1:14" ht="28.5" customHeight="1" x14ac:dyDescent="0.25">
      <c r="A3" s="327" t="s">
        <v>292</v>
      </c>
      <c r="B3" s="327"/>
      <c r="C3" s="327"/>
      <c r="D3" s="327"/>
      <c r="E3" s="327"/>
      <c r="I3" s="251" t="s">
        <v>276</v>
      </c>
      <c r="J3" s="252"/>
      <c r="K3" s="253"/>
      <c r="L3" s="120">
        <v>2500</v>
      </c>
      <c r="M3" s="328">
        <v>0.44262000000000001</v>
      </c>
      <c r="N3" s="134">
        <f>ROUND(L3*M3,0)</f>
        <v>1107</v>
      </c>
    </row>
    <row r="4" spans="1:14" s="329" customFormat="1" ht="28.5" customHeight="1" x14ac:dyDescent="0.25">
      <c r="A4" s="264" t="s">
        <v>293</v>
      </c>
      <c r="B4" s="265"/>
      <c r="C4" s="176">
        <v>1</v>
      </c>
      <c r="D4" s="176">
        <v>2</v>
      </c>
      <c r="E4" s="176" t="s">
        <v>294</v>
      </c>
      <c r="F4" s="146"/>
      <c r="G4" s="146"/>
      <c r="I4" s="251" t="s">
        <v>277</v>
      </c>
      <c r="J4" s="252"/>
      <c r="K4" s="253"/>
      <c r="L4" s="120">
        <v>1500</v>
      </c>
      <c r="M4" s="328">
        <v>0.44262000000000001</v>
      </c>
      <c r="N4" s="134">
        <f t="shared" ref="N4:N8" si="0">ROUND(L4*M4,0)</f>
        <v>664</v>
      </c>
    </row>
    <row r="5" spans="1:14" s="329" customFormat="1" ht="28.5" customHeight="1" x14ac:dyDescent="0.25">
      <c r="A5" s="266"/>
      <c r="B5" s="267"/>
      <c r="C5" s="176" t="s">
        <v>295</v>
      </c>
      <c r="D5" s="176" t="s">
        <v>296</v>
      </c>
      <c r="E5" s="176" t="s">
        <v>297</v>
      </c>
      <c r="F5" s="146"/>
      <c r="G5" s="146"/>
      <c r="I5" s="251" t="s">
        <v>278</v>
      </c>
      <c r="J5" s="252"/>
      <c r="K5" s="253"/>
      <c r="L5" s="120">
        <v>300</v>
      </c>
      <c r="M5" s="328">
        <v>0.44262000000000001</v>
      </c>
      <c r="N5" s="134">
        <f t="shared" si="0"/>
        <v>133</v>
      </c>
    </row>
    <row r="6" spans="1:14" s="329" customFormat="1" ht="28.5" customHeight="1" x14ac:dyDescent="0.25">
      <c r="A6" s="268"/>
      <c r="B6" s="269"/>
      <c r="C6" s="176" t="s">
        <v>298</v>
      </c>
      <c r="D6" s="176" t="s">
        <v>299</v>
      </c>
      <c r="E6" s="176" t="s">
        <v>300</v>
      </c>
      <c r="F6" s="146"/>
      <c r="G6" s="146"/>
      <c r="I6" s="251" t="s">
        <v>279</v>
      </c>
      <c r="J6" s="252"/>
      <c r="K6" s="253"/>
      <c r="L6" s="120">
        <v>2700</v>
      </c>
      <c r="M6" s="328">
        <v>0.44262000000000001</v>
      </c>
      <c r="N6" s="134">
        <f t="shared" si="0"/>
        <v>1195</v>
      </c>
    </row>
    <row r="7" spans="1:14" ht="28.5" customHeight="1" x14ac:dyDescent="0.25">
      <c r="A7" s="330" t="s">
        <v>301</v>
      </c>
      <c r="B7" s="330"/>
      <c r="C7" s="330"/>
      <c r="D7" s="330"/>
      <c r="E7" s="330"/>
      <c r="I7" s="251" t="s">
        <v>280</v>
      </c>
      <c r="J7" s="252"/>
      <c r="K7" s="253"/>
      <c r="L7" s="120">
        <v>9000</v>
      </c>
      <c r="M7" s="328">
        <v>0.44262000000000001</v>
      </c>
      <c r="N7" s="134">
        <f t="shared" si="0"/>
        <v>3984</v>
      </c>
    </row>
    <row r="8" spans="1:14" ht="28.5" customHeight="1" x14ac:dyDescent="0.25">
      <c r="A8" s="157" t="s">
        <v>382</v>
      </c>
      <c r="B8" s="120">
        <v>1</v>
      </c>
      <c r="C8" s="120">
        <f>N2</f>
        <v>531</v>
      </c>
      <c r="D8" s="331">
        <f>'G2 ROO-MT Servente'!G112</f>
        <v>6370.3678065965551</v>
      </c>
      <c r="E8" s="331">
        <f>(B8/C8)*D8</f>
        <v>11.996926189447372</v>
      </c>
      <c r="H8" s="332"/>
      <c r="I8" s="251" t="s">
        <v>290</v>
      </c>
      <c r="J8" s="252"/>
      <c r="K8" s="253"/>
      <c r="L8" s="120">
        <v>2700</v>
      </c>
      <c r="M8" s="328">
        <v>0.44262000000000001</v>
      </c>
      <c r="N8" s="134">
        <f t="shared" si="0"/>
        <v>1195</v>
      </c>
    </row>
    <row r="9" spans="1:14" ht="28.5" customHeight="1" x14ac:dyDescent="0.25">
      <c r="A9" s="333" t="s">
        <v>302</v>
      </c>
      <c r="B9" s="333"/>
      <c r="C9" s="333"/>
      <c r="D9" s="333"/>
      <c r="E9" s="334">
        <f>SUM(E8:E8)</f>
        <v>11.996926189447372</v>
      </c>
      <c r="H9" s="332"/>
      <c r="I9" s="251" t="s">
        <v>282</v>
      </c>
      <c r="J9" s="252"/>
      <c r="K9" s="253"/>
      <c r="L9" s="120">
        <v>380</v>
      </c>
      <c r="M9" s="328">
        <v>0.44262000000000001</v>
      </c>
      <c r="N9" s="134">
        <f>ROUND(L9*M9,0)</f>
        <v>168</v>
      </c>
    </row>
    <row r="10" spans="1:14" ht="28.5" customHeight="1" x14ac:dyDescent="0.25">
      <c r="A10" s="330" t="s">
        <v>303</v>
      </c>
      <c r="B10" s="330"/>
      <c r="C10" s="330"/>
      <c r="D10" s="330"/>
      <c r="E10" s="330"/>
      <c r="H10" s="335"/>
      <c r="I10" s="251" t="s">
        <v>281</v>
      </c>
      <c r="J10" s="252"/>
      <c r="K10" s="253"/>
      <c r="L10" s="120">
        <v>380</v>
      </c>
      <c r="M10" s="328">
        <v>0.44262000000000001</v>
      </c>
      <c r="N10" s="134">
        <f t="shared" ref="N10" si="1">ROUND(L10*M10,0)</f>
        <v>168</v>
      </c>
    </row>
    <row r="11" spans="1:14" ht="28.5" customHeight="1" x14ac:dyDescent="0.25">
      <c r="A11" s="157" t="s">
        <v>382</v>
      </c>
      <c r="B11" s="120">
        <v>1</v>
      </c>
      <c r="C11" s="336">
        <f>N3</f>
        <v>1107</v>
      </c>
      <c r="D11" s="331">
        <f>'G2 ROO-MT Servente'!G112</f>
        <v>6370.3678065965551</v>
      </c>
      <c r="E11" s="331">
        <f>(B11/C11)*D11</f>
        <v>5.7546231315235365</v>
      </c>
      <c r="H11" s="354"/>
      <c r="I11" s="354"/>
      <c r="J11" s="329"/>
      <c r="K11" s="329"/>
      <c r="L11" s="329"/>
    </row>
    <row r="12" spans="1:14" ht="28.5" customHeight="1" x14ac:dyDescent="0.25">
      <c r="A12" s="333" t="s">
        <v>302</v>
      </c>
      <c r="B12" s="333"/>
      <c r="C12" s="333"/>
      <c r="D12" s="333"/>
      <c r="E12" s="334">
        <f>SUM(E11:E11)</f>
        <v>5.7546231315235365</v>
      </c>
    </row>
    <row r="13" spans="1:14" ht="28.5" customHeight="1" x14ac:dyDescent="0.25">
      <c r="A13" s="330" t="s">
        <v>304</v>
      </c>
      <c r="B13" s="330"/>
      <c r="C13" s="330"/>
      <c r="D13" s="330"/>
      <c r="E13" s="330"/>
      <c r="F13" s="335"/>
    </row>
    <row r="14" spans="1:14" ht="28.5" customHeight="1" x14ac:dyDescent="0.25">
      <c r="A14" s="157" t="s">
        <v>382</v>
      </c>
      <c r="B14" s="120">
        <v>1</v>
      </c>
      <c r="C14" s="120">
        <f>N4</f>
        <v>664</v>
      </c>
      <c r="D14" s="331">
        <f>'G2 ROO-MT Servente'!G112</f>
        <v>6370.3678065965551</v>
      </c>
      <c r="E14" s="331">
        <f>(B14/C14)*D14</f>
        <v>9.5939274195731254</v>
      </c>
    </row>
    <row r="15" spans="1:14" ht="28.5" customHeight="1" x14ac:dyDescent="0.25">
      <c r="A15" s="333" t="s">
        <v>302</v>
      </c>
      <c r="B15" s="333"/>
      <c r="C15" s="333"/>
      <c r="D15" s="333"/>
      <c r="E15" s="334">
        <f>SUM(E14:E14)</f>
        <v>9.5939274195731254</v>
      </c>
    </row>
    <row r="16" spans="1:14" ht="28.5" customHeight="1" x14ac:dyDescent="0.25">
      <c r="A16" s="330" t="s">
        <v>305</v>
      </c>
      <c r="B16" s="330"/>
      <c r="C16" s="330"/>
      <c r="D16" s="330"/>
      <c r="E16" s="330"/>
    </row>
    <row r="17" spans="1:12" ht="28.5" customHeight="1" x14ac:dyDescent="0.25">
      <c r="A17" s="157" t="s">
        <v>382</v>
      </c>
      <c r="B17" s="120">
        <v>1</v>
      </c>
      <c r="C17" s="120">
        <f>N5</f>
        <v>133</v>
      </c>
      <c r="D17" s="331">
        <f>'G2 ROO-MT Servente'!G112</f>
        <v>6370.3678065965551</v>
      </c>
      <c r="E17" s="331">
        <f>(B17/C17)*D17</f>
        <v>47.897502305237253</v>
      </c>
    </row>
    <row r="18" spans="1:12" ht="28.5" customHeight="1" x14ac:dyDescent="0.25">
      <c r="A18" s="333" t="s">
        <v>302</v>
      </c>
      <c r="B18" s="333"/>
      <c r="C18" s="333"/>
      <c r="D18" s="333"/>
      <c r="E18" s="334">
        <f>SUM(E17:E17)</f>
        <v>47.897502305237253</v>
      </c>
    </row>
    <row r="19" spans="1:12" ht="28.5" customHeight="1" x14ac:dyDescent="0.25">
      <c r="A19" s="327" t="s">
        <v>306</v>
      </c>
      <c r="B19" s="327"/>
      <c r="C19" s="327"/>
      <c r="D19" s="327"/>
      <c r="E19" s="327"/>
    </row>
    <row r="20" spans="1:12" s="329" customFormat="1" ht="28.5" customHeight="1" x14ac:dyDescent="0.25">
      <c r="A20" s="264" t="s">
        <v>293</v>
      </c>
      <c r="B20" s="265"/>
      <c r="C20" s="176">
        <v>1</v>
      </c>
      <c r="D20" s="176">
        <v>2</v>
      </c>
      <c r="E20" s="176" t="s">
        <v>294</v>
      </c>
      <c r="F20" s="146"/>
      <c r="G20" s="146"/>
      <c r="H20" s="146"/>
      <c r="I20" s="146"/>
      <c r="J20" s="146"/>
      <c r="K20" s="146"/>
      <c r="L20" s="146"/>
    </row>
    <row r="21" spans="1:12" s="329" customFormat="1" ht="28.5" customHeight="1" x14ac:dyDescent="0.25">
      <c r="A21" s="266"/>
      <c r="B21" s="267"/>
      <c r="C21" s="176" t="s">
        <v>295</v>
      </c>
      <c r="D21" s="176" t="s">
        <v>307</v>
      </c>
      <c r="E21" s="176" t="s">
        <v>297</v>
      </c>
      <c r="F21" s="146"/>
      <c r="G21" s="146"/>
      <c r="H21" s="146"/>
      <c r="I21" s="146"/>
      <c r="J21" s="146"/>
      <c r="K21" s="146"/>
      <c r="L21" s="146"/>
    </row>
    <row r="22" spans="1:12" s="329" customFormat="1" ht="28.5" customHeight="1" x14ac:dyDescent="0.25">
      <c r="A22" s="268"/>
      <c r="B22" s="269"/>
      <c r="C22" s="176" t="s">
        <v>308</v>
      </c>
      <c r="D22" s="176" t="s">
        <v>299</v>
      </c>
      <c r="E22" s="176" t="s">
        <v>309</v>
      </c>
      <c r="F22" s="146"/>
      <c r="G22" s="146"/>
      <c r="H22" s="146"/>
      <c r="I22" s="146"/>
      <c r="J22" s="146"/>
      <c r="K22" s="146"/>
      <c r="L22" s="146"/>
    </row>
    <row r="23" spans="1:12" ht="28.5" customHeight="1" x14ac:dyDescent="0.25">
      <c r="A23" s="330" t="s">
        <v>310</v>
      </c>
      <c r="B23" s="330"/>
      <c r="C23" s="330"/>
      <c r="D23" s="330"/>
      <c r="E23" s="330"/>
    </row>
    <row r="24" spans="1:12" ht="28.5" customHeight="1" x14ac:dyDescent="0.25">
      <c r="A24" s="157" t="s">
        <v>382</v>
      </c>
      <c r="B24" s="120">
        <v>1</v>
      </c>
      <c r="C24" s="336">
        <f>N6</f>
        <v>1195</v>
      </c>
      <c r="D24" s="331">
        <f>'G2 ROO-MT Servente'!G112</f>
        <v>6370.3678065965551</v>
      </c>
      <c r="E24" s="331">
        <f>(B24/C24)*D24</f>
        <v>5.3308517210013013</v>
      </c>
    </row>
    <row r="25" spans="1:12" s="329" customFormat="1" ht="28.5" customHeight="1" x14ac:dyDescent="0.25">
      <c r="A25" s="333" t="s">
        <v>302</v>
      </c>
      <c r="B25" s="333"/>
      <c r="C25" s="333"/>
      <c r="D25" s="333"/>
      <c r="E25" s="334">
        <f>SUM(E24:E24)</f>
        <v>5.3308517210013013</v>
      </c>
    </row>
    <row r="26" spans="1:12" s="329" customFormat="1" ht="28.5" customHeight="1" x14ac:dyDescent="0.25">
      <c r="A26" s="330" t="s">
        <v>311</v>
      </c>
      <c r="B26" s="330"/>
      <c r="C26" s="330"/>
      <c r="D26" s="330"/>
      <c r="E26" s="330"/>
    </row>
    <row r="27" spans="1:12" s="329" customFormat="1" ht="28.5" customHeight="1" x14ac:dyDescent="0.25">
      <c r="A27" s="157" t="s">
        <v>382</v>
      </c>
      <c r="B27" s="120">
        <v>1</v>
      </c>
      <c r="C27" s="336">
        <f>N7</f>
        <v>3984</v>
      </c>
      <c r="D27" s="331">
        <f>'G2 ROO-MT Servente'!G112</f>
        <v>6370.3678065965551</v>
      </c>
      <c r="E27" s="331">
        <f>(B27/C27)*D27</f>
        <v>1.5989879032621874</v>
      </c>
    </row>
    <row r="28" spans="1:12" s="329" customFormat="1" ht="28.5" customHeight="1" x14ac:dyDescent="0.25">
      <c r="A28" s="333" t="s">
        <v>302</v>
      </c>
      <c r="B28" s="333"/>
      <c r="C28" s="333"/>
      <c r="D28" s="333"/>
      <c r="E28" s="334">
        <f>SUM(E27:E27)</f>
        <v>1.5989879032621874</v>
      </c>
    </row>
    <row r="29" spans="1:12" ht="28.5" customHeight="1" x14ac:dyDescent="0.25">
      <c r="A29" s="330" t="s">
        <v>312</v>
      </c>
      <c r="B29" s="330"/>
      <c r="C29" s="330"/>
      <c r="D29" s="330"/>
      <c r="E29" s="330"/>
    </row>
    <row r="30" spans="1:12" ht="28.5" customHeight="1" x14ac:dyDescent="0.25">
      <c r="A30" s="157" t="s">
        <v>382</v>
      </c>
      <c r="B30" s="120">
        <v>1</v>
      </c>
      <c r="C30" s="336">
        <f>N8</f>
        <v>1195</v>
      </c>
      <c r="D30" s="331">
        <f>'G2 ROO-MT Servente'!G112</f>
        <v>6370.3678065965551</v>
      </c>
      <c r="E30" s="331">
        <f>(1/2700)*D30</f>
        <v>2.3593954839246498</v>
      </c>
    </row>
    <row r="31" spans="1:12" s="329" customFormat="1" ht="28.5" customHeight="1" x14ac:dyDescent="0.25">
      <c r="A31" s="333" t="s">
        <v>302</v>
      </c>
      <c r="B31" s="333"/>
      <c r="C31" s="333"/>
      <c r="D31" s="333"/>
      <c r="E31" s="334">
        <f>SUM(E30:E30)</f>
        <v>2.3593954839246498</v>
      </c>
    </row>
    <row r="32" spans="1:12" ht="28.5" customHeight="1" x14ac:dyDescent="0.25">
      <c r="A32" s="330" t="s">
        <v>313</v>
      </c>
      <c r="B32" s="330"/>
      <c r="C32" s="330"/>
      <c r="D32" s="330"/>
      <c r="E32" s="330"/>
      <c r="F32" s="330"/>
      <c r="G32" s="330"/>
      <c r="H32" s="330"/>
    </row>
    <row r="33" spans="1:8" ht="28.5" customHeight="1" x14ac:dyDescent="0.25">
      <c r="A33" s="330" t="s">
        <v>314</v>
      </c>
      <c r="B33" s="330"/>
      <c r="C33" s="330"/>
      <c r="D33" s="330"/>
      <c r="E33" s="330"/>
      <c r="F33" s="330"/>
      <c r="G33" s="330"/>
      <c r="H33" s="330"/>
    </row>
    <row r="34" spans="1:8" ht="60" customHeight="1" x14ac:dyDescent="0.25">
      <c r="A34" s="248" t="s">
        <v>293</v>
      </c>
      <c r="B34" s="250"/>
      <c r="C34" s="176" t="s">
        <v>315</v>
      </c>
      <c r="D34" s="176" t="s">
        <v>316</v>
      </c>
      <c r="E34" s="176" t="s">
        <v>317</v>
      </c>
      <c r="F34" s="176" t="s">
        <v>318</v>
      </c>
      <c r="G34" s="176" t="s">
        <v>319</v>
      </c>
      <c r="H34" s="176" t="s">
        <v>320</v>
      </c>
    </row>
    <row r="35" spans="1:8" ht="39.75" customHeight="1" x14ac:dyDescent="0.25">
      <c r="A35" s="157" t="s">
        <v>382</v>
      </c>
      <c r="B35" s="120">
        <v>1</v>
      </c>
      <c r="C35" s="120">
        <f>N9</f>
        <v>168</v>
      </c>
      <c r="D35" s="120">
        <v>16</v>
      </c>
      <c r="E35" s="120" t="s">
        <v>321</v>
      </c>
      <c r="F35" s="340">
        <f>(B35/C35)*16*(1/188.76)</f>
        <v>5.0454595909141362E-4</v>
      </c>
      <c r="G35" s="331">
        <f>'G2 ROO-MT Servente'!G112</f>
        <v>6370.3678065965551</v>
      </c>
      <c r="H35" s="331">
        <f>G35*F35</f>
        <v>3.2141433347443238</v>
      </c>
    </row>
    <row r="36" spans="1:8" s="329" customFormat="1" ht="39.75" customHeight="1" x14ac:dyDescent="0.25">
      <c r="A36" s="341" t="s">
        <v>302</v>
      </c>
      <c r="B36" s="342"/>
      <c r="C36" s="342"/>
      <c r="D36" s="342"/>
      <c r="E36" s="342"/>
      <c r="F36" s="342"/>
      <c r="G36" s="343"/>
      <c r="H36" s="334">
        <f>SUM(H35:H35)</f>
        <v>3.2141433347443238</v>
      </c>
    </row>
    <row r="37" spans="1:8" ht="39.75" customHeight="1" x14ac:dyDescent="0.25">
      <c r="A37" s="330" t="s">
        <v>322</v>
      </c>
      <c r="B37" s="330"/>
      <c r="C37" s="330"/>
      <c r="D37" s="330"/>
      <c r="E37" s="330"/>
      <c r="F37" s="330"/>
      <c r="G37" s="330"/>
      <c r="H37" s="330"/>
    </row>
    <row r="38" spans="1:8" ht="39.75" customHeight="1" thickBot="1" x14ac:dyDescent="0.3">
      <c r="A38" s="344" t="s">
        <v>323</v>
      </c>
      <c r="B38" s="345"/>
      <c r="C38" s="345"/>
      <c r="D38" s="345"/>
      <c r="E38" s="345"/>
      <c r="F38" s="345"/>
      <c r="G38" s="345"/>
      <c r="H38" s="345"/>
    </row>
    <row r="39" spans="1:8" ht="67.5" customHeight="1" x14ac:dyDescent="0.25">
      <c r="A39" s="262" t="s">
        <v>293</v>
      </c>
      <c r="B39" s="263"/>
      <c r="C39" s="176" t="s">
        <v>315</v>
      </c>
      <c r="D39" s="176" t="s">
        <v>316</v>
      </c>
      <c r="E39" s="176" t="s">
        <v>317</v>
      </c>
      <c r="F39" s="176" t="s">
        <v>318</v>
      </c>
      <c r="G39" s="176" t="s">
        <v>319</v>
      </c>
      <c r="H39" s="176" t="s">
        <v>320</v>
      </c>
    </row>
    <row r="40" spans="1:8" ht="39.75" customHeight="1" x14ac:dyDescent="0.25">
      <c r="A40" s="157" t="s">
        <v>382</v>
      </c>
      <c r="B40" s="120">
        <v>1</v>
      </c>
      <c r="C40" s="120">
        <f>N10</f>
        <v>168</v>
      </c>
      <c r="D40" s="120">
        <v>16</v>
      </c>
      <c r="E40" s="120" t="s">
        <v>321</v>
      </c>
      <c r="F40" s="340">
        <f>(B40/C40)*16*(1/188.76)</f>
        <v>5.0454595909141362E-4</v>
      </c>
      <c r="G40" s="331">
        <f>'G2 ROO-MT Servente'!G112</f>
        <v>6370.3678065965551</v>
      </c>
      <c r="H40" s="331">
        <f>G40*F40</f>
        <v>3.2141433347443238</v>
      </c>
    </row>
    <row r="41" spans="1:8" s="329" customFormat="1" ht="39.75" customHeight="1" x14ac:dyDescent="0.25">
      <c r="A41" s="341" t="s">
        <v>302</v>
      </c>
      <c r="B41" s="342"/>
      <c r="C41" s="342"/>
      <c r="D41" s="342"/>
      <c r="E41" s="342"/>
      <c r="F41" s="342"/>
      <c r="G41" s="343"/>
      <c r="H41" s="334">
        <f>SUM(H40:H40)</f>
        <v>3.2141433347443238</v>
      </c>
    </row>
    <row r="45" spans="1:8" x14ac:dyDescent="0.25">
      <c r="A45" s="346"/>
      <c r="B45" s="346"/>
      <c r="C45" s="346"/>
      <c r="D45" s="347"/>
      <c r="E45" s="347"/>
      <c r="F45" s="347"/>
      <c r="G45" s="347"/>
      <c r="H45" s="347"/>
    </row>
    <row r="46" spans="1:8" ht="43.5" customHeight="1" x14ac:dyDescent="0.25">
      <c r="A46" s="348"/>
      <c r="B46" s="348"/>
      <c r="C46" s="348"/>
      <c r="D46" s="348"/>
      <c r="E46" s="348"/>
      <c r="F46" s="348"/>
      <c r="G46" s="348"/>
      <c r="H46" s="348"/>
    </row>
  </sheetData>
  <mergeCells count="40">
    <mergeCell ref="A4:B6"/>
    <mergeCell ref="A20:B22"/>
    <mergeCell ref="A10:E10"/>
    <mergeCell ref="I10:K10"/>
    <mergeCell ref="A12:D12"/>
    <mergeCell ref="A13:E13"/>
    <mergeCell ref="A15:D15"/>
    <mergeCell ref="A45:C45"/>
    <mergeCell ref="A46:H46"/>
    <mergeCell ref="A32:H32"/>
    <mergeCell ref="A33:H33"/>
    <mergeCell ref="A36:G36"/>
    <mergeCell ref="A37:H37"/>
    <mergeCell ref="A38:H38"/>
    <mergeCell ref="A41:G41"/>
    <mergeCell ref="A39:B39"/>
    <mergeCell ref="A34:B34"/>
    <mergeCell ref="A26:E26"/>
    <mergeCell ref="A28:D28"/>
    <mergeCell ref="A29:E29"/>
    <mergeCell ref="A31:D31"/>
    <mergeCell ref="A16:E16"/>
    <mergeCell ref="A18:D18"/>
    <mergeCell ref="A19:E19"/>
    <mergeCell ref="A23:E23"/>
    <mergeCell ref="A25:D25"/>
    <mergeCell ref="A7:E7"/>
    <mergeCell ref="I6:K6"/>
    <mergeCell ref="I7:K7"/>
    <mergeCell ref="I8:K8"/>
    <mergeCell ref="A9:D9"/>
    <mergeCell ref="I9:K9"/>
    <mergeCell ref="I4:K4"/>
    <mergeCell ref="I5:K5"/>
    <mergeCell ref="A1:E1"/>
    <mergeCell ref="A2:E2"/>
    <mergeCell ref="I1:N1"/>
    <mergeCell ref="A3:E3"/>
    <mergeCell ref="I2:K2"/>
    <mergeCell ref="I3:K3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7B92-C117-41E2-8CCF-F362D1BEF806}">
  <sheetPr>
    <pageSetUpPr fitToPage="1"/>
  </sheetPr>
  <dimension ref="A1:ALZ114"/>
  <sheetViews>
    <sheetView showGridLines="0" topLeftCell="A6" zoomScaleNormal="100" workbookViewId="0">
      <selection activeCell="D24" sqref="D24:E24"/>
    </sheetView>
  </sheetViews>
  <sheetFormatPr defaultColWidth="9.140625"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5" customWidth="1"/>
    <col min="1026" max="16384" width="9.140625" style="75"/>
  </cols>
  <sheetData>
    <row r="1" spans="1:7" ht="28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37" t="s">
        <v>108</v>
      </c>
      <c r="B3" s="237"/>
      <c r="C3" s="237"/>
      <c r="D3" s="237"/>
      <c r="E3" s="237"/>
      <c r="F3" s="237"/>
      <c r="G3" s="237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29" t="s">
        <v>1</v>
      </c>
      <c r="B5" s="229"/>
      <c r="C5" s="229"/>
      <c r="D5" s="229"/>
      <c r="E5" s="229"/>
      <c r="F5" s="229"/>
      <c r="G5" s="229"/>
    </row>
    <row r="6" spans="1:7" ht="21.75" customHeight="1" x14ac:dyDescent="0.2">
      <c r="A6" s="229" t="s">
        <v>2</v>
      </c>
      <c r="B6" s="229"/>
      <c r="C6" s="229"/>
      <c r="D6" s="229"/>
      <c r="E6" s="229"/>
      <c r="F6" s="229"/>
      <c r="G6" s="22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238" t="s">
        <v>3</v>
      </c>
      <c r="B8" s="238"/>
      <c r="C8" s="238"/>
      <c r="D8" s="238"/>
      <c r="E8" s="238"/>
      <c r="F8" s="238"/>
      <c r="G8" s="238"/>
    </row>
    <row r="9" spans="1:7" s="6" customFormat="1" ht="3.75" customHeight="1" x14ac:dyDescent="0.2">
      <c r="A9" s="239"/>
      <c r="B9" s="239"/>
      <c r="C9" s="239"/>
      <c r="D9" s="239"/>
      <c r="E9" s="239"/>
      <c r="F9" s="239"/>
      <c r="G9" s="239"/>
    </row>
    <row r="10" spans="1:7" s="6" customFormat="1" ht="21.75" customHeight="1" x14ac:dyDescent="0.25">
      <c r="A10" s="197" t="s">
        <v>4</v>
      </c>
      <c r="B10" s="197"/>
      <c r="C10" s="197"/>
      <c r="D10" s="197"/>
      <c r="E10" s="197"/>
      <c r="F10" s="197"/>
      <c r="G10" s="197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163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157</v>
      </c>
    </row>
    <row r="13" spans="1:7" s="6" customFormat="1" ht="34.5" customHeight="1" x14ac:dyDescent="0.25">
      <c r="A13" s="11" t="s">
        <v>9</v>
      </c>
      <c r="B13" s="233" t="s">
        <v>10</v>
      </c>
      <c r="C13" s="233"/>
      <c r="D13" s="233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33" t="s">
        <v>19</v>
      </c>
      <c r="C17" s="234"/>
      <c r="D17" s="235" t="s">
        <v>347</v>
      </c>
      <c r="E17" s="235"/>
      <c r="F17" s="22"/>
      <c r="G17" s="24">
        <v>1511.95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33" t="s">
        <v>26</v>
      </c>
      <c r="C20" s="233"/>
      <c r="D20" s="233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198" t="s">
        <v>27</v>
      </c>
      <c r="B22" s="198"/>
      <c r="C22" s="198"/>
      <c r="D22" s="198"/>
      <c r="E22" s="198"/>
      <c r="F22" s="198"/>
      <c r="G22" s="198"/>
    </row>
    <row r="23" spans="1:7" s="1" customFormat="1" ht="19.5" customHeight="1" x14ac:dyDescent="0.25">
      <c r="A23" s="240"/>
      <c r="B23" s="240"/>
      <c r="C23" s="240"/>
      <c r="D23" s="240"/>
      <c r="E23" s="240"/>
      <c r="F23" s="240"/>
      <c r="G23" s="28" t="s">
        <v>28</v>
      </c>
    </row>
    <row r="24" spans="1:7" s="1" customFormat="1" ht="35.25" customHeight="1" x14ac:dyDescent="0.25">
      <c r="A24" s="29" t="s">
        <v>5</v>
      </c>
      <c r="B24" s="30" t="s">
        <v>29</v>
      </c>
      <c r="C24" s="31"/>
      <c r="D24" s="235"/>
      <c r="E24" s="235"/>
      <c r="F24" s="31"/>
      <c r="G24" s="173">
        <f>G17</f>
        <v>1511.95</v>
      </c>
    </row>
    <row r="25" spans="1:7" s="1" customFormat="1" ht="45" x14ac:dyDescent="0.25">
      <c r="A25" s="29" t="s">
        <v>7</v>
      </c>
      <c r="B25" s="33" t="s">
        <v>113</v>
      </c>
      <c r="C25" s="34"/>
      <c r="D25" s="174" t="s">
        <v>359</v>
      </c>
      <c r="E25" s="193">
        <v>0.4</v>
      </c>
      <c r="F25" s="193"/>
      <c r="G25" s="32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348</v>
      </c>
      <c r="C26" s="34"/>
      <c r="D26" s="235" t="s">
        <v>347</v>
      </c>
      <c r="E26" s="235"/>
      <c r="F26" s="22"/>
      <c r="G26" s="24">
        <v>58.49</v>
      </c>
    </row>
    <row r="27" spans="1:7" s="1" customFormat="1" ht="21.75" customHeight="1" x14ac:dyDescent="0.25">
      <c r="A27" s="197" t="s">
        <v>30</v>
      </c>
      <c r="B27" s="197"/>
      <c r="C27" s="197"/>
      <c r="D27" s="197"/>
      <c r="E27" s="197"/>
      <c r="F27" s="197"/>
      <c r="G27" s="35">
        <f>SUM(G24:G26)</f>
        <v>2135.2399999999998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198" t="s">
        <v>31</v>
      </c>
      <c r="B29" s="198"/>
      <c r="C29" s="198"/>
      <c r="D29" s="198"/>
      <c r="E29" s="198"/>
      <c r="F29" s="198"/>
      <c r="G29" s="198"/>
    </row>
    <row r="30" spans="1:7" s="1" customFormat="1" ht="19.5" customHeight="1" x14ac:dyDescent="0.25">
      <c r="A30" s="208" t="s">
        <v>32</v>
      </c>
      <c r="B30" s="208"/>
      <c r="C30" s="208"/>
      <c r="D30" s="208"/>
      <c r="E30" s="208"/>
      <c r="F30" s="208"/>
      <c r="G30" s="208"/>
    </row>
    <row r="31" spans="1:7" s="1" customFormat="1" ht="19.5" customHeight="1" x14ac:dyDescent="0.25">
      <c r="A31" s="196"/>
      <c r="B31" s="196"/>
      <c r="C31" s="196"/>
      <c r="D31" s="196"/>
      <c r="E31" s="232" t="s">
        <v>33</v>
      </c>
      <c r="F31" s="232"/>
      <c r="G31" s="28" t="s">
        <v>28</v>
      </c>
    </row>
    <row r="32" spans="1:7" ht="19.5" customHeight="1" x14ac:dyDescent="0.2">
      <c r="A32" s="36" t="s">
        <v>5</v>
      </c>
      <c r="B32" s="229" t="s">
        <v>34</v>
      </c>
      <c r="C32" s="229"/>
      <c r="D32" s="229"/>
      <c r="E32" s="193">
        <v>8.3299999999999999E-2</v>
      </c>
      <c r="F32" s="193"/>
      <c r="G32" s="37">
        <f>ROUND($E$32*$G$27,2)</f>
        <v>177.87</v>
      </c>
    </row>
    <row r="33" spans="1:7" ht="49.5" customHeight="1" x14ac:dyDescent="0.2">
      <c r="A33" s="36" t="s">
        <v>7</v>
      </c>
      <c r="B33" s="213" t="s">
        <v>35</v>
      </c>
      <c r="C33" s="229"/>
      <c r="D33" s="229"/>
      <c r="E33" s="230">
        <v>2.7799999999999998E-2</v>
      </c>
      <c r="F33" s="230"/>
      <c r="G33" s="37">
        <f>ROUND($E$33*$G$27,2)</f>
        <v>59.36</v>
      </c>
    </row>
    <row r="34" spans="1:7" ht="19.5" customHeight="1" x14ac:dyDescent="0.2">
      <c r="A34" s="208" t="s">
        <v>36</v>
      </c>
      <c r="B34" s="208"/>
      <c r="C34" s="208"/>
      <c r="D34" s="208"/>
      <c r="E34" s="231">
        <f>SUM(E32:E33)</f>
        <v>0.1111</v>
      </c>
      <c r="F34" s="231"/>
      <c r="G34" s="38">
        <f>SUM(G32:G33)</f>
        <v>237.23000000000002</v>
      </c>
    </row>
    <row r="35" spans="1:7" s="39" customFormat="1" ht="19.5" customHeight="1" x14ac:dyDescent="0.25">
      <c r="A35" s="208" t="s">
        <v>37</v>
      </c>
      <c r="B35" s="208"/>
      <c r="C35" s="208"/>
      <c r="D35" s="208"/>
      <c r="E35" s="208"/>
      <c r="F35" s="208"/>
      <c r="G35" s="208"/>
    </row>
    <row r="36" spans="1:7" s="39" customFormat="1" ht="39" customHeight="1" x14ac:dyDescent="0.25">
      <c r="A36" s="36" t="s">
        <v>5</v>
      </c>
      <c r="B36" s="33" t="s">
        <v>38</v>
      </c>
      <c r="C36" s="40"/>
      <c r="D36" s="224" t="s">
        <v>39</v>
      </c>
      <c r="E36" s="224"/>
      <c r="F36" s="41">
        <v>0.2</v>
      </c>
      <c r="G36" s="37">
        <f>ROUND(F36*($G$27+$G$34),2)</f>
        <v>474.49</v>
      </c>
    </row>
    <row r="37" spans="1:7" s="39" customFormat="1" ht="39" customHeight="1" x14ac:dyDescent="0.25">
      <c r="A37" s="36" t="s">
        <v>7</v>
      </c>
      <c r="B37" s="33" t="s">
        <v>40</v>
      </c>
      <c r="C37" s="40"/>
      <c r="D37" s="224" t="s">
        <v>41</v>
      </c>
      <c r="E37" s="224"/>
      <c r="F37" s="42">
        <v>2.5000000000000001E-2</v>
      </c>
      <c r="G37" s="37">
        <f t="shared" ref="G37:G43" si="0">ROUND(F37*($G$27+$G$34),2)</f>
        <v>59.31</v>
      </c>
    </row>
    <row r="38" spans="1:7" s="39" customFormat="1" ht="62.25" customHeight="1" x14ac:dyDescent="0.25">
      <c r="A38" s="36" t="s">
        <v>9</v>
      </c>
      <c r="B38" s="222" t="s">
        <v>42</v>
      </c>
      <c r="C38" s="228"/>
      <c r="D38" s="224" t="s">
        <v>43</v>
      </c>
      <c r="E38" s="224"/>
      <c r="F38" s="43">
        <v>0.06</v>
      </c>
      <c r="G38" s="37">
        <f t="shared" si="0"/>
        <v>142.35</v>
      </c>
    </row>
    <row r="39" spans="1:7" s="39" customFormat="1" ht="48" customHeight="1" x14ac:dyDescent="0.25">
      <c r="A39" s="36" t="s">
        <v>11</v>
      </c>
      <c r="B39" s="33" t="s">
        <v>44</v>
      </c>
      <c r="C39" s="40"/>
      <c r="D39" s="224" t="s">
        <v>41</v>
      </c>
      <c r="E39" s="224"/>
      <c r="F39" s="42">
        <v>1.4999999999999999E-2</v>
      </c>
      <c r="G39" s="37">
        <f t="shared" si="0"/>
        <v>35.590000000000003</v>
      </c>
    </row>
    <row r="40" spans="1:7" s="39" customFormat="1" ht="43.5" customHeight="1" x14ac:dyDescent="0.25">
      <c r="A40" s="36" t="s">
        <v>13</v>
      </c>
      <c r="B40" s="33" t="s">
        <v>45</v>
      </c>
      <c r="C40" s="40"/>
      <c r="D40" s="224" t="s">
        <v>41</v>
      </c>
      <c r="E40" s="224"/>
      <c r="F40" s="42">
        <v>0.01</v>
      </c>
      <c r="G40" s="37">
        <f t="shared" si="0"/>
        <v>23.72</v>
      </c>
    </row>
    <row r="41" spans="1:7" s="39" customFormat="1" ht="42.75" customHeight="1" x14ac:dyDescent="0.25">
      <c r="A41" s="36" t="s">
        <v>15</v>
      </c>
      <c r="B41" s="33" t="s">
        <v>46</v>
      </c>
      <c r="C41" s="40"/>
      <c r="D41" s="224" t="s">
        <v>41</v>
      </c>
      <c r="E41" s="224"/>
      <c r="F41" s="42">
        <v>6.0000000000000001E-3</v>
      </c>
      <c r="G41" s="37">
        <f t="shared" si="0"/>
        <v>14.23</v>
      </c>
    </row>
    <row r="42" spans="1:7" s="39" customFormat="1" ht="46.5" customHeight="1" x14ac:dyDescent="0.25">
      <c r="A42" s="36" t="s">
        <v>18</v>
      </c>
      <c r="B42" s="33" t="s">
        <v>47</v>
      </c>
      <c r="C42" s="40"/>
      <c r="D42" s="224" t="s">
        <v>41</v>
      </c>
      <c r="E42" s="224"/>
      <c r="F42" s="42">
        <v>2E-3</v>
      </c>
      <c r="G42" s="37">
        <f t="shared" si="0"/>
        <v>4.74</v>
      </c>
    </row>
    <row r="43" spans="1:7" s="39" customFormat="1" ht="48" customHeight="1" x14ac:dyDescent="0.25">
      <c r="A43" s="36" t="s">
        <v>20</v>
      </c>
      <c r="B43" s="33" t="s">
        <v>48</v>
      </c>
      <c r="C43" s="40"/>
      <c r="D43" s="224" t="s">
        <v>41</v>
      </c>
      <c r="E43" s="224"/>
      <c r="F43" s="42">
        <v>0.08</v>
      </c>
      <c r="G43" s="37">
        <f t="shared" si="0"/>
        <v>189.8</v>
      </c>
    </row>
    <row r="44" spans="1:7" s="39" customFormat="1" ht="19.5" customHeight="1" x14ac:dyDescent="0.25">
      <c r="A44" s="225" t="s">
        <v>49</v>
      </c>
      <c r="B44" s="226"/>
      <c r="C44" s="226"/>
      <c r="D44" s="226"/>
      <c r="E44" s="227"/>
      <c r="F44" s="44">
        <f>SUM(F36:F43)</f>
        <v>0.39800000000000008</v>
      </c>
      <c r="G44" s="45">
        <f>SUM(G36:G43)</f>
        <v>944.23</v>
      </c>
    </row>
    <row r="45" spans="1:7" ht="19.5" customHeight="1" x14ac:dyDescent="0.2">
      <c r="A45" s="208" t="s">
        <v>50</v>
      </c>
      <c r="B45" s="208"/>
      <c r="C45" s="208"/>
      <c r="D45" s="208"/>
      <c r="E45" s="208"/>
      <c r="F45" s="208"/>
      <c r="G45" s="208"/>
    </row>
    <row r="46" spans="1:7" ht="57.75" customHeight="1" x14ac:dyDescent="0.2">
      <c r="A46" s="46" t="s">
        <v>5</v>
      </c>
      <c r="B46" s="194" t="s">
        <v>51</v>
      </c>
      <c r="C46" s="195"/>
      <c r="D46" s="47" t="s">
        <v>349</v>
      </c>
      <c r="E46" s="37">
        <v>22</v>
      </c>
      <c r="F46" s="48">
        <v>0.05</v>
      </c>
      <c r="G46" s="37">
        <f>ROUND((E46*22)*(1-F46),2)</f>
        <v>459.8</v>
      </c>
    </row>
    <row r="47" spans="1:7" ht="70.5" customHeight="1" x14ac:dyDescent="0.2">
      <c r="A47" s="36" t="s">
        <v>7</v>
      </c>
      <c r="B47" s="194" t="s">
        <v>52</v>
      </c>
      <c r="C47" s="195"/>
      <c r="D47" s="47" t="s">
        <v>172</v>
      </c>
      <c r="E47" s="37">
        <v>4.95</v>
      </c>
      <c r="F47" s="48">
        <v>0.06</v>
      </c>
      <c r="G47" s="37">
        <f>ROUND((E47*2*22)-(0.06*$G$24),2)</f>
        <v>127.08</v>
      </c>
    </row>
    <row r="48" spans="1:7" ht="70.5" customHeight="1" x14ac:dyDescent="0.2">
      <c r="A48" s="36" t="s">
        <v>9</v>
      </c>
      <c r="B48" s="199" t="s">
        <v>350</v>
      </c>
      <c r="C48" s="201"/>
      <c r="D48" s="47" t="s">
        <v>351</v>
      </c>
      <c r="E48" s="37"/>
      <c r="F48" s="49"/>
      <c r="G48" s="37">
        <v>152</v>
      </c>
    </row>
    <row r="49" spans="1:9" ht="40.5" customHeight="1" x14ac:dyDescent="0.2">
      <c r="A49" s="36" t="s">
        <v>11</v>
      </c>
      <c r="B49" s="199" t="s">
        <v>114</v>
      </c>
      <c r="C49" s="201"/>
      <c r="D49" s="47"/>
      <c r="E49" s="37"/>
      <c r="F49" s="49"/>
      <c r="G49" s="37">
        <f>E49</f>
        <v>0</v>
      </c>
    </row>
    <row r="50" spans="1:9" ht="31.5" customHeight="1" x14ac:dyDescent="0.2">
      <c r="A50" s="208" t="s">
        <v>53</v>
      </c>
      <c r="B50" s="208"/>
      <c r="C50" s="208"/>
      <c r="D50" s="208"/>
      <c r="E50" s="208"/>
      <c r="F50" s="208"/>
      <c r="G50" s="38">
        <f>SUM(G46:G49)</f>
        <v>738.88</v>
      </c>
    </row>
    <row r="51" spans="1:9" ht="31.5" customHeight="1" x14ac:dyDescent="0.2">
      <c r="A51" s="209" t="s">
        <v>54</v>
      </c>
      <c r="B51" s="209"/>
      <c r="C51" s="209"/>
      <c r="D51" s="209"/>
      <c r="E51" s="209"/>
      <c r="F51" s="209"/>
      <c r="G51" s="50">
        <f>SUM(G50,G44,G34)</f>
        <v>1920.3400000000001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198" t="s">
        <v>55</v>
      </c>
      <c r="B53" s="198"/>
      <c r="C53" s="198"/>
      <c r="D53" s="198"/>
      <c r="E53" s="198"/>
      <c r="F53" s="198"/>
      <c r="G53" s="198"/>
    </row>
    <row r="54" spans="1:9" ht="80.25" customHeight="1" x14ac:dyDescent="0.2">
      <c r="A54" s="204" t="s">
        <v>5</v>
      </c>
      <c r="B54" s="213" t="s">
        <v>56</v>
      </c>
      <c r="C54" s="213"/>
      <c r="D54" s="213"/>
      <c r="E54" s="193">
        <f>(1/12)*D55</f>
        <v>4.1666666666666666E-3</v>
      </c>
      <c r="F54" s="193"/>
      <c r="G54" s="218">
        <f>ROUND($G$27+$G$34,0)*E54</f>
        <v>9.8833333333333329</v>
      </c>
    </row>
    <row r="55" spans="1:9" ht="77.25" customHeight="1" x14ac:dyDescent="0.2">
      <c r="A55" s="204"/>
      <c r="B55" s="223" t="s">
        <v>57</v>
      </c>
      <c r="C55" s="223"/>
      <c r="D55" s="51">
        <v>0.05</v>
      </c>
      <c r="E55" s="193"/>
      <c r="F55" s="193"/>
      <c r="G55" s="218"/>
    </row>
    <row r="56" spans="1:9" ht="42.75" customHeight="1" x14ac:dyDescent="0.2">
      <c r="A56" s="36" t="s">
        <v>7</v>
      </c>
      <c r="B56" s="213" t="s">
        <v>58</v>
      </c>
      <c r="C56" s="213"/>
      <c r="D56" s="213"/>
      <c r="E56" s="193">
        <v>0.08</v>
      </c>
      <c r="F56" s="193"/>
      <c r="G56" s="37">
        <f>ROUND(G54*E56,2)</f>
        <v>0.79</v>
      </c>
      <c r="H56" s="52"/>
      <c r="I56" s="52"/>
    </row>
    <row r="57" spans="1:9" ht="53.25" customHeight="1" x14ac:dyDescent="0.2">
      <c r="A57" s="36" t="s">
        <v>9</v>
      </c>
      <c r="B57" s="194" t="s">
        <v>59</v>
      </c>
      <c r="C57" s="222"/>
      <c r="D57" s="195"/>
      <c r="E57" s="193">
        <f>(7/30)/12</f>
        <v>1.9444444444444445E-2</v>
      </c>
      <c r="F57" s="193"/>
      <c r="G57" s="37">
        <f>ROUND((($G$27+$G$34)*E57),2)</f>
        <v>46.13</v>
      </c>
    </row>
    <row r="58" spans="1:9" ht="37.5" customHeight="1" x14ac:dyDescent="0.2">
      <c r="A58" s="36" t="s">
        <v>11</v>
      </c>
      <c r="B58" s="213" t="s">
        <v>60</v>
      </c>
      <c r="C58" s="213"/>
      <c r="D58" s="213"/>
      <c r="E58" s="193">
        <f>F44</f>
        <v>0.39800000000000008</v>
      </c>
      <c r="F58" s="193"/>
      <c r="G58" s="37">
        <f>ROUND(E58*G57,2)</f>
        <v>18.36</v>
      </c>
    </row>
    <row r="59" spans="1:9" ht="64.5" customHeight="1" x14ac:dyDescent="0.2">
      <c r="A59" s="36" t="s">
        <v>13</v>
      </c>
      <c r="B59" s="213" t="s">
        <v>61</v>
      </c>
      <c r="C59" s="213"/>
      <c r="D59" s="213"/>
      <c r="E59" s="193">
        <v>0.04</v>
      </c>
      <c r="F59" s="193"/>
      <c r="G59" s="37">
        <f>ROUND(E59*($G$27+$G$34),2)</f>
        <v>94.9</v>
      </c>
    </row>
    <row r="60" spans="1:9" ht="21.75" customHeight="1" x14ac:dyDescent="0.2">
      <c r="A60" s="197" t="s">
        <v>62</v>
      </c>
      <c r="B60" s="197"/>
      <c r="C60" s="197"/>
      <c r="D60" s="197"/>
      <c r="E60" s="197"/>
      <c r="F60" s="197"/>
      <c r="G60" s="50">
        <f>ROUND(SUM(G54:G59),2)</f>
        <v>170.06</v>
      </c>
    </row>
    <row r="61" spans="1:9" ht="3.75" customHeight="1" x14ac:dyDescent="0.2">
      <c r="A61" s="53"/>
      <c r="B61" s="54"/>
      <c r="C61" s="54"/>
      <c r="D61" s="54"/>
      <c r="E61" s="54"/>
      <c r="F61" s="54"/>
      <c r="G61" s="54"/>
    </row>
    <row r="62" spans="1:9" ht="21.75" customHeight="1" x14ac:dyDescent="0.2">
      <c r="A62" s="198" t="s">
        <v>63</v>
      </c>
      <c r="B62" s="198"/>
      <c r="C62" s="198"/>
      <c r="D62" s="198"/>
      <c r="E62" s="198"/>
      <c r="F62" s="198"/>
      <c r="G62" s="198"/>
    </row>
    <row r="63" spans="1:9" ht="21.75" customHeight="1" x14ac:dyDescent="0.2">
      <c r="A63" s="208" t="s">
        <v>64</v>
      </c>
      <c r="B63" s="208"/>
      <c r="C63" s="208"/>
      <c r="D63" s="208"/>
      <c r="E63" s="208"/>
      <c r="F63" s="208"/>
      <c r="G63" s="208"/>
    </row>
    <row r="64" spans="1:9" ht="21.75" customHeight="1" x14ac:dyDescent="0.2">
      <c r="A64" s="204" t="s">
        <v>5</v>
      </c>
      <c r="B64" s="213" t="s">
        <v>65</v>
      </c>
      <c r="C64" s="213"/>
      <c r="D64" s="213"/>
      <c r="E64" s="214">
        <v>8.3299999999999999E-2</v>
      </c>
      <c r="F64" s="215"/>
      <c r="G64" s="218">
        <f>E64*($G$27+$G$51+$G$60)</f>
        <v>351.995812</v>
      </c>
    </row>
    <row r="65" spans="1:8" ht="39.75" customHeight="1" x14ac:dyDescent="0.2">
      <c r="A65" s="204"/>
      <c r="B65" s="219" t="s">
        <v>66</v>
      </c>
      <c r="C65" s="220"/>
      <c r="D65" s="221"/>
      <c r="E65" s="216"/>
      <c r="F65" s="217"/>
      <c r="G65" s="218"/>
    </row>
    <row r="66" spans="1:8" x14ac:dyDescent="0.2">
      <c r="A66" s="204" t="s">
        <v>7</v>
      </c>
      <c r="B66" s="213" t="s">
        <v>67</v>
      </c>
      <c r="C66" s="213"/>
      <c r="D66" s="213"/>
      <c r="E66" s="214">
        <f>(6/360)</f>
        <v>1.6666666666666666E-2</v>
      </c>
      <c r="F66" s="215"/>
      <c r="G66" s="218">
        <f>E66*($G$27+$G$34+$G$44)</f>
        <v>55.278333333333329</v>
      </c>
    </row>
    <row r="67" spans="1:8" ht="78" customHeight="1" x14ac:dyDescent="0.2">
      <c r="A67" s="204"/>
      <c r="B67" s="219" t="s">
        <v>68</v>
      </c>
      <c r="C67" s="220"/>
      <c r="D67" s="221"/>
      <c r="E67" s="216"/>
      <c r="F67" s="217"/>
      <c r="G67" s="218"/>
    </row>
    <row r="68" spans="1:8" x14ac:dyDescent="0.2">
      <c r="A68" s="204" t="s">
        <v>9</v>
      </c>
      <c r="B68" s="213" t="s">
        <v>69</v>
      </c>
      <c r="C68" s="213"/>
      <c r="D68" s="213"/>
      <c r="E68" s="214">
        <f>((5/360)*(1.399%))</f>
        <v>1.9430555555555556E-4</v>
      </c>
      <c r="F68" s="215"/>
      <c r="G68" s="218">
        <f>E68*($G$27+$G$34+$G$44)</f>
        <v>0.64445323611111105</v>
      </c>
    </row>
    <row r="69" spans="1:8" ht="57" customHeight="1" x14ac:dyDescent="0.2">
      <c r="A69" s="204"/>
      <c r="B69" s="219" t="s">
        <v>70</v>
      </c>
      <c r="C69" s="220"/>
      <c r="D69" s="221"/>
      <c r="E69" s="216"/>
      <c r="F69" s="217"/>
      <c r="G69" s="218"/>
    </row>
    <row r="70" spans="1:8" x14ac:dyDescent="0.2">
      <c r="A70" s="204" t="s">
        <v>11</v>
      </c>
      <c r="B70" s="213" t="s">
        <v>71</v>
      </c>
      <c r="C70" s="213"/>
      <c r="D70" s="213"/>
      <c r="E70" s="214">
        <f>((15/360)*(2.16%))</f>
        <v>8.9999999999999998E-4</v>
      </c>
      <c r="F70" s="215"/>
      <c r="G70" s="218">
        <f>E70*($G$27+$G$34+$G$44)</f>
        <v>2.9850299999999996</v>
      </c>
    </row>
    <row r="71" spans="1:8" ht="63" customHeight="1" x14ac:dyDescent="0.2">
      <c r="A71" s="204"/>
      <c r="B71" s="219" t="s">
        <v>72</v>
      </c>
      <c r="C71" s="220"/>
      <c r="D71" s="221"/>
      <c r="E71" s="216"/>
      <c r="F71" s="217"/>
      <c r="G71" s="218"/>
    </row>
    <row r="72" spans="1:8" x14ac:dyDescent="0.2">
      <c r="A72" s="204" t="s">
        <v>13</v>
      </c>
      <c r="B72" s="213" t="s">
        <v>73</v>
      </c>
      <c r="C72" s="213"/>
      <c r="D72" s="213"/>
      <c r="E72" s="214">
        <f>((50%)*(1.99%)*(4/12)*(8.93%+8.93%+2.98%))</f>
        <v>6.9119333333333326E-4</v>
      </c>
      <c r="F72" s="215"/>
      <c r="G72" s="218">
        <f>(E72*G27)</f>
        <v>1.4758636530666664</v>
      </c>
    </row>
    <row r="73" spans="1:8" ht="54.75" customHeight="1" x14ac:dyDescent="0.2">
      <c r="A73" s="204"/>
      <c r="B73" s="219" t="s">
        <v>74</v>
      </c>
      <c r="C73" s="220"/>
      <c r="D73" s="221"/>
      <c r="E73" s="216"/>
      <c r="F73" s="217"/>
      <c r="G73" s="218"/>
    </row>
    <row r="74" spans="1:8" ht="19.5" customHeight="1" x14ac:dyDescent="0.2">
      <c r="A74" s="208" t="s">
        <v>75</v>
      </c>
      <c r="B74" s="208"/>
      <c r="C74" s="208"/>
      <c r="D74" s="208"/>
      <c r="E74" s="208"/>
      <c r="F74" s="208"/>
      <c r="G74" s="45">
        <f>SUM(G64:G73)</f>
        <v>412.37949222251109</v>
      </c>
    </row>
    <row r="75" spans="1:8" ht="3.75" customHeight="1" x14ac:dyDescent="0.2">
      <c r="A75" s="55"/>
      <c r="B75" s="56"/>
      <c r="C75" s="56"/>
      <c r="D75" s="56"/>
      <c r="E75" s="56"/>
      <c r="F75" s="56"/>
      <c r="G75" s="56"/>
    </row>
    <row r="76" spans="1:8" ht="3.75" customHeight="1" x14ac:dyDescent="0.2">
      <c r="A76" s="57"/>
      <c r="B76" s="58"/>
      <c r="C76" s="58"/>
      <c r="D76" s="58"/>
      <c r="E76" s="58"/>
      <c r="F76" s="58"/>
      <c r="G76" s="58"/>
    </row>
    <row r="77" spans="1:8" ht="30.75" customHeight="1" x14ac:dyDescent="0.2">
      <c r="A77" s="209" t="s">
        <v>76</v>
      </c>
      <c r="B77" s="209"/>
      <c r="C77" s="209"/>
      <c r="D77" s="209"/>
      <c r="E77" s="209"/>
      <c r="F77" s="209"/>
      <c r="G77" s="59">
        <f>G74</f>
        <v>412.37949222251109</v>
      </c>
    </row>
    <row r="78" spans="1:8" ht="3.75" customHeight="1" x14ac:dyDescent="0.2">
      <c r="A78" s="210"/>
      <c r="B78" s="210"/>
      <c r="C78" s="210"/>
      <c r="D78" s="210"/>
      <c r="E78" s="210"/>
      <c r="F78" s="210"/>
      <c r="G78" s="210"/>
    </row>
    <row r="79" spans="1:8" ht="21.75" customHeight="1" x14ac:dyDescent="0.2">
      <c r="A79" s="198" t="s">
        <v>77</v>
      </c>
      <c r="B79" s="198"/>
      <c r="C79" s="198"/>
      <c r="D79" s="198"/>
      <c r="E79" s="198"/>
      <c r="F79" s="198"/>
      <c r="G79" s="198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7" cm="1">
        <f t="array" ref="G80:H80">'Insumos Diversos'!J92:K92</f>
        <v>47</v>
      </c>
      <c r="H80" s="1">
        <v>0</v>
      </c>
    </row>
    <row r="81" spans="1:7" ht="19.5" customHeight="1" x14ac:dyDescent="0.2">
      <c r="A81" s="60" t="s">
        <v>7</v>
      </c>
      <c r="B81" s="30" t="s">
        <v>274</v>
      </c>
      <c r="C81" s="31"/>
      <c r="D81" s="31"/>
      <c r="E81" s="31"/>
      <c r="F81" s="31"/>
      <c r="G81" s="37">
        <f>'Insumos Diversos'!N48</f>
        <v>329</v>
      </c>
    </row>
    <row r="82" spans="1:7" ht="19.5" customHeight="1" x14ac:dyDescent="0.2">
      <c r="A82" s="61" t="s">
        <v>9</v>
      </c>
      <c r="B82" s="30" t="s">
        <v>79</v>
      </c>
      <c r="C82" s="31"/>
      <c r="D82" s="31"/>
      <c r="E82" s="31"/>
      <c r="F82" s="31"/>
      <c r="G82" s="37">
        <f>'Insumos Diversos'!N76</f>
        <v>8.68</v>
      </c>
    </row>
    <row r="83" spans="1:7" ht="21.75" customHeight="1" x14ac:dyDescent="0.2">
      <c r="A83" s="211" t="s">
        <v>80</v>
      </c>
      <c r="B83" s="211"/>
      <c r="C83" s="211"/>
      <c r="D83" s="211"/>
      <c r="E83" s="211"/>
      <c r="F83" s="211"/>
      <c r="G83" s="35">
        <f>SUM(G80:G82)</f>
        <v>384.68</v>
      </c>
    </row>
    <row r="84" spans="1:7" ht="3.75" customHeight="1" x14ac:dyDescent="0.2">
      <c r="A84" s="212"/>
      <c r="B84" s="212"/>
      <c r="C84" s="212"/>
      <c r="D84" s="212"/>
      <c r="E84" s="212"/>
      <c r="F84" s="212"/>
      <c r="G84" s="212"/>
    </row>
    <row r="85" spans="1:7" ht="23.25" customHeight="1" x14ac:dyDescent="0.2">
      <c r="A85" s="198" t="s">
        <v>81</v>
      </c>
      <c r="B85" s="198"/>
      <c r="C85" s="198"/>
      <c r="D85" s="198"/>
      <c r="E85" s="198"/>
      <c r="F85" s="198"/>
      <c r="G85" s="198"/>
    </row>
    <row r="86" spans="1:7" ht="19.5" customHeight="1" x14ac:dyDescent="0.2">
      <c r="A86" s="36" t="s">
        <v>5</v>
      </c>
      <c r="B86" s="199" t="s">
        <v>82</v>
      </c>
      <c r="C86" s="200"/>
      <c r="D86" s="201"/>
      <c r="E86" s="202">
        <v>0.03</v>
      </c>
      <c r="F86" s="203"/>
      <c r="G86" s="37">
        <f>ROUND((G103)*E86,2)</f>
        <v>150.68</v>
      </c>
    </row>
    <row r="87" spans="1:7" ht="19.5" customHeight="1" x14ac:dyDescent="0.2">
      <c r="A87" s="36" t="s">
        <v>7</v>
      </c>
      <c r="B87" s="199" t="s">
        <v>83</v>
      </c>
      <c r="C87" s="200"/>
      <c r="D87" s="201"/>
      <c r="E87" s="202">
        <v>6.7900000000000002E-2</v>
      </c>
      <c r="F87" s="203"/>
      <c r="G87" s="37">
        <f>ROUND((G103+$G$86)*E87,2)</f>
        <v>351.27</v>
      </c>
    </row>
    <row r="88" spans="1:7" ht="19.5" customHeight="1" x14ac:dyDescent="0.2">
      <c r="A88" s="204" t="s">
        <v>9</v>
      </c>
      <c r="B88" s="205" t="s">
        <v>84</v>
      </c>
      <c r="C88" s="62"/>
      <c r="D88" s="63"/>
      <c r="E88" s="206">
        <f>SUM(E89:F93)</f>
        <v>0.1225</v>
      </c>
      <c r="F88" s="207"/>
      <c r="G88" s="64"/>
    </row>
    <row r="89" spans="1:7" ht="19.5" customHeight="1" x14ac:dyDescent="0.2">
      <c r="A89" s="204"/>
      <c r="B89" s="205"/>
      <c r="C89" s="65" t="s">
        <v>85</v>
      </c>
      <c r="D89" s="66" t="s">
        <v>86</v>
      </c>
      <c r="E89" s="193">
        <v>1.6500000000000001E-2</v>
      </c>
      <c r="F89" s="193"/>
      <c r="G89" s="37">
        <f>ROUND((E89)*($G$105),2)</f>
        <v>103.88</v>
      </c>
    </row>
    <row r="90" spans="1:7" ht="19.5" customHeight="1" x14ac:dyDescent="0.2">
      <c r="A90" s="204"/>
      <c r="B90" s="205"/>
      <c r="C90" s="67"/>
      <c r="D90" s="66" t="s">
        <v>87</v>
      </c>
      <c r="E90" s="193">
        <v>7.5999999999999998E-2</v>
      </c>
      <c r="F90" s="193"/>
      <c r="G90" s="37">
        <f>ROUND((E90)*($G$105),2)</f>
        <v>478.49</v>
      </c>
    </row>
    <row r="91" spans="1:7" ht="19.5" customHeight="1" x14ac:dyDescent="0.2">
      <c r="A91" s="204"/>
      <c r="B91" s="205"/>
      <c r="C91" s="68"/>
      <c r="D91" s="66" t="s">
        <v>88</v>
      </c>
      <c r="E91" s="193"/>
      <c r="F91" s="193"/>
      <c r="G91" s="37">
        <f>ROUND((E91)*($G$105),2)</f>
        <v>0</v>
      </c>
    </row>
    <row r="92" spans="1:7" ht="77.25" customHeight="1" x14ac:dyDescent="0.2">
      <c r="A92" s="204"/>
      <c r="B92" s="205"/>
      <c r="C92" s="69" t="s">
        <v>171</v>
      </c>
      <c r="D92" s="66" t="s">
        <v>89</v>
      </c>
      <c r="E92" s="193">
        <v>0.03</v>
      </c>
      <c r="F92" s="193"/>
      <c r="G92" s="37">
        <f>ROUND((E92)*($G$105),2)</f>
        <v>188.88</v>
      </c>
    </row>
    <row r="93" spans="1:7" ht="41.25" customHeight="1" x14ac:dyDescent="0.2">
      <c r="A93" s="204"/>
      <c r="B93" s="205"/>
      <c r="C93" s="194" t="s">
        <v>90</v>
      </c>
      <c r="D93" s="195"/>
      <c r="E93" s="193"/>
      <c r="F93" s="193"/>
      <c r="G93" s="37">
        <f>ROUND((E93)*($G$105),2)</f>
        <v>0</v>
      </c>
    </row>
    <row r="94" spans="1:7" ht="19.5" customHeight="1" x14ac:dyDescent="0.2">
      <c r="A94" s="204"/>
      <c r="B94" s="196" t="s">
        <v>91</v>
      </c>
      <c r="C94" s="196"/>
      <c r="D94" s="196"/>
      <c r="E94" s="196"/>
      <c r="F94" s="196"/>
      <c r="G94" s="70">
        <f>SUM(G89,G90,G91,G92,G93)</f>
        <v>771.25</v>
      </c>
    </row>
    <row r="95" spans="1:7" ht="21.75" customHeight="1" x14ac:dyDescent="0.2">
      <c r="A95" s="197" t="s">
        <v>92</v>
      </c>
      <c r="B95" s="197"/>
      <c r="C95" s="197"/>
      <c r="D95" s="197"/>
      <c r="E95" s="197"/>
      <c r="F95" s="197"/>
      <c r="G95" s="71">
        <f>SUM(G94,G87,G86)</f>
        <v>1273.2</v>
      </c>
    </row>
    <row r="96" spans="1:7" ht="3.75" customHeight="1" x14ac:dyDescent="0.2">
      <c r="A96" s="189"/>
      <c r="B96" s="189"/>
      <c r="C96" s="189"/>
      <c r="D96" s="189"/>
      <c r="E96" s="189"/>
      <c r="F96" s="189"/>
      <c r="G96" s="189"/>
    </row>
    <row r="97" spans="1:7" ht="23.25" customHeight="1" x14ac:dyDescent="0.2">
      <c r="A97" s="190" t="s">
        <v>93</v>
      </c>
      <c r="B97" s="190"/>
      <c r="C97" s="190"/>
      <c r="D97" s="190"/>
      <c r="E97" s="190"/>
      <c r="F97" s="190"/>
      <c r="G97" s="190"/>
    </row>
    <row r="98" spans="1:7" ht="19.5" customHeight="1" x14ac:dyDescent="0.2">
      <c r="A98" s="36" t="s">
        <v>5</v>
      </c>
      <c r="B98" s="33" t="s">
        <v>94</v>
      </c>
      <c r="C98" s="40"/>
      <c r="D98" s="40"/>
      <c r="E98" s="40"/>
      <c r="F98" s="40"/>
      <c r="G98" s="32">
        <f>G27</f>
        <v>2135.2399999999998</v>
      </c>
    </row>
    <row r="99" spans="1:7" ht="19.5" customHeight="1" x14ac:dyDescent="0.2">
      <c r="A99" s="36" t="s">
        <v>7</v>
      </c>
      <c r="B99" s="33" t="s">
        <v>95</v>
      </c>
      <c r="C99" s="40"/>
      <c r="D99" s="40"/>
      <c r="E99" s="40"/>
      <c r="F99" s="40"/>
      <c r="G99" s="32">
        <f>G51</f>
        <v>1920.3400000000001</v>
      </c>
    </row>
    <row r="100" spans="1:7" ht="19.5" customHeight="1" x14ac:dyDescent="0.2">
      <c r="A100" s="36" t="s">
        <v>9</v>
      </c>
      <c r="B100" s="33" t="s">
        <v>96</v>
      </c>
      <c r="C100" s="40"/>
      <c r="D100" s="40"/>
      <c r="E100" s="40"/>
      <c r="F100" s="40"/>
      <c r="G100" s="32">
        <f>G60</f>
        <v>170.06</v>
      </c>
    </row>
    <row r="101" spans="1:7" ht="19.5" customHeight="1" x14ac:dyDescent="0.2">
      <c r="A101" s="36" t="s">
        <v>11</v>
      </c>
      <c r="B101" s="33" t="s">
        <v>97</v>
      </c>
      <c r="C101" s="40"/>
      <c r="D101" s="40"/>
      <c r="E101" s="40"/>
      <c r="F101" s="40"/>
      <c r="G101" s="32">
        <f>G77</f>
        <v>412.37949222251109</v>
      </c>
    </row>
    <row r="102" spans="1:7" ht="19.5" customHeight="1" x14ac:dyDescent="0.2">
      <c r="A102" s="36" t="s">
        <v>13</v>
      </c>
      <c r="B102" s="33" t="s">
        <v>98</v>
      </c>
      <c r="C102" s="40"/>
      <c r="D102" s="40"/>
      <c r="E102" s="40"/>
      <c r="F102" s="40"/>
      <c r="G102" s="32">
        <f>G83</f>
        <v>384.68</v>
      </c>
    </row>
    <row r="103" spans="1:7" ht="19.5" customHeight="1" x14ac:dyDescent="0.2">
      <c r="A103" s="191" t="s">
        <v>99</v>
      </c>
      <c r="B103" s="192"/>
      <c r="C103" s="192"/>
      <c r="D103" s="192"/>
      <c r="E103" s="192"/>
      <c r="F103" s="192"/>
      <c r="G103" s="72">
        <f>SUM(G98:G102)</f>
        <v>5022.6994922225113</v>
      </c>
    </row>
    <row r="104" spans="1:7" ht="19.5" customHeight="1" x14ac:dyDescent="0.2">
      <c r="A104" s="36" t="s">
        <v>15</v>
      </c>
      <c r="B104" s="33" t="s">
        <v>100</v>
      </c>
      <c r="C104" s="40"/>
      <c r="D104" s="40"/>
      <c r="E104" s="40"/>
      <c r="F104" s="40"/>
      <c r="G104" s="32">
        <f>G95</f>
        <v>1273.2</v>
      </c>
    </row>
    <row r="105" spans="1:7" ht="43.5" customHeight="1" x14ac:dyDescent="0.2">
      <c r="A105" s="185" t="s">
        <v>101</v>
      </c>
      <c r="B105" s="185"/>
      <c r="C105" s="185"/>
      <c r="D105" s="185"/>
      <c r="E105" s="185"/>
      <c r="F105" s="185"/>
      <c r="G105" s="73">
        <f>SUM(G103+G86+G87)/(1-E88)</f>
        <v>6295.8968572336325</v>
      </c>
    </row>
    <row r="106" spans="1:7" ht="3.75" customHeight="1" x14ac:dyDescent="0.2">
      <c r="A106" s="189"/>
      <c r="B106" s="189"/>
      <c r="C106" s="189"/>
      <c r="D106" s="189"/>
      <c r="E106" s="189"/>
      <c r="F106" s="189"/>
      <c r="G106" s="189"/>
    </row>
    <row r="107" spans="1:7" ht="22.5" customHeight="1" x14ac:dyDescent="0.2">
      <c r="A107" s="187" t="s">
        <v>102</v>
      </c>
      <c r="B107" s="187"/>
      <c r="C107" s="187"/>
      <c r="D107" s="187"/>
      <c r="E107" s="187"/>
      <c r="F107" s="187"/>
      <c r="G107" s="187"/>
    </row>
    <row r="108" spans="1:7" ht="21" customHeight="1" x14ac:dyDescent="0.2">
      <c r="A108" s="186" t="s">
        <v>103</v>
      </c>
      <c r="B108" s="186"/>
      <c r="C108" s="186"/>
      <c r="D108" s="186"/>
      <c r="E108" s="186"/>
      <c r="F108" s="186"/>
      <c r="G108" s="32">
        <f>G105</f>
        <v>6295.8968572336325</v>
      </c>
    </row>
    <row r="109" spans="1:7" ht="21" customHeight="1" x14ac:dyDescent="0.2">
      <c r="A109" s="186" t="s">
        <v>104</v>
      </c>
      <c r="B109" s="186"/>
      <c r="C109" s="186"/>
      <c r="D109" s="186"/>
      <c r="E109" s="186"/>
      <c r="F109" s="186"/>
      <c r="G109" s="11">
        <v>1</v>
      </c>
    </row>
    <row r="110" spans="1:7" ht="21" customHeight="1" x14ac:dyDescent="0.2">
      <c r="A110" s="186" t="s">
        <v>105</v>
      </c>
      <c r="B110" s="186"/>
      <c r="C110" s="186"/>
      <c r="D110" s="186"/>
      <c r="E110" s="186"/>
      <c r="F110" s="186"/>
      <c r="G110" s="32">
        <f>G109*G108</f>
        <v>6295.8968572336325</v>
      </c>
    </row>
    <row r="111" spans="1:7" ht="21" customHeight="1" x14ac:dyDescent="0.2">
      <c r="A111" s="186" t="s">
        <v>106</v>
      </c>
      <c r="B111" s="186"/>
      <c r="C111" s="186"/>
      <c r="D111" s="186"/>
      <c r="E111" s="186"/>
      <c r="F111" s="186"/>
      <c r="G111" s="11">
        <v>1</v>
      </c>
    </row>
    <row r="112" spans="1:7" ht="22.5" customHeight="1" x14ac:dyDescent="0.2">
      <c r="A112" s="187" t="s">
        <v>107</v>
      </c>
      <c r="B112" s="187"/>
      <c r="C112" s="187"/>
      <c r="D112" s="187"/>
      <c r="E112" s="187"/>
      <c r="F112" s="187"/>
      <c r="G112" s="74">
        <f>G111*G110</f>
        <v>6295.8968572336325</v>
      </c>
    </row>
    <row r="113" spans="1:7" ht="3.75" customHeight="1" x14ac:dyDescent="0.2">
      <c r="A113" s="188"/>
      <c r="B113" s="188"/>
      <c r="C113" s="188"/>
      <c r="D113" s="188"/>
      <c r="E113" s="188"/>
      <c r="F113" s="188"/>
      <c r="G113" s="188"/>
    </row>
    <row r="114" spans="1:7" ht="22.5" customHeight="1" x14ac:dyDescent="0.2">
      <c r="A114" s="270" t="s">
        <v>131</v>
      </c>
      <c r="B114" s="271"/>
      <c r="C114" s="271"/>
      <c r="D114" s="271"/>
      <c r="E114" s="271"/>
      <c r="F114" s="272"/>
      <c r="G114" s="73">
        <f>G112*G18</f>
        <v>125917.93714467264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D24:E2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D26:E26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FCE2-4F7A-4C84-8225-9DC1C7C5482D}">
  <dimension ref="A1:N46"/>
  <sheetViews>
    <sheetView showGridLines="0" zoomScaleNormal="100" workbookViewId="0">
      <selection activeCell="F7" sqref="F7"/>
    </sheetView>
  </sheetViews>
  <sheetFormatPr defaultRowHeight="12.75" x14ac:dyDescent="0.25"/>
  <cols>
    <col min="1" max="2" width="11.42578125" style="146" customWidth="1"/>
    <col min="3" max="7" width="11.42578125" style="135" customWidth="1"/>
    <col min="8" max="8" width="10.140625" style="135" bestFit="1" customWidth="1"/>
    <col min="9" max="9" width="12.42578125" style="135" customWidth="1"/>
    <col min="10" max="10" width="12.7109375" style="135" bestFit="1" customWidth="1"/>
    <col min="11" max="11" width="12.7109375" style="135" customWidth="1"/>
    <col min="12" max="12" width="10.28515625" style="135" bestFit="1" customWidth="1"/>
    <col min="13" max="257" width="9.140625" style="135"/>
    <col min="258" max="258" width="14.28515625" style="135" customWidth="1"/>
    <col min="259" max="259" width="19.28515625" style="135" customWidth="1"/>
    <col min="260" max="260" width="16" style="135" customWidth="1"/>
    <col min="261" max="261" width="17.140625" style="135" customWidth="1"/>
    <col min="262" max="262" width="10.140625" style="135" customWidth="1"/>
    <col min="263" max="263" width="10.5703125" style="135" customWidth="1"/>
    <col min="264" max="264" width="9.85546875" style="135" customWidth="1"/>
    <col min="265" max="266" width="12.7109375" style="135" bestFit="1" customWidth="1"/>
    <col min="267" max="267" width="9.140625" style="135"/>
    <col min="268" max="268" width="10.28515625" style="135" bestFit="1" customWidth="1"/>
    <col min="269" max="513" width="9.140625" style="135"/>
    <col min="514" max="514" width="14.28515625" style="135" customWidth="1"/>
    <col min="515" max="515" width="19.28515625" style="135" customWidth="1"/>
    <col min="516" max="516" width="16" style="135" customWidth="1"/>
    <col min="517" max="517" width="17.140625" style="135" customWidth="1"/>
    <col min="518" max="518" width="10.140625" style="135" customWidth="1"/>
    <col min="519" max="519" width="10.5703125" style="135" customWidth="1"/>
    <col min="520" max="520" width="9.85546875" style="135" customWidth="1"/>
    <col min="521" max="522" width="12.7109375" style="135" bestFit="1" customWidth="1"/>
    <col min="523" max="523" width="9.140625" style="135"/>
    <col min="524" max="524" width="10.28515625" style="135" bestFit="1" customWidth="1"/>
    <col min="525" max="769" width="9.140625" style="135"/>
    <col min="770" max="770" width="14.28515625" style="135" customWidth="1"/>
    <col min="771" max="771" width="19.28515625" style="135" customWidth="1"/>
    <col min="772" max="772" width="16" style="135" customWidth="1"/>
    <col min="773" max="773" width="17.140625" style="135" customWidth="1"/>
    <col min="774" max="774" width="10.140625" style="135" customWidth="1"/>
    <col min="775" max="775" width="10.5703125" style="135" customWidth="1"/>
    <col min="776" max="776" width="9.85546875" style="135" customWidth="1"/>
    <col min="777" max="778" width="12.7109375" style="135" bestFit="1" customWidth="1"/>
    <col min="779" max="779" width="9.140625" style="135"/>
    <col min="780" max="780" width="10.28515625" style="135" bestFit="1" customWidth="1"/>
    <col min="781" max="1025" width="9.140625" style="135"/>
    <col min="1026" max="1026" width="14.28515625" style="135" customWidth="1"/>
    <col min="1027" max="1027" width="19.28515625" style="135" customWidth="1"/>
    <col min="1028" max="1028" width="16" style="135" customWidth="1"/>
    <col min="1029" max="1029" width="17.140625" style="135" customWidth="1"/>
    <col min="1030" max="1030" width="10.140625" style="135" customWidth="1"/>
    <col min="1031" max="1031" width="10.5703125" style="135" customWidth="1"/>
    <col min="1032" max="1032" width="9.85546875" style="135" customWidth="1"/>
    <col min="1033" max="1034" width="12.7109375" style="135" bestFit="1" customWidth="1"/>
    <col min="1035" max="1035" width="9.140625" style="135"/>
    <col min="1036" max="1036" width="10.28515625" style="135" bestFit="1" customWidth="1"/>
    <col min="1037" max="1281" width="9.140625" style="135"/>
    <col min="1282" max="1282" width="14.28515625" style="135" customWidth="1"/>
    <col min="1283" max="1283" width="19.28515625" style="135" customWidth="1"/>
    <col min="1284" max="1284" width="16" style="135" customWidth="1"/>
    <col min="1285" max="1285" width="17.140625" style="135" customWidth="1"/>
    <col min="1286" max="1286" width="10.140625" style="135" customWidth="1"/>
    <col min="1287" max="1287" width="10.5703125" style="135" customWidth="1"/>
    <col min="1288" max="1288" width="9.85546875" style="135" customWidth="1"/>
    <col min="1289" max="1290" width="12.7109375" style="135" bestFit="1" customWidth="1"/>
    <col min="1291" max="1291" width="9.140625" style="135"/>
    <col min="1292" max="1292" width="10.28515625" style="135" bestFit="1" customWidth="1"/>
    <col min="1293" max="1537" width="9.140625" style="135"/>
    <col min="1538" max="1538" width="14.28515625" style="135" customWidth="1"/>
    <col min="1539" max="1539" width="19.28515625" style="135" customWidth="1"/>
    <col min="1540" max="1540" width="16" style="135" customWidth="1"/>
    <col min="1541" max="1541" width="17.140625" style="135" customWidth="1"/>
    <col min="1542" max="1542" width="10.140625" style="135" customWidth="1"/>
    <col min="1543" max="1543" width="10.5703125" style="135" customWidth="1"/>
    <col min="1544" max="1544" width="9.85546875" style="135" customWidth="1"/>
    <col min="1545" max="1546" width="12.7109375" style="135" bestFit="1" customWidth="1"/>
    <col min="1547" max="1547" width="9.140625" style="135"/>
    <col min="1548" max="1548" width="10.28515625" style="135" bestFit="1" customWidth="1"/>
    <col min="1549" max="1793" width="9.140625" style="135"/>
    <col min="1794" max="1794" width="14.28515625" style="135" customWidth="1"/>
    <col min="1795" max="1795" width="19.28515625" style="135" customWidth="1"/>
    <col min="1796" max="1796" width="16" style="135" customWidth="1"/>
    <col min="1797" max="1797" width="17.140625" style="135" customWidth="1"/>
    <col min="1798" max="1798" width="10.140625" style="135" customWidth="1"/>
    <col min="1799" max="1799" width="10.5703125" style="135" customWidth="1"/>
    <col min="1800" max="1800" width="9.85546875" style="135" customWidth="1"/>
    <col min="1801" max="1802" width="12.7109375" style="135" bestFit="1" customWidth="1"/>
    <col min="1803" max="1803" width="9.140625" style="135"/>
    <col min="1804" max="1804" width="10.28515625" style="135" bestFit="1" customWidth="1"/>
    <col min="1805" max="2049" width="9.140625" style="135"/>
    <col min="2050" max="2050" width="14.28515625" style="135" customWidth="1"/>
    <col min="2051" max="2051" width="19.28515625" style="135" customWidth="1"/>
    <col min="2052" max="2052" width="16" style="135" customWidth="1"/>
    <col min="2053" max="2053" width="17.140625" style="135" customWidth="1"/>
    <col min="2054" max="2054" width="10.140625" style="135" customWidth="1"/>
    <col min="2055" max="2055" width="10.5703125" style="135" customWidth="1"/>
    <col min="2056" max="2056" width="9.85546875" style="135" customWidth="1"/>
    <col min="2057" max="2058" width="12.7109375" style="135" bestFit="1" customWidth="1"/>
    <col min="2059" max="2059" width="9.140625" style="135"/>
    <col min="2060" max="2060" width="10.28515625" style="135" bestFit="1" customWidth="1"/>
    <col min="2061" max="2305" width="9.140625" style="135"/>
    <col min="2306" max="2306" width="14.28515625" style="135" customWidth="1"/>
    <col min="2307" max="2307" width="19.28515625" style="135" customWidth="1"/>
    <col min="2308" max="2308" width="16" style="135" customWidth="1"/>
    <col min="2309" max="2309" width="17.140625" style="135" customWidth="1"/>
    <col min="2310" max="2310" width="10.140625" style="135" customWidth="1"/>
    <col min="2311" max="2311" width="10.5703125" style="135" customWidth="1"/>
    <col min="2312" max="2312" width="9.85546875" style="135" customWidth="1"/>
    <col min="2313" max="2314" width="12.7109375" style="135" bestFit="1" customWidth="1"/>
    <col min="2315" max="2315" width="9.140625" style="135"/>
    <col min="2316" max="2316" width="10.28515625" style="135" bestFit="1" customWidth="1"/>
    <col min="2317" max="2561" width="9.140625" style="135"/>
    <col min="2562" max="2562" width="14.28515625" style="135" customWidth="1"/>
    <col min="2563" max="2563" width="19.28515625" style="135" customWidth="1"/>
    <col min="2564" max="2564" width="16" style="135" customWidth="1"/>
    <col min="2565" max="2565" width="17.140625" style="135" customWidth="1"/>
    <col min="2566" max="2566" width="10.140625" style="135" customWidth="1"/>
    <col min="2567" max="2567" width="10.5703125" style="135" customWidth="1"/>
    <col min="2568" max="2568" width="9.85546875" style="135" customWidth="1"/>
    <col min="2569" max="2570" width="12.7109375" style="135" bestFit="1" customWidth="1"/>
    <col min="2571" max="2571" width="9.140625" style="135"/>
    <col min="2572" max="2572" width="10.28515625" style="135" bestFit="1" customWidth="1"/>
    <col min="2573" max="2817" width="9.140625" style="135"/>
    <col min="2818" max="2818" width="14.28515625" style="135" customWidth="1"/>
    <col min="2819" max="2819" width="19.28515625" style="135" customWidth="1"/>
    <col min="2820" max="2820" width="16" style="135" customWidth="1"/>
    <col min="2821" max="2821" width="17.140625" style="135" customWidth="1"/>
    <col min="2822" max="2822" width="10.140625" style="135" customWidth="1"/>
    <col min="2823" max="2823" width="10.5703125" style="135" customWidth="1"/>
    <col min="2824" max="2824" width="9.85546875" style="135" customWidth="1"/>
    <col min="2825" max="2826" width="12.7109375" style="135" bestFit="1" customWidth="1"/>
    <col min="2827" max="2827" width="9.140625" style="135"/>
    <col min="2828" max="2828" width="10.28515625" style="135" bestFit="1" customWidth="1"/>
    <col min="2829" max="3073" width="9.140625" style="135"/>
    <col min="3074" max="3074" width="14.28515625" style="135" customWidth="1"/>
    <col min="3075" max="3075" width="19.28515625" style="135" customWidth="1"/>
    <col min="3076" max="3076" width="16" style="135" customWidth="1"/>
    <col min="3077" max="3077" width="17.140625" style="135" customWidth="1"/>
    <col min="3078" max="3078" width="10.140625" style="135" customWidth="1"/>
    <col min="3079" max="3079" width="10.5703125" style="135" customWidth="1"/>
    <col min="3080" max="3080" width="9.85546875" style="135" customWidth="1"/>
    <col min="3081" max="3082" width="12.7109375" style="135" bestFit="1" customWidth="1"/>
    <col min="3083" max="3083" width="9.140625" style="135"/>
    <col min="3084" max="3084" width="10.28515625" style="135" bestFit="1" customWidth="1"/>
    <col min="3085" max="3329" width="9.140625" style="135"/>
    <col min="3330" max="3330" width="14.28515625" style="135" customWidth="1"/>
    <col min="3331" max="3331" width="19.28515625" style="135" customWidth="1"/>
    <col min="3332" max="3332" width="16" style="135" customWidth="1"/>
    <col min="3333" max="3333" width="17.140625" style="135" customWidth="1"/>
    <col min="3334" max="3334" width="10.140625" style="135" customWidth="1"/>
    <col min="3335" max="3335" width="10.5703125" style="135" customWidth="1"/>
    <col min="3336" max="3336" width="9.85546875" style="135" customWidth="1"/>
    <col min="3337" max="3338" width="12.7109375" style="135" bestFit="1" customWidth="1"/>
    <col min="3339" max="3339" width="9.140625" style="135"/>
    <col min="3340" max="3340" width="10.28515625" style="135" bestFit="1" customWidth="1"/>
    <col min="3341" max="3585" width="9.140625" style="135"/>
    <col min="3586" max="3586" width="14.28515625" style="135" customWidth="1"/>
    <col min="3587" max="3587" width="19.28515625" style="135" customWidth="1"/>
    <col min="3588" max="3588" width="16" style="135" customWidth="1"/>
    <col min="3589" max="3589" width="17.140625" style="135" customWidth="1"/>
    <col min="3590" max="3590" width="10.140625" style="135" customWidth="1"/>
    <col min="3591" max="3591" width="10.5703125" style="135" customWidth="1"/>
    <col min="3592" max="3592" width="9.85546875" style="135" customWidth="1"/>
    <col min="3593" max="3594" width="12.7109375" style="135" bestFit="1" customWidth="1"/>
    <col min="3595" max="3595" width="9.140625" style="135"/>
    <col min="3596" max="3596" width="10.28515625" style="135" bestFit="1" customWidth="1"/>
    <col min="3597" max="3841" width="9.140625" style="135"/>
    <col min="3842" max="3842" width="14.28515625" style="135" customWidth="1"/>
    <col min="3843" max="3843" width="19.28515625" style="135" customWidth="1"/>
    <col min="3844" max="3844" width="16" style="135" customWidth="1"/>
    <col min="3845" max="3845" width="17.140625" style="135" customWidth="1"/>
    <col min="3846" max="3846" width="10.140625" style="135" customWidth="1"/>
    <col min="3847" max="3847" width="10.5703125" style="135" customWidth="1"/>
    <col min="3848" max="3848" width="9.85546875" style="135" customWidth="1"/>
    <col min="3849" max="3850" width="12.7109375" style="135" bestFit="1" customWidth="1"/>
    <col min="3851" max="3851" width="9.140625" style="135"/>
    <col min="3852" max="3852" width="10.28515625" style="135" bestFit="1" customWidth="1"/>
    <col min="3853" max="4097" width="9.140625" style="135"/>
    <col min="4098" max="4098" width="14.28515625" style="135" customWidth="1"/>
    <col min="4099" max="4099" width="19.28515625" style="135" customWidth="1"/>
    <col min="4100" max="4100" width="16" style="135" customWidth="1"/>
    <col min="4101" max="4101" width="17.140625" style="135" customWidth="1"/>
    <col min="4102" max="4102" width="10.140625" style="135" customWidth="1"/>
    <col min="4103" max="4103" width="10.5703125" style="135" customWidth="1"/>
    <col min="4104" max="4104" width="9.85546875" style="135" customWidth="1"/>
    <col min="4105" max="4106" width="12.7109375" style="135" bestFit="1" customWidth="1"/>
    <col min="4107" max="4107" width="9.140625" style="135"/>
    <col min="4108" max="4108" width="10.28515625" style="135" bestFit="1" customWidth="1"/>
    <col min="4109" max="4353" width="9.140625" style="135"/>
    <col min="4354" max="4354" width="14.28515625" style="135" customWidth="1"/>
    <col min="4355" max="4355" width="19.28515625" style="135" customWidth="1"/>
    <col min="4356" max="4356" width="16" style="135" customWidth="1"/>
    <col min="4357" max="4357" width="17.140625" style="135" customWidth="1"/>
    <col min="4358" max="4358" width="10.140625" style="135" customWidth="1"/>
    <col min="4359" max="4359" width="10.5703125" style="135" customWidth="1"/>
    <col min="4360" max="4360" width="9.85546875" style="135" customWidth="1"/>
    <col min="4361" max="4362" width="12.7109375" style="135" bestFit="1" customWidth="1"/>
    <col min="4363" max="4363" width="9.140625" style="135"/>
    <col min="4364" max="4364" width="10.28515625" style="135" bestFit="1" customWidth="1"/>
    <col min="4365" max="4609" width="9.140625" style="135"/>
    <col min="4610" max="4610" width="14.28515625" style="135" customWidth="1"/>
    <col min="4611" max="4611" width="19.28515625" style="135" customWidth="1"/>
    <col min="4612" max="4612" width="16" style="135" customWidth="1"/>
    <col min="4613" max="4613" width="17.140625" style="135" customWidth="1"/>
    <col min="4614" max="4614" width="10.140625" style="135" customWidth="1"/>
    <col min="4615" max="4615" width="10.5703125" style="135" customWidth="1"/>
    <col min="4616" max="4616" width="9.85546875" style="135" customWidth="1"/>
    <col min="4617" max="4618" width="12.7109375" style="135" bestFit="1" customWidth="1"/>
    <col min="4619" max="4619" width="9.140625" style="135"/>
    <col min="4620" max="4620" width="10.28515625" style="135" bestFit="1" customWidth="1"/>
    <col min="4621" max="4865" width="9.140625" style="135"/>
    <col min="4866" max="4866" width="14.28515625" style="135" customWidth="1"/>
    <col min="4867" max="4867" width="19.28515625" style="135" customWidth="1"/>
    <col min="4868" max="4868" width="16" style="135" customWidth="1"/>
    <col min="4869" max="4869" width="17.140625" style="135" customWidth="1"/>
    <col min="4870" max="4870" width="10.140625" style="135" customWidth="1"/>
    <col min="4871" max="4871" width="10.5703125" style="135" customWidth="1"/>
    <col min="4872" max="4872" width="9.85546875" style="135" customWidth="1"/>
    <col min="4873" max="4874" width="12.7109375" style="135" bestFit="1" customWidth="1"/>
    <col min="4875" max="4875" width="9.140625" style="135"/>
    <col min="4876" max="4876" width="10.28515625" style="135" bestFit="1" customWidth="1"/>
    <col min="4877" max="5121" width="9.140625" style="135"/>
    <col min="5122" max="5122" width="14.28515625" style="135" customWidth="1"/>
    <col min="5123" max="5123" width="19.28515625" style="135" customWidth="1"/>
    <col min="5124" max="5124" width="16" style="135" customWidth="1"/>
    <col min="5125" max="5125" width="17.140625" style="135" customWidth="1"/>
    <col min="5126" max="5126" width="10.140625" style="135" customWidth="1"/>
    <col min="5127" max="5127" width="10.5703125" style="135" customWidth="1"/>
    <col min="5128" max="5128" width="9.85546875" style="135" customWidth="1"/>
    <col min="5129" max="5130" width="12.7109375" style="135" bestFit="1" customWidth="1"/>
    <col min="5131" max="5131" width="9.140625" style="135"/>
    <col min="5132" max="5132" width="10.28515625" style="135" bestFit="1" customWidth="1"/>
    <col min="5133" max="5377" width="9.140625" style="135"/>
    <col min="5378" max="5378" width="14.28515625" style="135" customWidth="1"/>
    <col min="5379" max="5379" width="19.28515625" style="135" customWidth="1"/>
    <col min="5380" max="5380" width="16" style="135" customWidth="1"/>
    <col min="5381" max="5381" width="17.140625" style="135" customWidth="1"/>
    <col min="5382" max="5382" width="10.140625" style="135" customWidth="1"/>
    <col min="5383" max="5383" width="10.5703125" style="135" customWidth="1"/>
    <col min="5384" max="5384" width="9.85546875" style="135" customWidth="1"/>
    <col min="5385" max="5386" width="12.7109375" style="135" bestFit="1" customWidth="1"/>
    <col min="5387" max="5387" width="9.140625" style="135"/>
    <col min="5388" max="5388" width="10.28515625" style="135" bestFit="1" customWidth="1"/>
    <col min="5389" max="5633" width="9.140625" style="135"/>
    <col min="5634" max="5634" width="14.28515625" style="135" customWidth="1"/>
    <col min="5635" max="5635" width="19.28515625" style="135" customWidth="1"/>
    <col min="5636" max="5636" width="16" style="135" customWidth="1"/>
    <col min="5637" max="5637" width="17.140625" style="135" customWidth="1"/>
    <col min="5638" max="5638" width="10.140625" style="135" customWidth="1"/>
    <col min="5639" max="5639" width="10.5703125" style="135" customWidth="1"/>
    <col min="5640" max="5640" width="9.85546875" style="135" customWidth="1"/>
    <col min="5641" max="5642" width="12.7109375" style="135" bestFit="1" customWidth="1"/>
    <col min="5643" max="5643" width="9.140625" style="135"/>
    <col min="5644" max="5644" width="10.28515625" style="135" bestFit="1" customWidth="1"/>
    <col min="5645" max="5889" width="9.140625" style="135"/>
    <col min="5890" max="5890" width="14.28515625" style="135" customWidth="1"/>
    <col min="5891" max="5891" width="19.28515625" style="135" customWidth="1"/>
    <col min="5892" max="5892" width="16" style="135" customWidth="1"/>
    <col min="5893" max="5893" width="17.140625" style="135" customWidth="1"/>
    <col min="5894" max="5894" width="10.140625" style="135" customWidth="1"/>
    <col min="5895" max="5895" width="10.5703125" style="135" customWidth="1"/>
    <col min="5896" max="5896" width="9.85546875" style="135" customWidth="1"/>
    <col min="5897" max="5898" width="12.7109375" style="135" bestFit="1" customWidth="1"/>
    <col min="5899" max="5899" width="9.140625" style="135"/>
    <col min="5900" max="5900" width="10.28515625" style="135" bestFit="1" customWidth="1"/>
    <col min="5901" max="6145" width="9.140625" style="135"/>
    <col min="6146" max="6146" width="14.28515625" style="135" customWidth="1"/>
    <col min="6147" max="6147" width="19.28515625" style="135" customWidth="1"/>
    <col min="6148" max="6148" width="16" style="135" customWidth="1"/>
    <col min="6149" max="6149" width="17.140625" style="135" customWidth="1"/>
    <col min="6150" max="6150" width="10.140625" style="135" customWidth="1"/>
    <col min="6151" max="6151" width="10.5703125" style="135" customWidth="1"/>
    <col min="6152" max="6152" width="9.85546875" style="135" customWidth="1"/>
    <col min="6153" max="6154" width="12.7109375" style="135" bestFit="1" customWidth="1"/>
    <col min="6155" max="6155" width="9.140625" style="135"/>
    <col min="6156" max="6156" width="10.28515625" style="135" bestFit="1" customWidth="1"/>
    <col min="6157" max="6401" width="9.140625" style="135"/>
    <col min="6402" max="6402" width="14.28515625" style="135" customWidth="1"/>
    <col min="6403" max="6403" width="19.28515625" style="135" customWidth="1"/>
    <col min="6404" max="6404" width="16" style="135" customWidth="1"/>
    <col min="6405" max="6405" width="17.140625" style="135" customWidth="1"/>
    <col min="6406" max="6406" width="10.140625" style="135" customWidth="1"/>
    <col min="6407" max="6407" width="10.5703125" style="135" customWidth="1"/>
    <col min="6408" max="6408" width="9.85546875" style="135" customWidth="1"/>
    <col min="6409" max="6410" width="12.7109375" style="135" bestFit="1" customWidth="1"/>
    <col min="6411" max="6411" width="9.140625" style="135"/>
    <col min="6412" max="6412" width="10.28515625" style="135" bestFit="1" customWidth="1"/>
    <col min="6413" max="6657" width="9.140625" style="135"/>
    <col min="6658" max="6658" width="14.28515625" style="135" customWidth="1"/>
    <col min="6659" max="6659" width="19.28515625" style="135" customWidth="1"/>
    <col min="6660" max="6660" width="16" style="135" customWidth="1"/>
    <col min="6661" max="6661" width="17.140625" style="135" customWidth="1"/>
    <col min="6662" max="6662" width="10.140625" style="135" customWidth="1"/>
    <col min="6663" max="6663" width="10.5703125" style="135" customWidth="1"/>
    <col min="6664" max="6664" width="9.85546875" style="135" customWidth="1"/>
    <col min="6665" max="6666" width="12.7109375" style="135" bestFit="1" customWidth="1"/>
    <col min="6667" max="6667" width="9.140625" style="135"/>
    <col min="6668" max="6668" width="10.28515625" style="135" bestFit="1" customWidth="1"/>
    <col min="6669" max="6913" width="9.140625" style="135"/>
    <col min="6914" max="6914" width="14.28515625" style="135" customWidth="1"/>
    <col min="6915" max="6915" width="19.28515625" style="135" customWidth="1"/>
    <col min="6916" max="6916" width="16" style="135" customWidth="1"/>
    <col min="6917" max="6917" width="17.140625" style="135" customWidth="1"/>
    <col min="6918" max="6918" width="10.140625" style="135" customWidth="1"/>
    <col min="6919" max="6919" width="10.5703125" style="135" customWidth="1"/>
    <col min="6920" max="6920" width="9.85546875" style="135" customWidth="1"/>
    <col min="6921" max="6922" width="12.7109375" style="135" bestFit="1" customWidth="1"/>
    <col min="6923" max="6923" width="9.140625" style="135"/>
    <col min="6924" max="6924" width="10.28515625" style="135" bestFit="1" customWidth="1"/>
    <col min="6925" max="7169" width="9.140625" style="135"/>
    <col min="7170" max="7170" width="14.28515625" style="135" customWidth="1"/>
    <col min="7171" max="7171" width="19.28515625" style="135" customWidth="1"/>
    <col min="7172" max="7172" width="16" style="135" customWidth="1"/>
    <col min="7173" max="7173" width="17.140625" style="135" customWidth="1"/>
    <col min="7174" max="7174" width="10.140625" style="135" customWidth="1"/>
    <col min="7175" max="7175" width="10.5703125" style="135" customWidth="1"/>
    <col min="7176" max="7176" width="9.85546875" style="135" customWidth="1"/>
    <col min="7177" max="7178" width="12.7109375" style="135" bestFit="1" customWidth="1"/>
    <col min="7179" max="7179" width="9.140625" style="135"/>
    <col min="7180" max="7180" width="10.28515625" style="135" bestFit="1" customWidth="1"/>
    <col min="7181" max="7425" width="9.140625" style="135"/>
    <col min="7426" max="7426" width="14.28515625" style="135" customWidth="1"/>
    <col min="7427" max="7427" width="19.28515625" style="135" customWidth="1"/>
    <col min="7428" max="7428" width="16" style="135" customWidth="1"/>
    <col min="7429" max="7429" width="17.140625" style="135" customWidth="1"/>
    <col min="7430" max="7430" width="10.140625" style="135" customWidth="1"/>
    <col min="7431" max="7431" width="10.5703125" style="135" customWidth="1"/>
    <col min="7432" max="7432" width="9.85546875" style="135" customWidth="1"/>
    <col min="7433" max="7434" width="12.7109375" style="135" bestFit="1" customWidth="1"/>
    <col min="7435" max="7435" width="9.140625" style="135"/>
    <col min="7436" max="7436" width="10.28515625" style="135" bestFit="1" customWidth="1"/>
    <col min="7437" max="7681" width="9.140625" style="135"/>
    <col min="7682" max="7682" width="14.28515625" style="135" customWidth="1"/>
    <col min="7683" max="7683" width="19.28515625" style="135" customWidth="1"/>
    <col min="7684" max="7684" width="16" style="135" customWidth="1"/>
    <col min="7685" max="7685" width="17.140625" style="135" customWidth="1"/>
    <col min="7686" max="7686" width="10.140625" style="135" customWidth="1"/>
    <col min="7687" max="7687" width="10.5703125" style="135" customWidth="1"/>
    <col min="7688" max="7688" width="9.85546875" style="135" customWidth="1"/>
    <col min="7689" max="7690" width="12.7109375" style="135" bestFit="1" customWidth="1"/>
    <col min="7691" max="7691" width="9.140625" style="135"/>
    <col min="7692" max="7692" width="10.28515625" style="135" bestFit="1" customWidth="1"/>
    <col min="7693" max="7937" width="9.140625" style="135"/>
    <col min="7938" max="7938" width="14.28515625" style="135" customWidth="1"/>
    <col min="7939" max="7939" width="19.28515625" style="135" customWidth="1"/>
    <col min="7940" max="7940" width="16" style="135" customWidth="1"/>
    <col min="7941" max="7941" width="17.140625" style="135" customWidth="1"/>
    <col min="7942" max="7942" width="10.140625" style="135" customWidth="1"/>
    <col min="7943" max="7943" width="10.5703125" style="135" customWidth="1"/>
    <col min="7944" max="7944" width="9.85546875" style="135" customWidth="1"/>
    <col min="7945" max="7946" width="12.7109375" style="135" bestFit="1" customWidth="1"/>
    <col min="7947" max="7947" width="9.140625" style="135"/>
    <col min="7948" max="7948" width="10.28515625" style="135" bestFit="1" customWidth="1"/>
    <col min="7949" max="8193" width="9.140625" style="135"/>
    <col min="8194" max="8194" width="14.28515625" style="135" customWidth="1"/>
    <col min="8195" max="8195" width="19.28515625" style="135" customWidth="1"/>
    <col min="8196" max="8196" width="16" style="135" customWidth="1"/>
    <col min="8197" max="8197" width="17.140625" style="135" customWidth="1"/>
    <col min="8198" max="8198" width="10.140625" style="135" customWidth="1"/>
    <col min="8199" max="8199" width="10.5703125" style="135" customWidth="1"/>
    <col min="8200" max="8200" width="9.85546875" style="135" customWidth="1"/>
    <col min="8201" max="8202" width="12.7109375" style="135" bestFit="1" customWidth="1"/>
    <col min="8203" max="8203" width="9.140625" style="135"/>
    <col min="8204" max="8204" width="10.28515625" style="135" bestFit="1" customWidth="1"/>
    <col min="8205" max="8449" width="9.140625" style="135"/>
    <col min="8450" max="8450" width="14.28515625" style="135" customWidth="1"/>
    <col min="8451" max="8451" width="19.28515625" style="135" customWidth="1"/>
    <col min="8452" max="8452" width="16" style="135" customWidth="1"/>
    <col min="8453" max="8453" width="17.140625" style="135" customWidth="1"/>
    <col min="8454" max="8454" width="10.140625" style="135" customWidth="1"/>
    <col min="8455" max="8455" width="10.5703125" style="135" customWidth="1"/>
    <col min="8456" max="8456" width="9.85546875" style="135" customWidth="1"/>
    <col min="8457" max="8458" width="12.7109375" style="135" bestFit="1" customWidth="1"/>
    <col min="8459" max="8459" width="9.140625" style="135"/>
    <col min="8460" max="8460" width="10.28515625" style="135" bestFit="1" customWidth="1"/>
    <col min="8461" max="8705" width="9.140625" style="135"/>
    <col min="8706" max="8706" width="14.28515625" style="135" customWidth="1"/>
    <col min="8707" max="8707" width="19.28515625" style="135" customWidth="1"/>
    <col min="8708" max="8708" width="16" style="135" customWidth="1"/>
    <col min="8709" max="8709" width="17.140625" style="135" customWidth="1"/>
    <col min="8710" max="8710" width="10.140625" style="135" customWidth="1"/>
    <col min="8711" max="8711" width="10.5703125" style="135" customWidth="1"/>
    <col min="8712" max="8712" width="9.85546875" style="135" customWidth="1"/>
    <col min="8713" max="8714" width="12.7109375" style="135" bestFit="1" customWidth="1"/>
    <col min="8715" max="8715" width="9.140625" style="135"/>
    <col min="8716" max="8716" width="10.28515625" style="135" bestFit="1" customWidth="1"/>
    <col min="8717" max="8961" width="9.140625" style="135"/>
    <col min="8962" max="8962" width="14.28515625" style="135" customWidth="1"/>
    <col min="8963" max="8963" width="19.28515625" style="135" customWidth="1"/>
    <col min="8964" max="8964" width="16" style="135" customWidth="1"/>
    <col min="8965" max="8965" width="17.140625" style="135" customWidth="1"/>
    <col min="8966" max="8966" width="10.140625" style="135" customWidth="1"/>
    <col min="8967" max="8967" width="10.5703125" style="135" customWidth="1"/>
    <col min="8968" max="8968" width="9.85546875" style="135" customWidth="1"/>
    <col min="8969" max="8970" width="12.7109375" style="135" bestFit="1" customWidth="1"/>
    <col min="8971" max="8971" width="9.140625" style="135"/>
    <col min="8972" max="8972" width="10.28515625" style="135" bestFit="1" customWidth="1"/>
    <col min="8973" max="9217" width="9.140625" style="135"/>
    <col min="9218" max="9218" width="14.28515625" style="135" customWidth="1"/>
    <col min="9219" max="9219" width="19.28515625" style="135" customWidth="1"/>
    <col min="9220" max="9220" width="16" style="135" customWidth="1"/>
    <col min="9221" max="9221" width="17.140625" style="135" customWidth="1"/>
    <col min="9222" max="9222" width="10.140625" style="135" customWidth="1"/>
    <col min="9223" max="9223" width="10.5703125" style="135" customWidth="1"/>
    <col min="9224" max="9224" width="9.85546875" style="135" customWidth="1"/>
    <col min="9225" max="9226" width="12.7109375" style="135" bestFit="1" customWidth="1"/>
    <col min="9227" max="9227" width="9.140625" style="135"/>
    <col min="9228" max="9228" width="10.28515625" style="135" bestFit="1" customWidth="1"/>
    <col min="9229" max="9473" width="9.140625" style="135"/>
    <col min="9474" max="9474" width="14.28515625" style="135" customWidth="1"/>
    <col min="9475" max="9475" width="19.28515625" style="135" customWidth="1"/>
    <col min="9476" max="9476" width="16" style="135" customWidth="1"/>
    <col min="9477" max="9477" width="17.140625" style="135" customWidth="1"/>
    <col min="9478" max="9478" width="10.140625" style="135" customWidth="1"/>
    <col min="9479" max="9479" width="10.5703125" style="135" customWidth="1"/>
    <col min="9480" max="9480" width="9.85546875" style="135" customWidth="1"/>
    <col min="9481" max="9482" width="12.7109375" style="135" bestFit="1" customWidth="1"/>
    <col min="9483" max="9483" width="9.140625" style="135"/>
    <col min="9484" max="9484" width="10.28515625" style="135" bestFit="1" customWidth="1"/>
    <col min="9485" max="9729" width="9.140625" style="135"/>
    <col min="9730" max="9730" width="14.28515625" style="135" customWidth="1"/>
    <col min="9731" max="9731" width="19.28515625" style="135" customWidth="1"/>
    <col min="9732" max="9732" width="16" style="135" customWidth="1"/>
    <col min="9733" max="9733" width="17.140625" style="135" customWidth="1"/>
    <col min="9734" max="9734" width="10.140625" style="135" customWidth="1"/>
    <col min="9735" max="9735" width="10.5703125" style="135" customWidth="1"/>
    <col min="9736" max="9736" width="9.85546875" style="135" customWidth="1"/>
    <col min="9737" max="9738" width="12.7109375" style="135" bestFit="1" customWidth="1"/>
    <col min="9739" max="9739" width="9.140625" style="135"/>
    <col min="9740" max="9740" width="10.28515625" style="135" bestFit="1" customWidth="1"/>
    <col min="9741" max="9985" width="9.140625" style="135"/>
    <col min="9986" max="9986" width="14.28515625" style="135" customWidth="1"/>
    <col min="9987" max="9987" width="19.28515625" style="135" customWidth="1"/>
    <col min="9988" max="9988" width="16" style="135" customWidth="1"/>
    <col min="9989" max="9989" width="17.140625" style="135" customWidth="1"/>
    <col min="9990" max="9990" width="10.140625" style="135" customWidth="1"/>
    <col min="9991" max="9991" width="10.5703125" style="135" customWidth="1"/>
    <col min="9992" max="9992" width="9.85546875" style="135" customWidth="1"/>
    <col min="9993" max="9994" width="12.7109375" style="135" bestFit="1" customWidth="1"/>
    <col min="9995" max="9995" width="9.140625" style="135"/>
    <col min="9996" max="9996" width="10.28515625" style="135" bestFit="1" customWidth="1"/>
    <col min="9997" max="10241" width="9.140625" style="135"/>
    <col min="10242" max="10242" width="14.28515625" style="135" customWidth="1"/>
    <col min="10243" max="10243" width="19.28515625" style="135" customWidth="1"/>
    <col min="10244" max="10244" width="16" style="135" customWidth="1"/>
    <col min="10245" max="10245" width="17.140625" style="135" customWidth="1"/>
    <col min="10246" max="10246" width="10.140625" style="135" customWidth="1"/>
    <col min="10247" max="10247" width="10.5703125" style="135" customWidth="1"/>
    <col min="10248" max="10248" width="9.85546875" style="135" customWidth="1"/>
    <col min="10249" max="10250" width="12.7109375" style="135" bestFit="1" customWidth="1"/>
    <col min="10251" max="10251" width="9.140625" style="135"/>
    <col min="10252" max="10252" width="10.28515625" style="135" bestFit="1" customWidth="1"/>
    <col min="10253" max="10497" width="9.140625" style="135"/>
    <col min="10498" max="10498" width="14.28515625" style="135" customWidth="1"/>
    <col min="10499" max="10499" width="19.28515625" style="135" customWidth="1"/>
    <col min="10500" max="10500" width="16" style="135" customWidth="1"/>
    <col min="10501" max="10501" width="17.140625" style="135" customWidth="1"/>
    <col min="10502" max="10502" width="10.140625" style="135" customWidth="1"/>
    <col min="10503" max="10503" width="10.5703125" style="135" customWidth="1"/>
    <col min="10504" max="10504" width="9.85546875" style="135" customWidth="1"/>
    <col min="10505" max="10506" width="12.7109375" style="135" bestFit="1" customWidth="1"/>
    <col min="10507" max="10507" width="9.140625" style="135"/>
    <col min="10508" max="10508" width="10.28515625" style="135" bestFit="1" customWidth="1"/>
    <col min="10509" max="10753" width="9.140625" style="135"/>
    <col min="10754" max="10754" width="14.28515625" style="135" customWidth="1"/>
    <col min="10755" max="10755" width="19.28515625" style="135" customWidth="1"/>
    <col min="10756" max="10756" width="16" style="135" customWidth="1"/>
    <col min="10757" max="10757" width="17.140625" style="135" customWidth="1"/>
    <col min="10758" max="10758" width="10.140625" style="135" customWidth="1"/>
    <col min="10759" max="10759" width="10.5703125" style="135" customWidth="1"/>
    <col min="10760" max="10760" width="9.85546875" style="135" customWidth="1"/>
    <col min="10761" max="10762" width="12.7109375" style="135" bestFit="1" customWidth="1"/>
    <col min="10763" max="10763" width="9.140625" style="135"/>
    <col min="10764" max="10764" width="10.28515625" style="135" bestFit="1" customWidth="1"/>
    <col min="10765" max="11009" width="9.140625" style="135"/>
    <col min="11010" max="11010" width="14.28515625" style="135" customWidth="1"/>
    <col min="11011" max="11011" width="19.28515625" style="135" customWidth="1"/>
    <col min="11012" max="11012" width="16" style="135" customWidth="1"/>
    <col min="11013" max="11013" width="17.140625" style="135" customWidth="1"/>
    <col min="11014" max="11014" width="10.140625" style="135" customWidth="1"/>
    <col min="11015" max="11015" width="10.5703125" style="135" customWidth="1"/>
    <col min="11016" max="11016" width="9.85546875" style="135" customWidth="1"/>
    <col min="11017" max="11018" width="12.7109375" style="135" bestFit="1" customWidth="1"/>
    <col min="11019" max="11019" width="9.140625" style="135"/>
    <col min="11020" max="11020" width="10.28515625" style="135" bestFit="1" customWidth="1"/>
    <col min="11021" max="11265" width="9.140625" style="135"/>
    <col min="11266" max="11266" width="14.28515625" style="135" customWidth="1"/>
    <col min="11267" max="11267" width="19.28515625" style="135" customWidth="1"/>
    <col min="11268" max="11268" width="16" style="135" customWidth="1"/>
    <col min="11269" max="11269" width="17.140625" style="135" customWidth="1"/>
    <col min="11270" max="11270" width="10.140625" style="135" customWidth="1"/>
    <col min="11271" max="11271" width="10.5703125" style="135" customWidth="1"/>
    <col min="11272" max="11272" width="9.85546875" style="135" customWidth="1"/>
    <col min="11273" max="11274" width="12.7109375" style="135" bestFit="1" customWidth="1"/>
    <col min="11275" max="11275" width="9.140625" style="135"/>
    <col min="11276" max="11276" width="10.28515625" style="135" bestFit="1" customWidth="1"/>
    <col min="11277" max="11521" width="9.140625" style="135"/>
    <col min="11522" max="11522" width="14.28515625" style="135" customWidth="1"/>
    <col min="11523" max="11523" width="19.28515625" style="135" customWidth="1"/>
    <col min="11524" max="11524" width="16" style="135" customWidth="1"/>
    <col min="11525" max="11525" width="17.140625" style="135" customWidth="1"/>
    <col min="11526" max="11526" width="10.140625" style="135" customWidth="1"/>
    <col min="11527" max="11527" width="10.5703125" style="135" customWidth="1"/>
    <col min="11528" max="11528" width="9.85546875" style="135" customWidth="1"/>
    <col min="11529" max="11530" width="12.7109375" style="135" bestFit="1" customWidth="1"/>
    <col min="11531" max="11531" width="9.140625" style="135"/>
    <col min="11532" max="11532" width="10.28515625" style="135" bestFit="1" customWidth="1"/>
    <col min="11533" max="11777" width="9.140625" style="135"/>
    <col min="11778" max="11778" width="14.28515625" style="135" customWidth="1"/>
    <col min="11779" max="11779" width="19.28515625" style="135" customWidth="1"/>
    <col min="11780" max="11780" width="16" style="135" customWidth="1"/>
    <col min="11781" max="11781" width="17.140625" style="135" customWidth="1"/>
    <col min="11782" max="11782" width="10.140625" style="135" customWidth="1"/>
    <col min="11783" max="11783" width="10.5703125" style="135" customWidth="1"/>
    <col min="11784" max="11784" width="9.85546875" style="135" customWidth="1"/>
    <col min="11785" max="11786" width="12.7109375" style="135" bestFit="1" customWidth="1"/>
    <col min="11787" max="11787" width="9.140625" style="135"/>
    <col min="11788" max="11788" width="10.28515625" style="135" bestFit="1" customWidth="1"/>
    <col min="11789" max="12033" width="9.140625" style="135"/>
    <col min="12034" max="12034" width="14.28515625" style="135" customWidth="1"/>
    <col min="12035" max="12035" width="19.28515625" style="135" customWidth="1"/>
    <col min="12036" max="12036" width="16" style="135" customWidth="1"/>
    <col min="12037" max="12037" width="17.140625" style="135" customWidth="1"/>
    <col min="12038" max="12038" width="10.140625" style="135" customWidth="1"/>
    <col min="12039" max="12039" width="10.5703125" style="135" customWidth="1"/>
    <col min="12040" max="12040" width="9.85546875" style="135" customWidth="1"/>
    <col min="12041" max="12042" width="12.7109375" style="135" bestFit="1" customWidth="1"/>
    <col min="12043" max="12043" width="9.140625" style="135"/>
    <col min="12044" max="12044" width="10.28515625" style="135" bestFit="1" customWidth="1"/>
    <col min="12045" max="12289" width="9.140625" style="135"/>
    <col min="12290" max="12290" width="14.28515625" style="135" customWidth="1"/>
    <col min="12291" max="12291" width="19.28515625" style="135" customWidth="1"/>
    <col min="12292" max="12292" width="16" style="135" customWidth="1"/>
    <col min="12293" max="12293" width="17.140625" style="135" customWidth="1"/>
    <col min="12294" max="12294" width="10.140625" style="135" customWidth="1"/>
    <col min="12295" max="12295" width="10.5703125" style="135" customWidth="1"/>
    <col min="12296" max="12296" width="9.85546875" style="135" customWidth="1"/>
    <col min="12297" max="12298" width="12.7109375" style="135" bestFit="1" customWidth="1"/>
    <col min="12299" max="12299" width="9.140625" style="135"/>
    <col min="12300" max="12300" width="10.28515625" style="135" bestFit="1" customWidth="1"/>
    <col min="12301" max="12545" width="9.140625" style="135"/>
    <col min="12546" max="12546" width="14.28515625" style="135" customWidth="1"/>
    <col min="12547" max="12547" width="19.28515625" style="135" customWidth="1"/>
    <col min="12548" max="12548" width="16" style="135" customWidth="1"/>
    <col min="12549" max="12549" width="17.140625" style="135" customWidth="1"/>
    <col min="12550" max="12550" width="10.140625" style="135" customWidth="1"/>
    <col min="12551" max="12551" width="10.5703125" style="135" customWidth="1"/>
    <col min="12552" max="12552" width="9.85546875" style="135" customWidth="1"/>
    <col min="12553" max="12554" width="12.7109375" style="135" bestFit="1" customWidth="1"/>
    <col min="12555" max="12555" width="9.140625" style="135"/>
    <col min="12556" max="12556" width="10.28515625" style="135" bestFit="1" customWidth="1"/>
    <col min="12557" max="12801" width="9.140625" style="135"/>
    <col min="12802" max="12802" width="14.28515625" style="135" customWidth="1"/>
    <col min="12803" max="12803" width="19.28515625" style="135" customWidth="1"/>
    <col min="12804" max="12804" width="16" style="135" customWidth="1"/>
    <col min="12805" max="12805" width="17.140625" style="135" customWidth="1"/>
    <col min="12806" max="12806" width="10.140625" style="135" customWidth="1"/>
    <col min="12807" max="12807" width="10.5703125" style="135" customWidth="1"/>
    <col min="12808" max="12808" width="9.85546875" style="135" customWidth="1"/>
    <col min="12809" max="12810" width="12.7109375" style="135" bestFit="1" customWidth="1"/>
    <col min="12811" max="12811" width="9.140625" style="135"/>
    <col min="12812" max="12812" width="10.28515625" style="135" bestFit="1" customWidth="1"/>
    <col min="12813" max="13057" width="9.140625" style="135"/>
    <col min="13058" max="13058" width="14.28515625" style="135" customWidth="1"/>
    <col min="13059" max="13059" width="19.28515625" style="135" customWidth="1"/>
    <col min="13060" max="13060" width="16" style="135" customWidth="1"/>
    <col min="13061" max="13061" width="17.140625" style="135" customWidth="1"/>
    <col min="13062" max="13062" width="10.140625" style="135" customWidth="1"/>
    <col min="13063" max="13063" width="10.5703125" style="135" customWidth="1"/>
    <col min="13064" max="13064" width="9.85546875" style="135" customWidth="1"/>
    <col min="13065" max="13066" width="12.7109375" style="135" bestFit="1" customWidth="1"/>
    <col min="13067" max="13067" width="9.140625" style="135"/>
    <col min="13068" max="13068" width="10.28515625" style="135" bestFit="1" customWidth="1"/>
    <col min="13069" max="13313" width="9.140625" style="135"/>
    <col min="13314" max="13314" width="14.28515625" style="135" customWidth="1"/>
    <col min="13315" max="13315" width="19.28515625" style="135" customWidth="1"/>
    <col min="13316" max="13316" width="16" style="135" customWidth="1"/>
    <col min="13317" max="13317" width="17.140625" style="135" customWidth="1"/>
    <col min="13318" max="13318" width="10.140625" style="135" customWidth="1"/>
    <col min="13319" max="13319" width="10.5703125" style="135" customWidth="1"/>
    <col min="13320" max="13320" width="9.85546875" style="135" customWidth="1"/>
    <col min="13321" max="13322" width="12.7109375" style="135" bestFit="1" customWidth="1"/>
    <col min="13323" max="13323" width="9.140625" style="135"/>
    <col min="13324" max="13324" width="10.28515625" style="135" bestFit="1" customWidth="1"/>
    <col min="13325" max="13569" width="9.140625" style="135"/>
    <col min="13570" max="13570" width="14.28515625" style="135" customWidth="1"/>
    <col min="13571" max="13571" width="19.28515625" style="135" customWidth="1"/>
    <col min="13572" max="13572" width="16" style="135" customWidth="1"/>
    <col min="13573" max="13573" width="17.140625" style="135" customWidth="1"/>
    <col min="13574" max="13574" width="10.140625" style="135" customWidth="1"/>
    <col min="13575" max="13575" width="10.5703125" style="135" customWidth="1"/>
    <col min="13576" max="13576" width="9.85546875" style="135" customWidth="1"/>
    <col min="13577" max="13578" width="12.7109375" style="135" bestFit="1" customWidth="1"/>
    <col min="13579" max="13579" width="9.140625" style="135"/>
    <col min="13580" max="13580" width="10.28515625" style="135" bestFit="1" customWidth="1"/>
    <col min="13581" max="13825" width="9.140625" style="135"/>
    <col min="13826" max="13826" width="14.28515625" style="135" customWidth="1"/>
    <col min="13827" max="13827" width="19.28515625" style="135" customWidth="1"/>
    <col min="13828" max="13828" width="16" style="135" customWidth="1"/>
    <col min="13829" max="13829" width="17.140625" style="135" customWidth="1"/>
    <col min="13830" max="13830" width="10.140625" style="135" customWidth="1"/>
    <col min="13831" max="13831" width="10.5703125" style="135" customWidth="1"/>
    <col min="13832" max="13832" width="9.85546875" style="135" customWidth="1"/>
    <col min="13833" max="13834" width="12.7109375" style="135" bestFit="1" customWidth="1"/>
    <col min="13835" max="13835" width="9.140625" style="135"/>
    <col min="13836" max="13836" width="10.28515625" style="135" bestFit="1" customWidth="1"/>
    <col min="13837" max="14081" width="9.140625" style="135"/>
    <col min="14082" max="14082" width="14.28515625" style="135" customWidth="1"/>
    <col min="14083" max="14083" width="19.28515625" style="135" customWidth="1"/>
    <col min="14084" max="14084" width="16" style="135" customWidth="1"/>
    <col min="14085" max="14085" width="17.140625" style="135" customWidth="1"/>
    <col min="14086" max="14086" width="10.140625" style="135" customWidth="1"/>
    <col min="14087" max="14087" width="10.5703125" style="135" customWidth="1"/>
    <col min="14088" max="14088" width="9.85546875" style="135" customWidth="1"/>
    <col min="14089" max="14090" width="12.7109375" style="135" bestFit="1" customWidth="1"/>
    <col min="14091" max="14091" width="9.140625" style="135"/>
    <col min="14092" max="14092" width="10.28515625" style="135" bestFit="1" customWidth="1"/>
    <col min="14093" max="14337" width="9.140625" style="135"/>
    <col min="14338" max="14338" width="14.28515625" style="135" customWidth="1"/>
    <col min="14339" max="14339" width="19.28515625" style="135" customWidth="1"/>
    <col min="14340" max="14340" width="16" style="135" customWidth="1"/>
    <col min="14341" max="14341" width="17.140625" style="135" customWidth="1"/>
    <col min="14342" max="14342" width="10.140625" style="135" customWidth="1"/>
    <col min="14343" max="14343" width="10.5703125" style="135" customWidth="1"/>
    <col min="14344" max="14344" width="9.85546875" style="135" customWidth="1"/>
    <col min="14345" max="14346" width="12.7109375" style="135" bestFit="1" customWidth="1"/>
    <col min="14347" max="14347" width="9.140625" style="135"/>
    <col min="14348" max="14348" width="10.28515625" style="135" bestFit="1" customWidth="1"/>
    <col min="14349" max="14593" width="9.140625" style="135"/>
    <col min="14594" max="14594" width="14.28515625" style="135" customWidth="1"/>
    <col min="14595" max="14595" width="19.28515625" style="135" customWidth="1"/>
    <col min="14596" max="14596" width="16" style="135" customWidth="1"/>
    <col min="14597" max="14597" width="17.140625" style="135" customWidth="1"/>
    <col min="14598" max="14598" width="10.140625" style="135" customWidth="1"/>
    <col min="14599" max="14599" width="10.5703125" style="135" customWidth="1"/>
    <col min="14600" max="14600" width="9.85546875" style="135" customWidth="1"/>
    <col min="14601" max="14602" width="12.7109375" style="135" bestFit="1" customWidth="1"/>
    <col min="14603" max="14603" width="9.140625" style="135"/>
    <col min="14604" max="14604" width="10.28515625" style="135" bestFit="1" customWidth="1"/>
    <col min="14605" max="14849" width="9.140625" style="135"/>
    <col min="14850" max="14850" width="14.28515625" style="135" customWidth="1"/>
    <col min="14851" max="14851" width="19.28515625" style="135" customWidth="1"/>
    <col min="14852" max="14852" width="16" style="135" customWidth="1"/>
    <col min="14853" max="14853" width="17.140625" style="135" customWidth="1"/>
    <col min="14854" max="14854" width="10.140625" style="135" customWidth="1"/>
    <col min="14855" max="14855" width="10.5703125" style="135" customWidth="1"/>
    <col min="14856" max="14856" width="9.85546875" style="135" customWidth="1"/>
    <col min="14857" max="14858" width="12.7109375" style="135" bestFit="1" customWidth="1"/>
    <col min="14859" max="14859" width="9.140625" style="135"/>
    <col min="14860" max="14860" width="10.28515625" style="135" bestFit="1" customWidth="1"/>
    <col min="14861" max="15105" width="9.140625" style="135"/>
    <col min="15106" max="15106" width="14.28515625" style="135" customWidth="1"/>
    <col min="15107" max="15107" width="19.28515625" style="135" customWidth="1"/>
    <col min="15108" max="15108" width="16" style="135" customWidth="1"/>
    <col min="15109" max="15109" width="17.140625" style="135" customWidth="1"/>
    <col min="15110" max="15110" width="10.140625" style="135" customWidth="1"/>
    <col min="15111" max="15111" width="10.5703125" style="135" customWidth="1"/>
    <col min="15112" max="15112" width="9.85546875" style="135" customWidth="1"/>
    <col min="15113" max="15114" width="12.7109375" style="135" bestFit="1" customWidth="1"/>
    <col min="15115" max="15115" width="9.140625" style="135"/>
    <col min="15116" max="15116" width="10.28515625" style="135" bestFit="1" customWidth="1"/>
    <col min="15117" max="15361" width="9.140625" style="135"/>
    <col min="15362" max="15362" width="14.28515625" style="135" customWidth="1"/>
    <col min="15363" max="15363" width="19.28515625" style="135" customWidth="1"/>
    <col min="15364" max="15364" width="16" style="135" customWidth="1"/>
    <col min="15365" max="15365" width="17.140625" style="135" customWidth="1"/>
    <col min="15366" max="15366" width="10.140625" style="135" customWidth="1"/>
    <col min="15367" max="15367" width="10.5703125" style="135" customWidth="1"/>
    <col min="15368" max="15368" width="9.85546875" style="135" customWidth="1"/>
    <col min="15369" max="15370" width="12.7109375" style="135" bestFit="1" customWidth="1"/>
    <col min="15371" max="15371" width="9.140625" style="135"/>
    <col min="15372" max="15372" width="10.28515625" style="135" bestFit="1" customWidth="1"/>
    <col min="15373" max="15617" width="9.140625" style="135"/>
    <col min="15618" max="15618" width="14.28515625" style="135" customWidth="1"/>
    <col min="15619" max="15619" width="19.28515625" style="135" customWidth="1"/>
    <col min="15620" max="15620" width="16" style="135" customWidth="1"/>
    <col min="15621" max="15621" width="17.140625" style="135" customWidth="1"/>
    <col min="15622" max="15622" width="10.140625" style="135" customWidth="1"/>
    <col min="15623" max="15623" width="10.5703125" style="135" customWidth="1"/>
    <col min="15624" max="15624" width="9.85546875" style="135" customWidth="1"/>
    <col min="15625" max="15626" width="12.7109375" style="135" bestFit="1" customWidth="1"/>
    <col min="15627" max="15627" width="9.140625" style="135"/>
    <col min="15628" max="15628" width="10.28515625" style="135" bestFit="1" customWidth="1"/>
    <col min="15629" max="15873" width="9.140625" style="135"/>
    <col min="15874" max="15874" width="14.28515625" style="135" customWidth="1"/>
    <col min="15875" max="15875" width="19.28515625" style="135" customWidth="1"/>
    <col min="15876" max="15876" width="16" style="135" customWidth="1"/>
    <col min="15877" max="15877" width="17.140625" style="135" customWidth="1"/>
    <col min="15878" max="15878" width="10.140625" style="135" customWidth="1"/>
    <col min="15879" max="15879" width="10.5703125" style="135" customWidth="1"/>
    <col min="15880" max="15880" width="9.85546875" style="135" customWidth="1"/>
    <col min="15881" max="15882" width="12.7109375" style="135" bestFit="1" customWidth="1"/>
    <col min="15883" max="15883" width="9.140625" style="135"/>
    <col min="15884" max="15884" width="10.28515625" style="135" bestFit="1" customWidth="1"/>
    <col min="15885" max="16129" width="9.140625" style="135"/>
    <col min="16130" max="16130" width="14.28515625" style="135" customWidth="1"/>
    <col min="16131" max="16131" width="19.28515625" style="135" customWidth="1"/>
    <col min="16132" max="16132" width="16" style="135" customWidth="1"/>
    <col min="16133" max="16133" width="17.140625" style="135" customWidth="1"/>
    <col min="16134" max="16134" width="10.140625" style="135" customWidth="1"/>
    <col min="16135" max="16135" width="10.5703125" style="135" customWidth="1"/>
    <col min="16136" max="16136" width="9.85546875" style="135" customWidth="1"/>
    <col min="16137" max="16138" width="12.7109375" style="135" bestFit="1" customWidth="1"/>
    <col min="16139" max="16139" width="9.140625" style="135"/>
    <col min="16140" max="16140" width="10.28515625" style="135" bestFit="1" customWidth="1"/>
    <col min="16141" max="16384" width="9.140625" style="135"/>
  </cols>
  <sheetData>
    <row r="1" spans="1:14" ht="28.5" customHeight="1" x14ac:dyDescent="0.25">
      <c r="A1" s="259" t="s">
        <v>340</v>
      </c>
      <c r="B1" s="259"/>
      <c r="C1" s="259"/>
      <c r="D1" s="259"/>
      <c r="E1" s="259"/>
      <c r="I1" s="355" t="s">
        <v>151</v>
      </c>
      <c r="J1" s="355"/>
      <c r="K1" s="355"/>
      <c r="L1" s="355"/>
      <c r="M1" s="355"/>
      <c r="N1" s="355"/>
    </row>
    <row r="2" spans="1:14" ht="28.5" customHeight="1" x14ac:dyDescent="0.25">
      <c r="A2" s="244" t="s">
        <v>291</v>
      </c>
      <c r="B2" s="244"/>
      <c r="C2" s="244"/>
      <c r="D2" s="244"/>
      <c r="E2" s="244"/>
      <c r="I2" s="356" t="s">
        <v>275</v>
      </c>
      <c r="J2" s="356"/>
      <c r="K2" s="356"/>
      <c r="L2" s="120">
        <v>1200</v>
      </c>
      <c r="M2" s="133">
        <v>0.36064000000000002</v>
      </c>
      <c r="N2" s="134">
        <f>ROUND(L2*M2,0)</f>
        <v>433</v>
      </c>
    </row>
    <row r="3" spans="1:14" ht="28.5" customHeight="1" x14ac:dyDescent="0.25">
      <c r="A3" s="244" t="s">
        <v>292</v>
      </c>
      <c r="B3" s="244"/>
      <c r="C3" s="244"/>
      <c r="D3" s="244"/>
      <c r="E3" s="244"/>
      <c r="I3" s="356" t="s">
        <v>276</v>
      </c>
      <c r="J3" s="356"/>
      <c r="K3" s="356"/>
      <c r="L3" s="120">
        <v>2500</v>
      </c>
      <c r="M3" s="133">
        <v>0.36064000000000002</v>
      </c>
      <c r="N3" s="134">
        <f t="shared" ref="N3:N8" si="0">ROUND(L3*M3,0)</f>
        <v>902</v>
      </c>
    </row>
    <row r="4" spans="1:14" s="136" customFormat="1" ht="28.5" customHeight="1" x14ac:dyDescent="0.25">
      <c r="A4" s="245" t="s">
        <v>293</v>
      </c>
      <c r="B4" s="245"/>
      <c r="C4" s="116">
        <v>1</v>
      </c>
      <c r="D4" s="116">
        <v>2</v>
      </c>
      <c r="E4" s="116" t="s">
        <v>294</v>
      </c>
      <c r="F4" s="135"/>
      <c r="G4" s="135"/>
      <c r="I4" s="356" t="s">
        <v>277</v>
      </c>
      <c r="J4" s="356"/>
      <c r="K4" s="356"/>
      <c r="L4" s="120">
        <v>1500</v>
      </c>
      <c r="M4" s="133">
        <v>0.36064000000000002</v>
      </c>
      <c r="N4" s="134">
        <f t="shared" si="0"/>
        <v>541</v>
      </c>
    </row>
    <row r="5" spans="1:14" s="136" customFormat="1" ht="28.5" customHeight="1" x14ac:dyDescent="0.25">
      <c r="A5" s="245"/>
      <c r="B5" s="245"/>
      <c r="C5" s="116" t="s">
        <v>295</v>
      </c>
      <c r="D5" s="116" t="s">
        <v>296</v>
      </c>
      <c r="E5" s="116" t="s">
        <v>297</v>
      </c>
      <c r="F5" s="135"/>
      <c r="G5" s="135"/>
      <c r="I5" s="356" t="s">
        <v>278</v>
      </c>
      <c r="J5" s="356"/>
      <c r="K5" s="356"/>
      <c r="L5" s="120">
        <v>300</v>
      </c>
      <c r="M5" s="133">
        <v>0.36064000000000002</v>
      </c>
      <c r="N5" s="134">
        <f t="shared" si="0"/>
        <v>108</v>
      </c>
    </row>
    <row r="6" spans="1:14" s="136" customFormat="1" ht="28.5" customHeight="1" x14ac:dyDescent="0.25">
      <c r="A6" s="245"/>
      <c r="B6" s="245"/>
      <c r="C6" s="116" t="s">
        <v>298</v>
      </c>
      <c r="D6" s="116" t="s">
        <v>299</v>
      </c>
      <c r="E6" s="116" t="s">
        <v>300</v>
      </c>
      <c r="F6" s="135"/>
      <c r="G6" s="135"/>
      <c r="I6" s="356" t="s">
        <v>279</v>
      </c>
      <c r="J6" s="356"/>
      <c r="K6" s="356"/>
      <c r="L6" s="120">
        <v>2700</v>
      </c>
      <c r="M6" s="133">
        <v>0.36064000000000002</v>
      </c>
      <c r="N6" s="134">
        <f t="shared" si="0"/>
        <v>974</v>
      </c>
    </row>
    <row r="7" spans="1:14" ht="28.5" customHeight="1" x14ac:dyDescent="0.25">
      <c r="A7" s="246" t="s">
        <v>301</v>
      </c>
      <c r="B7" s="246"/>
      <c r="C7" s="246"/>
      <c r="D7" s="246"/>
      <c r="E7" s="246"/>
      <c r="I7" s="356" t="s">
        <v>280</v>
      </c>
      <c r="J7" s="356"/>
      <c r="K7" s="356"/>
      <c r="L7" s="120">
        <v>9000</v>
      </c>
      <c r="M7" s="133">
        <v>0.36064000000000002</v>
      </c>
      <c r="N7" s="134">
        <f t="shared" si="0"/>
        <v>3246</v>
      </c>
    </row>
    <row r="8" spans="1:14" ht="28.5" customHeight="1" x14ac:dyDescent="0.25">
      <c r="A8" s="157" t="s">
        <v>382</v>
      </c>
      <c r="B8" s="120">
        <v>1</v>
      </c>
      <c r="C8" s="125">
        <f>N2</f>
        <v>433</v>
      </c>
      <c r="D8" s="137">
        <f>'G2 TSE-MT Servente'!G112</f>
        <v>6295.8968572336325</v>
      </c>
      <c r="E8" s="137">
        <f>(B8/C8)*D8</f>
        <v>14.540177499384832</v>
      </c>
      <c r="H8" s="138"/>
      <c r="I8" s="356" t="s">
        <v>290</v>
      </c>
      <c r="J8" s="356"/>
      <c r="K8" s="356"/>
      <c r="L8" s="120">
        <v>2700</v>
      </c>
      <c r="M8" s="133">
        <v>0.36064000000000002</v>
      </c>
      <c r="N8" s="134">
        <f t="shared" si="0"/>
        <v>974</v>
      </c>
    </row>
    <row r="9" spans="1:14" ht="28.5" customHeight="1" x14ac:dyDescent="0.25">
      <c r="A9" s="260" t="s">
        <v>302</v>
      </c>
      <c r="B9" s="260"/>
      <c r="C9" s="260"/>
      <c r="D9" s="260"/>
      <c r="E9" s="139">
        <f>SUM(E8:E8)</f>
        <v>14.540177499384832</v>
      </c>
      <c r="H9" s="138"/>
      <c r="I9" s="356" t="s">
        <v>282</v>
      </c>
      <c r="J9" s="356"/>
      <c r="K9" s="356"/>
      <c r="L9" s="120">
        <v>380</v>
      </c>
      <c r="M9" s="133">
        <v>0.36064000000000002</v>
      </c>
      <c r="N9" s="134">
        <f>ROUND(L9*M9,0)</f>
        <v>137</v>
      </c>
    </row>
    <row r="10" spans="1:14" ht="28.5" customHeight="1" x14ac:dyDescent="0.25">
      <c r="A10" s="246" t="s">
        <v>303</v>
      </c>
      <c r="B10" s="246"/>
      <c r="C10" s="246"/>
      <c r="D10" s="246"/>
      <c r="E10" s="246"/>
      <c r="H10" s="117"/>
      <c r="I10" s="356" t="s">
        <v>281</v>
      </c>
      <c r="J10" s="356"/>
      <c r="K10" s="356"/>
      <c r="L10" s="120">
        <v>380</v>
      </c>
      <c r="M10" s="133">
        <v>0.36064000000000002</v>
      </c>
      <c r="N10" s="134">
        <f t="shared" ref="N10" si="1">ROUND(L10*M10,0)</f>
        <v>137</v>
      </c>
    </row>
    <row r="11" spans="1:14" ht="28.5" customHeight="1" x14ac:dyDescent="0.25">
      <c r="A11" s="157" t="s">
        <v>382</v>
      </c>
      <c r="B11" s="120">
        <v>1</v>
      </c>
      <c r="C11" s="175">
        <f>N3</f>
        <v>902</v>
      </c>
      <c r="D11" s="137">
        <f>'G2 TSE-MT Servente'!G112</f>
        <v>6295.8968572336325</v>
      </c>
      <c r="E11" s="137">
        <f>(B11/C11)*D11</f>
        <v>6.9799299969330741</v>
      </c>
      <c r="F11" s="138"/>
      <c r="G11" s="141"/>
      <c r="H11" s="142"/>
      <c r="I11" s="142"/>
      <c r="J11" s="136"/>
      <c r="K11" s="136"/>
      <c r="L11" s="136"/>
    </row>
    <row r="12" spans="1:14" ht="28.5" customHeight="1" x14ac:dyDescent="0.25">
      <c r="A12" s="260" t="s">
        <v>302</v>
      </c>
      <c r="B12" s="260"/>
      <c r="C12" s="260"/>
      <c r="D12" s="260"/>
      <c r="E12" s="139">
        <f>SUM(E11:E11)</f>
        <v>6.9799299969330741</v>
      </c>
      <c r="F12" s="138"/>
    </row>
    <row r="13" spans="1:14" ht="28.5" customHeight="1" x14ac:dyDescent="0.25">
      <c r="A13" s="246" t="s">
        <v>304</v>
      </c>
      <c r="B13" s="246"/>
      <c r="C13" s="246"/>
      <c r="D13" s="246"/>
      <c r="E13" s="246"/>
      <c r="F13" s="117"/>
    </row>
    <row r="14" spans="1:14" ht="28.5" customHeight="1" x14ac:dyDescent="0.25">
      <c r="A14" s="157" t="s">
        <v>382</v>
      </c>
      <c r="B14" s="120">
        <v>1</v>
      </c>
      <c r="C14" s="125">
        <f>N4</f>
        <v>541</v>
      </c>
      <c r="D14" s="137">
        <f>'G2 TSE-MT Servente'!G112</f>
        <v>6295.8968572336325</v>
      </c>
      <c r="E14" s="137">
        <f>(B14/C14)*D14</f>
        <v>11.637517296180466</v>
      </c>
      <c r="F14" s="138"/>
    </row>
    <row r="15" spans="1:14" ht="28.5" customHeight="1" x14ac:dyDescent="0.25">
      <c r="A15" s="260" t="s">
        <v>302</v>
      </c>
      <c r="B15" s="260"/>
      <c r="C15" s="260"/>
      <c r="D15" s="260"/>
      <c r="E15" s="139">
        <f>SUM(E14:E14)</f>
        <v>11.637517296180466</v>
      </c>
      <c r="F15" s="138"/>
      <c r="H15" s="160"/>
    </row>
    <row r="16" spans="1:14" ht="28.5" customHeight="1" x14ac:dyDescent="0.25">
      <c r="A16" s="246" t="s">
        <v>305</v>
      </c>
      <c r="B16" s="246"/>
      <c r="C16" s="246"/>
      <c r="D16" s="246"/>
      <c r="E16" s="246"/>
      <c r="F16" s="117"/>
    </row>
    <row r="17" spans="1:11" ht="28.5" customHeight="1" x14ac:dyDescent="0.25">
      <c r="A17" s="157" t="s">
        <v>382</v>
      </c>
      <c r="B17" s="120">
        <v>1</v>
      </c>
      <c r="C17" s="125">
        <f>N5</f>
        <v>108</v>
      </c>
      <c r="D17" s="137">
        <f>'G2 TSE-MT Servente'!G112</f>
        <v>6295.8968572336325</v>
      </c>
      <c r="E17" s="137">
        <f>(B17/C17)*D17</f>
        <v>58.295341270681782</v>
      </c>
      <c r="F17" s="138"/>
    </row>
    <row r="18" spans="1:11" ht="28.5" customHeight="1" x14ac:dyDescent="0.25">
      <c r="A18" s="260" t="s">
        <v>302</v>
      </c>
      <c r="B18" s="260"/>
      <c r="C18" s="260"/>
      <c r="D18" s="260"/>
      <c r="E18" s="139">
        <f>SUM(E17:E17)</f>
        <v>58.295341270681782</v>
      </c>
      <c r="F18" s="138"/>
    </row>
    <row r="19" spans="1:11" ht="28.5" customHeight="1" x14ac:dyDescent="0.25">
      <c r="A19" s="244" t="s">
        <v>306</v>
      </c>
      <c r="B19" s="244"/>
      <c r="C19" s="244"/>
      <c r="D19" s="244"/>
      <c r="E19" s="244"/>
      <c r="F19" s="136"/>
    </row>
    <row r="20" spans="1:11" s="136" customFormat="1" ht="28.5" customHeight="1" x14ac:dyDescent="0.25">
      <c r="A20" s="264" t="s">
        <v>293</v>
      </c>
      <c r="B20" s="265"/>
      <c r="C20" s="116">
        <v>1</v>
      </c>
      <c r="D20" s="116">
        <v>2</v>
      </c>
      <c r="E20" s="116" t="s">
        <v>294</v>
      </c>
      <c r="F20" s="140"/>
    </row>
    <row r="21" spans="1:11" s="136" customFormat="1" ht="39" customHeight="1" x14ac:dyDescent="0.25">
      <c r="A21" s="266"/>
      <c r="B21" s="267"/>
      <c r="C21" s="116" t="s">
        <v>295</v>
      </c>
      <c r="D21" s="116" t="s">
        <v>307</v>
      </c>
      <c r="E21" s="116" t="s">
        <v>297</v>
      </c>
      <c r="G21" s="141"/>
      <c r="H21" s="141"/>
    </row>
    <row r="22" spans="1:11" s="136" customFormat="1" ht="28.5" customHeight="1" x14ac:dyDescent="0.25">
      <c r="A22" s="268"/>
      <c r="B22" s="269"/>
      <c r="C22" s="116" t="s">
        <v>308</v>
      </c>
      <c r="D22" s="116" t="s">
        <v>299</v>
      </c>
      <c r="E22" s="116" t="s">
        <v>309</v>
      </c>
      <c r="G22" s="141"/>
      <c r="H22" s="141"/>
      <c r="I22" s="141"/>
      <c r="J22" s="142"/>
      <c r="K22" s="142"/>
    </row>
    <row r="23" spans="1:11" ht="28.5" customHeight="1" x14ac:dyDescent="0.25">
      <c r="A23" s="246" t="s">
        <v>310</v>
      </c>
      <c r="B23" s="246"/>
      <c r="C23" s="246"/>
      <c r="D23" s="246"/>
      <c r="E23" s="246"/>
    </row>
    <row r="24" spans="1:11" ht="28.5" customHeight="1" x14ac:dyDescent="0.25">
      <c r="A24" s="157" t="s">
        <v>382</v>
      </c>
      <c r="B24" s="120">
        <v>1</v>
      </c>
      <c r="C24" s="175">
        <f>N6</f>
        <v>974</v>
      </c>
      <c r="D24" s="137">
        <f>'G2 TSE-MT Servente'!G112</f>
        <v>6295.8968572336325</v>
      </c>
      <c r="E24" s="137">
        <f>(B24/C24)*D24</f>
        <v>6.4639598123548589</v>
      </c>
    </row>
    <row r="25" spans="1:11" s="136" customFormat="1" ht="28.5" customHeight="1" x14ac:dyDescent="0.25">
      <c r="A25" s="260" t="s">
        <v>302</v>
      </c>
      <c r="B25" s="260"/>
      <c r="C25" s="260"/>
      <c r="D25" s="260"/>
      <c r="E25" s="139">
        <f>SUM(E24:E24)</f>
        <v>6.4639598123548589</v>
      </c>
    </row>
    <row r="26" spans="1:11" s="136" customFormat="1" ht="28.5" customHeight="1" x14ac:dyDescent="0.25">
      <c r="A26" s="246" t="s">
        <v>311</v>
      </c>
      <c r="B26" s="246"/>
      <c r="C26" s="246"/>
      <c r="D26" s="246"/>
      <c r="E26" s="246"/>
    </row>
    <row r="27" spans="1:11" s="136" customFormat="1" ht="28.5" customHeight="1" x14ac:dyDescent="0.25">
      <c r="A27" s="157" t="s">
        <v>382</v>
      </c>
      <c r="B27" s="120">
        <v>1</v>
      </c>
      <c r="C27" s="175">
        <f>N7</f>
        <v>3246</v>
      </c>
      <c r="D27" s="137">
        <f>'G2 TSE-MT Servente'!G112</f>
        <v>6295.8968572336325</v>
      </c>
      <c r="E27" s="137">
        <f>(B27/C27)*D27</f>
        <v>1.9395862160300779</v>
      </c>
    </row>
    <row r="28" spans="1:11" s="136" customFormat="1" ht="28.5" customHeight="1" x14ac:dyDescent="0.25">
      <c r="A28" s="260" t="s">
        <v>302</v>
      </c>
      <c r="B28" s="260"/>
      <c r="C28" s="260"/>
      <c r="D28" s="260"/>
      <c r="E28" s="139">
        <f>SUM(E27:E27)</f>
        <v>1.9395862160300779</v>
      </c>
    </row>
    <row r="29" spans="1:11" ht="28.5" customHeight="1" x14ac:dyDescent="0.25">
      <c r="A29" s="246" t="s">
        <v>312</v>
      </c>
      <c r="B29" s="246"/>
      <c r="C29" s="246"/>
      <c r="D29" s="246"/>
      <c r="E29" s="246"/>
    </row>
    <row r="30" spans="1:11" ht="28.5" customHeight="1" x14ac:dyDescent="0.25">
      <c r="A30" s="157" t="s">
        <v>382</v>
      </c>
      <c r="B30" s="120">
        <v>1</v>
      </c>
      <c r="C30" s="175">
        <f>N8</f>
        <v>974</v>
      </c>
      <c r="D30" s="137">
        <f>'G2 TSE-MT Servente'!G112</f>
        <v>6295.8968572336325</v>
      </c>
      <c r="E30" s="137">
        <f>(1/2700)*D30</f>
        <v>2.3318136508272711</v>
      </c>
    </row>
    <row r="31" spans="1:11" s="136" customFormat="1" ht="28.5" customHeight="1" x14ac:dyDescent="0.25">
      <c r="A31" s="260" t="s">
        <v>302</v>
      </c>
      <c r="B31" s="260"/>
      <c r="C31" s="260"/>
      <c r="D31" s="260"/>
      <c r="E31" s="139">
        <f>SUM(E30:E30)</f>
        <v>2.3318136508272711</v>
      </c>
    </row>
    <row r="32" spans="1:11" ht="28.5" customHeight="1" x14ac:dyDescent="0.25">
      <c r="A32" s="246" t="s">
        <v>313</v>
      </c>
      <c r="B32" s="246"/>
      <c r="C32" s="246"/>
      <c r="D32" s="246"/>
      <c r="E32" s="246"/>
      <c r="F32" s="246"/>
      <c r="G32" s="246"/>
      <c r="H32" s="246"/>
    </row>
    <row r="33" spans="1:8" ht="28.5" customHeight="1" x14ac:dyDescent="0.25">
      <c r="A33" s="246" t="s">
        <v>314</v>
      </c>
      <c r="B33" s="246"/>
      <c r="C33" s="246"/>
      <c r="D33" s="246"/>
      <c r="E33" s="246"/>
      <c r="F33" s="246"/>
      <c r="G33" s="246"/>
      <c r="H33" s="246"/>
    </row>
    <row r="34" spans="1:8" ht="69.75" customHeight="1" x14ac:dyDescent="0.25">
      <c r="A34" s="248" t="s">
        <v>293</v>
      </c>
      <c r="B34" s="250"/>
      <c r="C34" s="121" t="s">
        <v>315</v>
      </c>
      <c r="D34" s="121" t="s">
        <v>316</v>
      </c>
      <c r="E34" s="121" t="s">
        <v>317</v>
      </c>
      <c r="F34" s="121" t="s">
        <v>318</v>
      </c>
      <c r="G34" s="121" t="s">
        <v>319</v>
      </c>
      <c r="H34" s="121" t="s">
        <v>320</v>
      </c>
    </row>
    <row r="35" spans="1:8" ht="39.75" customHeight="1" x14ac:dyDescent="0.25">
      <c r="A35" s="157" t="s">
        <v>382</v>
      </c>
      <c r="B35" s="120">
        <v>1</v>
      </c>
      <c r="C35" s="125">
        <f>N9</f>
        <v>137</v>
      </c>
      <c r="D35" s="125">
        <v>16</v>
      </c>
      <c r="E35" s="125" t="s">
        <v>321</v>
      </c>
      <c r="F35" s="144">
        <f>(B35/C35)*16*(1/188.76)</f>
        <v>6.1871329290041964E-4</v>
      </c>
      <c r="G35" s="137">
        <f>'G2 TSE-MT Servente'!G112</f>
        <v>6295.8968572336325</v>
      </c>
      <c r="H35" s="137">
        <f>G35*F35</f>
        <v>3.8953550763004241</v>
      </c>
    </row>
    <row r="36" spans="1:8" s="136" customFormat="1" ht="39.75" customHeight="1" x14ac:dyDescent="0.25">
      <c r="A36" s="254" t="s">
        <v>302</v>
      </c>
      <c r="B36" s="255"/>
      <c r="C36" s="255"/>
      <c r="D36" s="255"/>
      <c r="E36" s="255"/>
      <c r="F36" s="255"/>
      <c r="G36" s="256"/>
      <c r="H36" s="139">
        <f>SUM(H35:H35)</f>
        <v>3.8953550763004241</v>
      </c>
    </row>
    <row r="37" spans="1:8" ht="39.75" customHeight="1" x14ac:dyDescent="0.25">
      <c r="A37" s="246" t="s">
        <v>322</v>
      </c>
      <c r="B37" s="246"/>
      <c r="C37" s="246"/>
      <c r="D37" s="246"/>
      <c r="E37" s="246"/>
      <c r="F37" s="246"/>
      <c r="G37" s="246"/>
      <c r="H37" s="246"/>
    </row>
    <row r="38" spans="1:8" ht="39.75" customHeight="1" thickBot="1" x14ac:dyDescent="0.3">
      <c r="A38" s="257" t="s">
        <v>323</v>
      </c>
      <c r="B38" s="258"/>
      <c r="C38" s="258"/>
      <c r="D38" s="258"/>
      <c r="E38" s="258"/>
      <c r="F38" s="258"/>
      <c r="G38" s="258"/>
      <c r="H38" s="258"/>
    </row>
    <row r="39" spans="1:8" ht="60" customHeight="1" x14ac:dyDescent="0.25">
      <c r="A39" s="262" t="s">
        <v>293</v>
      </c>
      <c r="B39" s="263"/>
      <c r="C39" s="121" t="s">
        <v>315</v>
      </c>
      <c r="D39" s="121" t="s">
        <v>316</v>
      </c>
      <c r="E39" s="121" t="s">
        <v>317</v>
      </c>
      <c r="F39" s="121" t="s">
        <v>318</v>
      </c>
      <c r="G39" s="121" t="s">
        <v>319</v>
      </c>
      <c r="H39" s="121" t="s">
        <v>320</v>
      </c>
    </row>
    <row r="40" spans="1:8" ht="39.75" customHeight="1" x14ac:dyDescent="0.25">
      <c r="A40" s="157" t="s">
        <v>382</v>
      </c>
      <c r="B40" s="120">
        <v>1</v>
      </c>
      <c r="C40" s="125">
        <f>N10</f>
        <v>137</v>
      </c>
      <c r="D40" s="125">
        <v>16</v>
      </c>
      <c r="E40" s="125" t="s">
        <v>321</v>
      </c>
      <c r="F40" s="144">
        <f>(B40/C40)*16*(1/188.76)</f>
        <v>6.1871329290041964E-4</v>
      </c>
      <c r="G40" s="137">
        <f>'G2 TSE-MT Servente'!G112</f>
        <v>6295.8968572336325</v>
      </c>
      <c r="H40" s="137">
        <f>G40*F40</f>
        <v>3.8953550763004241</v>
      </c>
    </row>
    <row r="41" spans="1:8" s="136" customFormat="1" ht="39.75" customHeight="1" x14ac:dyDescent="0.25">
      <c r="A41" s="254" t="s">
        <v>302</v>
      </c>
      <c r="B41" s="255"/>
      <c r="C41" s="255"/>
      <c r="D41" s="255"/>
      <c r="E41" s="255"/>
      <c r="F41" s="255"/>
      <c r="G41" s="256"/>
      <c r="H41" s="139">
        <f>SUM(H40:H40)</f>
        <v>3.8953550763004241</v>
      </c>
    </row>
    <row r="45" spans="1:8" x14ac:dyDescent="0.25">
      <c r="A45" s="261"/>
      <c r="B45" s="261"/>
      <c r="C45" s="261"/>
      <c r="D45" s="145"/>
      <c r="E45" s="145"/>
      <c r="F45" s="145"/>
      <c r="G45" s="145"/>
      <c r="H45" s="145"/>
    </row>
    <row r="46" spans="1:8" ht="43.5" customHeight="1" x14ac:dyDescent="0.25">
      <c r="A46" s="247"/>
      <c r="B46" s="247"/>
      <c r="C46" s="247"/>
      <c r="D46" s="247"/>
      <c r="E46" s="247"/>
      <c r="F46" s="247"/>
      <c r="G46" s="247"/>
      <c r="H46" s="247"/>
    </row>
  </sheetData>
  <mergeCells count="40">
    <mergeCell ref="A45:C45"/>
    <mergeCell ref="A46:H46"/>
    <mergeCell ref="A32:H32"/>
    <mergeCell ref="A33:H33"/>
    <mergeCell ref="A36:G36"/>
    <mergeCell ref="A37:H37"/>
    <mergeCell ref="A38:H38"/>
    <mergeCell ref="A41:G41"/>
    <mergeCell ref="A39:B39"/>
    <mergeCell ref="A34:B34"/>
    <mergeCell ref="A31:D31"/>
    <mergeCell ref="A13:E13"/>
    <mergeCell ref="A15:D15"/>
    <mergeCell ref="A16:E16"/>
    <mergeCell ref="A18:D18"/>
    <mergeCell ref="A19:E19"/>
    <mergeCell ref="A23:E23"/>
    <mergeCell ref="A25:D25"/>
    <mergeCell ref="A26:E26"/>
    <mergeCell ref="A28:D28"/>
    <mergeCell ref="A29:E29"/>
    <mergeCell ref="A20:B22"/>
    <mergeCell ref="A12:D12"/>
    <mergeCell ref="I4:K4"/>
    <mergeCell ref="I5:K5"/>
    <mergeCell ref="I6:K6"/>
    <mergeCell ref="A7:E7"/>
    <mergeCell ref="I7:K7"/>
    <mergeCell ref="I8:K8"/>
    <mergeCell ref="A9:D9"/>
    <mergeCell ref="I9:K9"/>
    <mergeCell ref="A10:E10"/>
    <mergeCell ref="I10:K10"/>
    <mergeCell ref="A4:B6"/>
    <mergeCell ref="A1:E1"/>
    <mergeCell ref="I1:N1"/>
    <mergeCell ref="A2:E2"/>
    <mergeCell ref="I2:K2"/>
    <mergeCell ref="A3:E3"/>
    <mergeCell ref="I3:K3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4359-FA1A-498F-AC33-DA9FED2B6CB8}">
  <sheetPr>
    <pageSetUpPr fitToPage="1"/>
  </sheetPr>
  <dimension ref="A1:ALZ117"/>
  <sheetViews>
    <sheetView showGridLines="0" topLeftCell="A5" zoomScaleNormal="100" workbookViewId="0">
      <selection activeCell="D46" sqref="D46:E46"/>
    </sheetView>
  </sheetViews>
  <sheetFormatPr defaultColWidth="9.140625"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9" width="16.42578125" style="1" customWidth="1"/>
    <col min="10" max="13" width="9.140625" style="1" customWidth="1"/>
    <col min="14" max="14" width="55" style="1" customWidth="1"/>
    <col min="15" max="1014" width="9.140625" style="1" customWidth="1"/>
    <col min="1015" max="1025" width="11.5703125" style="75" customWidth="1"/>
    <col min="1026" max="16384" width="9.140625" style="75"/>
  </cols>
  <sheetData>
    <row r="1" spans="1:7" ht="28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37" t="s">
        <v>108</v>
      </c>
      <c r="B3" s="237"/>
      <c r="C3" s="237"/>
      <c r="D3" s="237"/>
      <c r="E3" s="237"/>
      <c r="F3" s="237"/>
      <c r="G3" s="237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29" t="s">
        <v>1</v>
      </c>
      <c r="B5" s="229"/>
      <c r="C5" s="229"/>
      <c r="D5" s="229"/>
      <c r="E5" s="229"/>
      <c r="F5" s="229"/>
      <c r="G5" s="229"/>
    </row>
    <row r="6" spans="1:7" ht="21.75" customHeight="1" x14ac:dyDescent="0.2">
      <c r="A6" s="229" t="s">
        <v>2</v>
      </c>
      <c r="B6" s="229"/>
      <c r="C6" s="229"/>
      <c r="D6" s="229"/>
      <c r="E6" s="229"/>
      <c r="F6" s="229"/>
      <c r="G6" s="22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238" t="s">
        <v>3</v>
      </c>
      <c r="B8" s="238"/>
      <c r="C8" s="238"/>
      <c r="D8" s="238"/>
      <c r="E8" s="238"/>
      <c r="F8" s="238"/>
      <c r="G8" s="238"/>
    </row>
    <row r="9" spans="1:7" s="6" customFormat="1" ht="3.75" customHeight="1" x14ac:dyDescent="0.2">
      <c r="A9" s="239"/>
      <c r="B9" s="239"/>
      <c r="C9" s="239"/>
      <c r="D9" s="239"/>
      <c r="E9" s="239"/>
      <c r="F9" s="239"/>
      <c r="G9" s="239"/>
    </row>
    <row r="10" spans="1:7" s="6" customFormat="1" ht="21.75" customHeight="1" x14ac:dyDescent="0.25">
      <c r="A10" s="197" t="s">
        <v>4</v>
      </c>
      <c r="B10" s="197"/>
      <c r="C10" s="197"/>
      <c r="D10" s="197"/>
      <c r="E10" s="197"/>
      <c r="F10" s="197"/>
      <c r="G10" s="197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164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157</v>
      </c>
    </row>
    <row r="13" spans="1:7" s="6" customFormat="1" ht="34.5" customHeight="1" x14ac:dyDescent="0.25">
      <c r="A13" s="11" t="s">
        <v>9</v>
      </c>
      <c r="B13" s="233" t="s">
        <v>10</v>
      </c>
      <c r="C13" s="233"/>
      <c r="D13" s="233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33" t="s">
        <v>19</v>
      </c>
      <c r="C17" s="234"/>
      <c r="D17" s="235" t="s">
        <v>347</v>
      </c>
      <c r="E17" s="235"/>
      <c r="F17" s="22"/>
      <c r="G17" s="24">
        <v>1511.95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33" t="s">
        <v>26</v>
      </c>
      <c r="C20" s="233"/>
      <c r="D20" s="233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198" t="s">
        <v>27</v>
      </c>
      <c r="B22" s="198"/>
      <c r="C22" s="198"/>
      <c r="D22" s="198"/>
      <c r="E22" s="198"/>
      <c r="F22" s="198"/>
      <c r="G22" s="198"/>
    </row>
    <row r="23" spans="1:7" s="1" customFormat="1" ht="19.5" customHeight="1" x14ac:dyDescent="0.25">
      <c r="A23" s="240"/>
      <c r="B23" s="240"/>
      <c r="C23" s="240"/>
      <c r="D23" s="240"/>
      <c r="E23" s="240"/>
      <c r="F23" s="240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1511.95</v>
      </c>
    </row>
    <row r="25" spans="1:7" s="1" customFormat="1" ht="45" x14ac:dyDescent="0.25">
      <c r="A25" s="29" t="s">
        <v>7</v>
      </c>
      <c r="B25" s="33" t="s">
        <v>113</v>
      </c>
      <c r="C25" s="34"/>
      <c r="D25" s="174" t="s">
        <v>359</v>
      </c>
      <c r="E25" s="193">
        <v>0.4</v>
      </c>
      <c r="F25" s="193"/>
      <c r="G25" s="173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348</v>
      </c>
      <c r="C26" s="34"/>
      <c r="D26" s="235" t="s">
        <v>347</v>
      </c>
      <c r="E26" s="235"/>
      <c r="F26" s="22"/>
      <c r="G26" s="24">
        <v>58.49</v>
      </c>
    </row>
    <row r="27" spans="1:7" s="1" customFormat="1" ht="21.75" customHeight="1" x14ac:dyDescent="0.25">
      <c r="A27" s="197" t="s">
        <v>30</v>
      </c>
      <c r="B27" s="197"/>
      <c r="C27" s="197"/>
      <c r="D27" s="197"/>
      <c r="E27" s="197"/>
      <c r="F27" s="197"/>
      <c r="G27" s="35">
        <f>SUM(G24:G26)</f>
        <v>2135.2399999999998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198" t="s">
        <v>31</v>
      </c>
      <c r="B29" s="198"/>
      <c r="C29" s="198"/>
      <c r="D29" s="198"/>
      <c r="E29" s="198"/>
      <c r="F29" s="198"/>
      <c r="G29" s="198"/>
    </row>
    <row r="30" spans="1:7" s="1" customFormat="1" ht="19.5" customHeight="1" x14ac:dyDescent="0.25">
      <c r="A30" s="208" t="s">
        <v>32</v>
      </c>
      <c r="B30" s="208"/>
      <c r="C30" s="208"/>
      <c r="D30" s="208"/>
      <c r="E30" s="208"/>
      <c r="F30" s="208"/>
      <c r="G30" s="208"/>
    </row>
    <row r="31" spans="1:7" s="1" customFormat="1" ht="19.5" customHeight="1" x14ac:dyDescent="0.25">
      <c r="A31" s="196"/>
      <c r="B31" s="196"/>
      <c r="C31" s="196"/>
      <c r="D31" s="196"/>
      <c r="E31" s="232" t="s">
        <v>33</v>
      </c>
      <c r="F31" s="232"/>
      <c r="G31" s="28" t="s">
        <v>28</v>
      </c>
    </row>
    <row r="32" spans="1:7" ht="19.5" customHeight="1" x14ac:dyDescent="0.2">
      <c r="A32" s="36" t="s">
        <v>5</v>
      </c>
      <c r="B32" s="229" t="s">
        <v>34</v>
      </c>
      <c r="C32" s="229"/>
      <c r="D32" s="229"/>
      <c r="E32" s="193">
        <v>8.3299999999999999E-2</v>
      </c>
      <c r="F32" s="193"/>
      <c r="G32" s="37">
        <f>ROUND($E$32*$G$27,2)</f>
        <v>177.87</v>
      </c>
    </row>
    <row r="33" spans="1:7" ht="49.5" customHeight="1" x14ac:dyDescent="0.2">
      <c r="A33" s="36" t="s">
        <v>7</v>
      </c>
      <c r="B33" s="213" t="s">
        <v>35</v>
      </c>
      <c r="C33" s="229"/>
      <c r="D33" s="229"/>
      <c r="E33" s="230">
        <v>2.7799999999999998E-2</v>
      </c>
      <c r="F33" s="230"/>
      <c r="G33" s="37">
        <f>ROUND($E$33*$G$27,2)</f>
        <v>59.36</v>
      </c>
    </row>
    <row r="34" spans="1:7" ht="19.5" customHeight="1" x14ac:dyDescent="0.2">
      <c r="A34" s="208" t="s">
        <v>36</v>
      </c>
      <c r="B34" s="208"/>
      <c r="C34" s="208"/>
      <c r="D34" s="208"/>
      <c r="E34" s="231">
        <f>SUM(E32:E33)</f>
        <v>0.1111</v>
      </c>
      <c r="F34" s="231"/>
      <c r="G34" s="38">
        <f>SUM(G32:G33)</f>
        <v>237.23000000000002</v>
      </c>
    </row>
    <row r="35" spans="1:7" s="39" customFormat="1" ht="19.5" customHeight="1" x14ac:dyDescent="0.25">
      <c r="A35" s="208" t="s">
        <v>37</v>
      </c>
      <c r="B35" s="208"/>
      <c r="C35" s="208"/>
      <c r="D35" s="208"/>
      <c r="E35" s="208"/>
      <c r="F35" s="208"/>
      <c r="G35" s="208"/>
    </row>
    <row r="36" spans="1:7" s="39" customFormat="1" ht="39" customHeight="1" x14ac:dyDescent="0.25">
      <c r="A36" s="36" t="s">
        <v>5</v>
      </c>
      <c r="B36" s="33" t="s">
        <v>38</v>
      </c>
      <c r="C36" s="40"/>
      <c r="D36" s="224" t="s">
        <v>39</v>
      </c>
      <c r="E36" s="224"/>
      <c r="F36" s="41">
        <v>0.2</v>
      </c>
      <c r="G36" s="37">
        <f>ROUND(F36*($G$27+$G$34),2)</f>
        <v>474.49</v>
      </c>
    </row>
    <row r="37" spans="1:7" s="39" customFormat="1" ht="39" customHeight="1" x14ac:dyDescent="0.25">
      <c r="A37" s="36" t="s">
        <v>7</v>
      </c>
      <c r="B37" s="33" t="s">
        <v>40</v>
      </c>
      <c r="C37" s="40"/>
      <c r="D37" s="224" t="s">
        <v>41</v>
      </c>
      <c r="E37" s="224"/>
      <c r="F37" s="42">
        <v>2.5000000000000001E-2</v>
      </c>
      <c r="G37" s="37">
        <f t="shared" ref="G37:G43" si="0">ROUND(F37*($G$27+$G$34),2)</f>
        <v>59.31</v>
      </c>
    </row>
    <row r="38" spans="1:7" s="39" customFormat="1" ht="62.25" customHeight="1" x14ac:dyDescent="0.25">
      <c r="A38" s="36" t="s">
        <v>9</v>
      </c>
      <c r="B38" s="222" t="s">
        <v>42</v>
      </c>
      <c r="C38" s="228"/>
      <c r="D38" s="224" t="s">
        <v>43</v>
      </c>
      <c r="E38" s="224"/>
      <c r="F38" s="43">
        <v>0.06</v>
      </c>
      <c r="G38" s="37">
        <f t="shared" si="0"/>
        <v>142.35</v>
      </c>
    </row>
    <row r="39" spans="1:7" s="39" customFormat="1" ht="48" customHeight="1" x14ac:dyDescent="0.25">
      <c r="A39" s="36" t="s">
        <v>11</v>
      </c>
      <c r="B39" s="33" t="s">
        <v>44</v>
      </c>
      <c r="C39" s="40"/>
      <c r="D39" s="224" t="s">
        <v>41</v>
      </c>
      <c r="E39" s="224"/>
      <c r="F39" s="42">
        <v>1.4999999999999999E-2</v>
      </c>
      <c r="G39" s="37">
        <f t="shared" si="0"/>
        <v>35.590000000000003</v>
      </c>
    </row>
    <row r="40" spans="1:7" s="39" customFormat="1" ht="43.5" customHeight="1" x14ac:dyDescent="0.25">
      <c r="A40" s="36" t="s">
        <v>13</v>
      </c>
      <c r="B40" s="33" t="s">
        <v>45</v>
      </c>
      <c r="C40" s="40"/>
      <c r="D40" s="224" t="s">
        <v>41</v>
      </c>
      <c r="E40" s="224"/>
      <c r="F40" s="42">
        <v>0.01</v>
      </c>
      <c r="G40" s="37">
        <f t="shared" si="0"/>
        <v>23.72</v>
      </c>
    </row>
    <row r="41" spans="1:7" s="39" customFormat="1" ht="42.75" customHeight="1" x14ac:dyDescent="0.25">
      <c r="A41" s="36" t="s">
        <v>15</v>
      </c>
      <c r="B41" s="33" t="s">
        <v>46</v>
      </c>
      <c r="C41" s="40"/>
      <c r="D41" s="224" t="s">
        <v>41</v>
      </c>
      <c r="E41" s="224"/>
      <c r="F41" s="42">
        <v>6.0000000000000001E-3</v>
      </c>
      <c r="G41" s="37">
        <f t="shared" si="0"/>
        <v>14.23</v>
      </c>
    </row>
    <row r="42" spans="1:7" s="39" customFormat="1" ht="46.5" customHeight="1" x14ac:dyDescent="0.25">
      <c r="A42" s="36" t="s">
        <v>18</v>
      </c>
      <c r="B42" s="33" t="s">
        <v>47</v>
      </c>
      <c r="C42" s="40"/>
      <c r="D42" s="224" t="s">
        <v>41</v>
      </c>
      <c r="E42" s="224"/>
      <c r="F42" s="42">
        <v>2E-3</v>
      </c>
      <c r="G42" s="37">
        <f t="shared" si="0"/>
        <v>4.74</v>
      </c>
    </row>
    <row r="43" spans="1:7" s="39" customFormat="1" ht="48" customHeight="1" x14ac:dyDescent="0.25">
      <c r="A43" s="36" t="s">
        <v>20</v>
      </c>
      <c r="B43" s="33" t="s">
        <v>48</v>
      </c>
      <c r="C43" s="40"/>
      <c r="D43" s="224" t="s">
        <v>41</v>
      </c>
      <c r="E43" s="224"/>
      <c r="F43" s="42">
        <v>0.08</v>
      </c>
      <c r="G43" s="37">
        <f t="shared" si="0"/>
        <v>189.8</v>
      </c>
    </row>
    <row r="44" spans="1:7" s="39" customFormat="1" ht="19.5" customHeight="1" x14ac:dyDescent="0.25">
      <c r="A44" s="225" t="s">
        <v>49</v>
      </c>
      <c r="B44" s="226"/>
      <c r="C44" s="226"/>
      <c r="D44" s="226"/>
      <c r="E44" s="227"/>
      <c r="F44" s="44">
        <f>SUM(F36:F43)</f>
        <v>0.39800000000000008</v>
      </c>
      <c r="G44" s="45">
        <f>SUM(G36:G43)</f>
        <v>944.23</v>
      </c>
    </row>
    <row r="45" spans="1:7" ht="19.5" customHeight="1" x14ac:dyDescent="0.2">
      <c r="A45" s="208" t="s">
        <v>50</v>
      </c>
      <c r="B45" s="208"/>
      <c r="C45" s="208"/>
      <c r="D45" s="208"/>
      <c r="E45" s="208"/>
      <c r="F45" s="208"/>
      <c r="G45" s="208"/>
    </row>
    <row r="46" spans="1:7" ht="57.75" customHeight="1" x14ac:dyDescent="0.2">
      <c r="A46" s="46" t="s">
        <v>5</v>
      </c>
      <c r="B46" s="194" t="s">
        <v>51</v>
      </c>
      <c r="C46" s="195"/>
      <c r="D46" s="47" t="s">
        <v>349</v>
      </c>
      <c r="E46" s="37">
        <v>22</v>
      </c>
      <c r="F46" s="48">
        <v>0.05</v>
      </c>
      <c r="G46" s="37">
        <f>ROUND((E46*22)*(1-F46),2)</f>
        <v>459.8</v>
      </c>
    </row>
    <row r="47" spans="1:7" ht="70.5" customHeight="1" x14ac:dyDescent="0.2">
      <c r="A47" s="36" t="s">
        <v>7</v>
      </c>
      <c r="B47" s="194" t="s">
        <v>52</v>
      </c>
      <c r="C47" s="195"/>
      <c r="D47" s="47" t="s">
        <v>132</v>
      </c>
      <c r="E47" s="37">
        <v>5.15</v>
      </c>
      <c r="F47" s="48">
        <v>0.06</v>
      </c>
      <c r="G47" s="37">
        <f>ROUND((E47*2*22)-(0.06*$G$24),2)</f>
        <v>135.88</v>
      </c>
    </row>
    <row r="48" spans="1:7" ht="70.5" customHeight="1" x14ac:dyDescent="0.2">
      <c r="A48" s="36" t="s">
        <v>9</v>
      </c>
      <c r="B48" s="199" t="s">
        <v>350</v>
      </c>
      <c r="C48" s="201"/>
      <c r="D48" s="47" t="s">
        <v>351</v>
      </c>
      <c r="E48" s="37"/>
      <c r="F48" s="49"/>
      <c r="G48" s="37">
        <v>152</v>
      </c>
    </row>
    <row r="49" spans="1:9" ht="40.5" customHeight="1" x14ac:dyDescent="0.2">
      <c r="A49" s="36" t="s">
        <v>11</v>
      </c>
      <c r="B49" s="199" t="s">
        <v>114</v>
      </c>
      <c r="C49" s="201"/>
      <c r="D49" s="47"/>
      <c r="E49" s="37"/>
      <c r="F49" s="49"/>
      <c r="G49" s="37">
        <f>E49</f>
        <v>0</v>
      </c>
    </row>
    <row r="50" spans="1:9" ht="31.5" customHeight="1" x14ac:dyDescent="0.2">
      <c r="A50" s="208" t="s">
        <v>53</v>
      </c>
      <c r="B50" s="208"/>
      <c r="C50" s="208"/>
      <c r="D50" s="208"/>
      <c r="E50" s="208"/>
      <c r="F50" s="208"/>
      <c r="G50" s="38">
        <f>SUM(G46:G49)</f>
        <v>747.68000000000006</v>
      </c>
    </row>
    <row r="51" spans="1:9" ht="31.5" customHeight="1" x14ac:dyDescent="0.2">
      <c r="A51" s="209" t="s">
        <v>54</v>
      </c>
      <c r="B51" s="209"/>
      <c r="C51" s="209"/>
      <c r="D51" s="209"/>
      <c r="E51" s="209"/>
      <c r="F51" s="209"/>
      <c r="G51" s="50">
        <f>SUM(G50,G44,G34)</f>
        <v>1929.14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198" t="s">
        <v>55</v>
      </c>
      <c r="B53" s="198"/>
      <c r="C53" s="198"/>
      <c r="D53" s="198"/>
      <c r="E53" s="198"/>
      <c r="F53" s="198"/>
      <c r="G53" s="198"/>
    </row>
    <row r="54" spans="1:9" ht="80.25" customHeight="1" x14ac:dyDescent="0.2">
      <c r="A54" s="204" t="s">
        <v>5</v>
      </c>
      <c r="B54" s="213" t="s">
        <v>56</v>
      </c>
      <c r="C54" s="213"/>
      <c r="D54" s="213"/>
      <c r="E54" s="193">
        <f>(1/12)*D55</f>
        <v>4.1666666666666666E-3</v>
      </c>
      <c r="F54" s="193"/>
      <c r="G54" s="218">
        <f>ROUND($G$27+$G$34,0)*E54</f>
        <v>9.8833333333333329</v>
      </c>
    </row>
    <row r="55" spans="1:9" ht="77.25" customHeight="1" x14ac:dyDescent="0.2">
      <c r="A55" s="204"/>
      <c r="B55" s="223" t="s">
        <v>57</v>
      </c>
      <c r="C55" s="223"/>
      <c r="D55" s="51">
        <v>0.05</v>
      </c>
      <c r="E55" s="193"/>
      <c r="F55" s="193"/>
      <c r="G55" s="218"/>
    </row>
    <row r="56" spans="1:9" ht="42.75" customHeight="1" x14ac:dyDescent="0.2">
      <c r="A56" s="36" t="s">
        <v>7</v>
      </c>
      <c r="B56" s="213" t="s">
        <v>58</v>
      </c>
      <c r="C56" s="213"/>
      <c r="D56" s="213"/>
      <c r="E56" s="193">
        <v>0.08</v>
      </c>
      <c r="F56" s="193"/>
      <c r="G56" s="37">
        <f>ROUND(G54*E56,2)</f>
        <v>0.79</v>
      </c>
      <c r="H56" s="52"/>
      <c r="I56" s="52"/>
    </row>
    <row r="57" spans="1:9" ht="53.25" customHeight="1" x14ac:dyDescent="0.2">
      <c r="A57" s="36" t="s">
        <v>9</v>
      </c>
      <c r="B57" s="194" t="s">
        <v>59</v>
      </c>
      <c r="C57" s="222"/>
      <c r="D57" s="195"/>
      <c r="E57" s="193">
        <f>(7/30)/12</f>
        <v>1.9444444444444445E-2</v>
      </c>
      <c r="F57" s="193"/>
      <c r="G57" s="37">
        <f>ROUND((($G$27+$G$34)*E57),2)</f>
        <v>46.13</v>
      </c>
    </row>
    <row r="58" spans="1:9" ht="37.5" customHeight="1" x14ac:dyDescent="0.2">
      <c r="A58" s="36" t="s">
        <v>11</v>
      </c>
      <c r="B58" s="213" t="s">
        <v>60</v>
      </c>
      <c r="C58" s="213"/>
      <c r="D58" s="213"/>
      <c r="E58" s="193">
        <f>F44</f>
        <v>0.39800000000000008</v>
      </c>
      <c r="F58" s="193"/>
      <c r="G58" s="37">
        <f>ROUND(E58*G57,2)</f>
        <v>18.36</v>
      </c>
    </row>
    <row r="59" spans="1:9" ht="64.5" customHeight="1" x14ac:dyDescent="0.2">
      <c r="A59" s="36" t="s">
        <v>13</v>
      </c>
      <c r="B59" s="213" t="s">
        <v>61</v>
      </c>
      <c r="C59" s="213"/>
      <c r="D59" s="213"/>
      <c r="E59" s="193">
        <v>0.04</v>
      </c>
      <c r="F59" s="193"/>
      <c r="G59" s="37">
        <f>ROUND(E59*($G$27+$G$34),2)</f>
        <v>94.9</v>
      </c>
    </row>
    <row r="60" spans="1:9" ht="21.75" customHeight="1" x14ac:dyDescent="0.2">
      <c r="A60" s="197" t="s">
        <v>62</v>
      </c>
      <c r="B60" s="197"/>
      <c r="C60" s="197"/>
      <c r="D60" s="197"/>
      <c r="E60" s="197"/>
      <c r="F60" s="197"/>
      <c r="G60" s="50">
        <f>ROUND(SUM(G54:G59),2)</f>
        <v>170.06</v>
      </c>
    </row>
    <row r="61" spans="1:9" ht="3.75" customHeight="1" x14ac:dyDescent="0.2">
      <c r="A61" s="53"/>
      <c r="B61" s="54"/>
      <c r="C61" s="54"/>
      <c r="D61" s="54"/>
      <c r="E61" s="54"/>
      <c r="F61" s="54"/>
      <c r="G61" s="54"/>
    </row>
    <row r="62" spans="1:9" ht="21.75" customHeight="1" x14ac:dyDescent="0.2">
      <c r="A62" s="198" t="s">
        <v>63</v>
      </c>
      <c r="B62" s="198"/>
      <c r="C62" s="198"/>
      <c r="D62" s="198"/>
      <c r="E62" s="198"/>
      <c r="F62" s="198"/>
      <c r="G62" s="198"/>
    </row>
    <row r="63" spans="1:9" ht="21.75" customHeight="1" x14ac:dyDescent="0.2">
      <c r="A63" s="208" t="s">
        <v>64</v>
      </c>
      <c r="B63" s="208"/>
      <c r="C63" s="208"/>
      <c r="D63" s="208"/>
      <c r="E63" s="208"/>
      <c r="F63" s="208"/>
      <c r="G63" s="208"/>
    </row>
    <row r="64" spans="1:9" ht="21.75" customHeight="1" x14ac:dyDescent="0.2">
      <c r="A64" s="204" t="s">
        <v>5</v>
      </c>
      <c r="B64" s="213" t="s">
        <v>65</v>
      </c>
      <c r="C64" s="213"/>
      <c r="D64" s="213"/>
      <c r="E64" s="214">
        <v>8.3299999999999999E-2</v>
      </c>
      <c r="F64" s="215"/>
      <c r="G64" s="218">
        <f>E64*($G$27+$G$51+$G$60)</f>
        <v>352.72885200000002</v>
      </c>
    </row>
    <row r="65" spans="1:8" ht="39.75" customHeight="1" x14ac:dyDescent="0.2">
      <c r="A65" s="204"/>
      <c r="B65" s="219" t="s">
        <v>66</v>
      </c>
      <c r="C65" s="220"/>
      <c r="D65" s="221"/>
      <c r="E65" s="216"/>
      <c r="F65" s="217"/>
      <c r="G65" s="218"/>
    </row>
    <row r="66" spans="1:8" x14ac:dyDescent="0.2">
      <c r="A66" s="204" t="s">
        <v>7</v>
      </c>
      <c r="B66" s="213" t="s">
        <v>67</v>
      </c>
      <c r="C66" s="213"/>
      <c r="D66" s="213"/>
      <c r="E66" s="214">
        <f>(6/360)</f>
        <v>1.6666666666666666E-2</v>
      </c>
      <c r="F66" s="215"/>
      <c r="G66" s="218">
        <f>E66*($G$27+$G$34+$G$44)</f>
        <v>55.278333333333329</v>
      </c>
    </row>
    <row r="67" spans="1:8" ht="78" customHeight="1" x14ac:dyDescent="0.2">
      <c r="A67" s="204"/>
      <c r="B67" s="219" t="s">
        <v>68</v>
      </c>
      <c r="C67" s="220"/>
      <c r="D67" s="221"/>
      <c r="E67" s="216"/>
      <c r="F67" s="217"/>
      <c r="G67" s="218"/>
    </row>
    <row r="68" spans="1:8" x14ac:dyDescent="0.2">
      <c r="A68" s="204" t="s">
        <v>9</v>
      </c>
      <c r="B68" s="213" t="s">
        <v>69</v>
      </c>
      <c r="C68" s="213"/>
      <c r="D68" s="213"/>
      <c r="E68" s="214">
        <f>((5/360)*(1.399%))</f>
        <v>1.9430555555555556E-4</v>
      </c>
      <c r="F68" s="215"/>
      <c r="G68" s="218">
        <f>E68*($G$27+$G$34+$G$44)</f>
        <v>0.64445323611111105</v>
      </c>
    </row>
    <row r="69" spans="1:8" ht="57" customHeight="1" x14ac:dyDescent="0.2">
      <c r="A69" s="204"/>
      <c r="B69" s="219" t="s">
        <v>70</v>
      </c>
      <c r="C69" s="220"/>
      <c r="D69" s="221"/>
      <c r="E69" s="216"/>
      <c r="F69" s="217"/>
      <c r="G69" s="218"/>
    </row>
    <row r="70" spans="1:8" x14ac:dyDescent="0.2">
      <c r="A70" s="204" t="s">
        <v>11</v>
      </c>
      <c r="B70" s="213" t="s">
        <v>71</v>
      </c>
      <c r="C70" s="213"/>
      <c r="D70" s="213"/>
      <c r="E70" s="214">
        <f>((15/360)*(2.16%))</f>
        <v>8.9999999999999998E-4</v>
      </c>
      <c r="F70" s="215"/>
      <c r="G70" s="218">
        <f>E70*($G$27+$G$34+$G$44)</f>
        <v>2.9850299999999996</v>
      </c>
    </row>
    <row r="71" spans="1:8" ht="63" customHeight="1" x14ac:dyDescent="0.2">
      <c r="A71" s="204"/>
      <c r="B71" s="219" t="s">
        <v>72</v>
      </c>
      <c r="C71" s="220"/>
      <c r="D71" s="221"/>
      <c r="E71" s="216"/>
      <c r="F71" s="217"/>
      <c r="G71" s="218"/>
    </row>
    <row r="72" spans="1:8" x14ac:dyDescent="0.2">
      <c r="A72" s="204" t="s">
        <v>13</v>
      </c>
      <c r="B72" s="213" t="s">
        <v>73</v>
      </c>
      <c r="C72" s="213"/>
      <c r="D72" s="213"/>
      <c r="E72" s="214">
        <f>((50%)*(1.99%)*(4/12)*(8.93%+8.93%+2.98%))</f>
        <v>6.9119333333333326E-4</v>
      </c>
      <c r="F72" s="215"/>
      <c r="G72" s="218">
        <f>(E72*G27)</f>
        <v>1.4758636530666664</v>
      </c>
    </row>
    <row r="73" spans="1:8" ht="54.75" customHeight="1" x14ac:dyDescent="0.2">
      <c r="A73" s="204"/>
      <c r="B73" s="219" t="s">
        <v>74</v>
      </c>
      <c r="C73" s="220"/>
      <c r="D73" s="221"/>
      <c r="E73" s="216"/>
      <c r="F73" s="217"/>
      <c r="G73" s="218"/>
    </row>
    <row r="74" spans="1:8" ht="19.5" customHeight="1" x14ac:dyDescent="0.2">
      <c r="A74" s="208" t="s">
        <v>75</v>
      </c>
      <c r="B74" s="208"/>
      <c r="C74" s="208"/>
      <c r="D74" s="208"/>
      <c r="E74" s="208"/>
      <c r="F74" s="208"/>
      <c r="G74" s="45">
        <f>SUM(G64:G73)</f>
        <v>413.11253222251111</v>
      </c>
    </row>
    <row r="75" spans="1:8" ht="3.75" customHeight="1" x14ac:dyDescent="0.2">
      <c r="A75" s="55"/>
      <c r="B75" s="56"/>
      <c r="C75" s="56"/>
      <c r="D75" s="56"/>
      <c r="E75" s="56"/>
      <c r="F75" s="56"/>
      <c r="G75" s="56"/>
    </row>
    <row r="76" spans="1:8" ht="3.75" customHeight="1" x14ac:dyDescent="0.2">
      <c r="A76" s="57"/>
      <c r="B76" s="58"/>
      <c r="C76" s="58"/>
      <c r="D76" s="58"/>
      <c r="E76" s="58"/>
      <c r="F76" s="58"/>
      <c r="G76" s="58"/>
    </row>
    <row r="77" spans="1:8" ht="30.75" customHeight="1" x14ac:dyDescent="0.2">
      <c r="A77" s="209" t="s">
        <v>76</v>
      </c>
      <c r="B77" s="209"/>
      <c r="C77" s="209"/>
      <c r="D77" s="209"/>
      <c r="E77" s="209"/>
      <c r="F77" s="209"/>
      <c r="G77" s="59">
        <f>G74</f>
        <v>413.11253222251111</v>
      </c>
    </row>
    <row r="78" spans="1:8" ht="3.75" customHeight="1" x14ac:dyDescent="0.2">
      <c r="A78" s="210"/>
      <c r="B78" s="210"/>
      <c r="C78" s="210"/>
      <c r="D78" s="210"/>
      <c r="E78" s="210"/>
      <c r="F78" s="210"/>
      <c r="G78" s="210"/>
    </row>
    <row r="79" spans="1:8" ht="21.75" customHeight="1" x14ac:dyDescent="0.2">
      <c r="A79" s="198" t="s">
        <v>77</v>
      </c>
      <c r="B79" s="198"/>
      <c r="C79" s="198"/>
      <c r="D79" s="198"/>
      <c r="E79" s="198"/>
      <c r="F79" s="198"/>
      <c r="G79" s="198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7" cm="1">
        <f t="array" ref="G80:H80">'Insumos Diversos'!J92:K92</f>
        <v>47</v>
      </c>
      <c r="H80" s="1">
        <v>0</v>
      </c>
    </row>
    <row r="81" spans="1:7" ht="19.5" customHeight="1" x14ac:dyDescent="0.2">
      <c r="A81" s="60" t="s">
        <v>7</v>
      </c>
      <c r="B81" s="30" t="s">
        <v>274</v>
      </c>
      <c r="C81" s="31"/>
      <c r="D81" s="31"/>
      <c r="E81" s="31"/>
      <c r="F81" s="31"/>
      <c r="G81" s="37">
        <f>'Insumos Diversos'!O48</f>
        <v>246</v>
      </c>
    </row>
    <row r="82" spans="1:7" ht="19.5" customHeight="1" x14ac:dyDescent="0.2">
      <c r="A82" s="61" t="s">
        <v>9</v>
      </c>
      <c r="B82" s="30" t="s">
        <v>79</v>
      </c>
      <c r="C82" s="31"/>
      <c r="D82" s="31"/>
      <c r="E82" s="31"/>
      <c r="F82" s="31"/>
      <c r="G82" s="37">
        <f>'Insumos Diversos'!O76</f>
        <v>6.35</v>
      </c>
    </row>
    <row r="83" spans="1:7" ht="21.75" customHeight="1" x14ac:dyDescent="0.2">
      <c r="A83" s="211" t="s">
        <v>80</v>
      </c>
      <c r="B83" s="211"/>
      <c r="C83" s="211"/>
      <c r="D83" s="211"/>
      <c r="E83" s="211"/>
      <c r="F83" s="211"/>
      <c r="G83" s="35">
        <f>SUM(G80:G82)</f>
        <v>299.35000000000002</v>
      </c>
    </row>
    <row r="84" spans="1:7" ht="3.75" customHeight="1" x14ac:dyDescent="0.2">
      <c r="A84" s="212"/>
      <c r="B84" s="212"/>
      <c r="C84" s="212"/>
      <c r="D84" s="212"/>
      <c r="E84" s="212"/>
      <c r="F84" s="212"/>
      <c r="G84" s="212"/>
    </row>
    <row r="85" spans="1:7" ht="23.25" customHeight="1" x14ac:dyDescent="0.2">
      <c r="A85" s="198" t="s">
        <v>81</v>
      </c>
      <c r="B85" s="198"/>
      <c r="C85" s="198"/>
      <c r="D85" s="198"/>
      <c r="E85" s="198"/>
      <c r="F85" s="198"/>
      <c r="G85" s="198"/>
    </row>
    <row r="86" spans="1:7" ht="19.5" customHeight="1" x14ac:dyDescent="0.2">
      <c r="A86" s="36" t="s">
        <v>5</v>
      </c>
      <c r="B86" s="199" t="s">
        <v>82</v>
      </c>
      <c r="C86" s="200"/>
      <c r="D86" s="201"/>
      <c r="E86" s="202">
        <v>0.03</v>
      </c>
      <c r="F86" s="203"/>
      <c r="G86" s="37">
        <f>ROUND((G103)*E86,2)</f>
        <v>148.41</v>
      </c>
    </row>
    <row r="87" spans="1:7" ht="19.5" customHeight="1" x14ac:dyDescent="0.2">
      <c r="A87" s="36" t="s">
        <v>7</v>
      </c>
      <c r="B87" s="199" t="s">
        <v>83</v>
      </c>
      <c r="C87" s="200"/>
      <c r="D87" s="201"/>
      <c r="E87" s="202">
        <v>6.7900000000000002E-2</v>
      </c>
      <c r="F87" s="203"/>
      <c r="G87" s="37">
        <f>ROUND((G103+$G$86)*E87,2)</f>
        <v>345.97</v>
      </c>
    </row>
    <row r="88" spans="1:7" ht="19.5" customHeight="1" x14ac:dyDescent="0.2">
      <c r="A88" s="204" t="s">
        <v>9</v>
      </c>
      <c r="B88" s="205" t="s">
        <v>84</v>
      </c>
      <c r="C88" s="62"/>
      <c r="D88" s="63"/>
      <c r="E88" s="206">
        <f>SUM(E89:F93)</f>
        <v>0.14250000000000002</v>
      </c>
      <c r="F88" s="207"/>
      <c r="G88" s="64"/>
    </row>
    <row r="89" spans="1:7" ht="19.5" customHeight="1" x14ac:dyDescent="0.2">
      <c r="A89" s="204"/>
      <c r="B89" s="205"/>
      <c r="C89" s="65" t="s">
        <v>85</v>
      </c>
      <c r="D89" s="66" t="s">
        <v>86</v>
      </c>
      <c r="E89" s="193">
        <v>1.6500000000000001E-2</v>
      </c>
      <c r="F89" s="193"/>
      <c r="G89" s="37">
        <f>ROUND((E89)*($G$105),2)</f>
        <v>104.7</v>
      </c>
    </row>
    <row r="90" spans="1:7" ht="19.5" customHeight="1" x14ac:dyDescent="0.2">
      <c r="A90" s="204"/>
      <c r="B90" s="205"/>
      <c r="C90" s="67"/>
      <c r="D90" s="66" t="s">
        <v>87</v>
      </c>
      <c r="E90" s="193">
        <v>7.5999999999999998E-2</v>
      </c>
      <c r="F90" s="193"/>
      <c r="G90" s="37">
        <f>ROUND((E90)*($G$105),2)</f>
        <v>482.26</v>
      </c>
    </row>
    <row r="91" spans="1:7" ht="19.5" customHeight="1" x14ac:dyDescent="0.2">
      <c r="A91" s="204"/>
      <c r="B91" s="205"/>
      <c r="C91" s="68"/>
      <c r="D91" s="66" t="s">
        <v>88</v>
      </c>
      <c r="E91" s="193"/>
      <c r="F91" s="193"/>
      <c r="G91" s="37">
        <f>ROUND((E91)*($G$105),2)</f>
        <v>0</v>
      </c>
    </row>
    <row r="92" spans="1:7" ht="77.25" customHeight="1" x14ac:dyDescent="0.2">
      <c r="A92" s="204"/>
      <c r="B92" s="205"/>
      <c r="C92" s="69" t="s">
        <v>170</v>
      </c>
      <c r="D92" s="66" t="s">
        <v>89</v>
      </c>
      <c r="E92" s="193">
        <v>0.05</v>
      </c>
      <c r="F92" s="193"/>
      <c r="G92" s="37">
        <f>ROUND((E92)*($G$105),2)</f>
        <v>317.27999999999997</v>
      </c>
    </row>
    <row r="93" spans="1:7" ht="41.25" customHeight="1" x14ac:dyDescent="0.2">
      <c r="A93" s="204"/>
      <c r="B93" s="205"/>
      <c r="C93" s="194" t="s">
        <v>90</v>
      </c>
      <c r="D93" s="195"/>
      <c r="E93" s="193"/>
      <c r="F93" s="193"/>
      <c r="G93" s="37">
        <f>ROUND((E93)*($G$105),2)</f>
        <v>0</v>
      </c>
    </row>
    <row r="94" spans="1:7" ht="19.5" customHeight="1" x14ac:dyDescent="0.2">
      <c r="A94" s="204"/>
      <c r="B94" s="196" t="s">
        <v>91</v>
      </c>
      <c r="C94" s="196"/>
      <c r="D94" s="196"/>
      <c r="E94" s="196"/>
      <c r="F94" s="196"/>
      <c r="G94" s="70">
        <f>SUM(G89,G90,G91,G92,G93)</f>
        <v>904.24</v>
      </c>
    </row>
    <row r="95" spans="1:7" ht="21.75" customHeight="1" x14ac:dyDescent="0.2">
      <c r="A95" s="197" t="s">
        <v>92</v>
      </c>
      <c r="B95" s="197"/>
      <c r="C95" s="197"/>
      <c r="D95" s="197"/>
      <c r="E95" s="197"/>
      <c r="F95" s="197"/>
      <c r="G95" s="71">
        <f>SUM(G94,G87,G86)</f>
        <v>1398.6200000000001</v>
      </c>
    </row>
    <row r="96" spans="1:7" ht="3.75" customHeight="1" x14ac:dyDescent="0.2">
      <c r="A96" s="189"/>
      <c r="B96" s="189"/>
      <c r="C96" s="189"/>
      <c r="D96" s="189"/>
      <c r="E96" s="189"/>
      <c r="F96" s="189"/>
      <c r="G96" s="189"/>
    </row>
    <row r="97" spans="1:7" ht="23.25" customHeight="1" x14ac:dyDescent="0.2">
      <c r="A97" s="190" t="s">
        <v>93</v>
      </c>
      <c r="B97" s="190"/>
      <c r="C97" s="190"/>
      <c r="D97" s="190"/>
      <c r="E97" s="190"/>
      <c r="F97" s="190"/>
      <c r="G97" s="190"/>
    </row>
    <row r="98" spans="1:7" ht="19.5" customHeight="1" x14ac:dyDescent="0.2">
      <c r="A98" s="36" t="s">
        <v>5</v>
      </c>
      <c r="B98" s="33" t="s">
        <v>94</v>
      </c>
      <c r="C98" s="40"/>
      <c r="D98" s="40"/>
      <c r="E98" s="40"/>
      <c r="F98" s="40"/>
      <c r="G98" s="32">
        <f>G27</f>
        <v>2135.2399999999998</v>
      </c>
    </row>
    <row r="99" spans="1:7" ht="19.5" customHeight="1" x14ac:dyDescent="0.2">
      <c r="A99" s="36" t="s">
        <v>7</v>
      </c>
      <c r="B99" s="33" t="s">
        <v>95</v>
      </c>
      <c r="C99" s="40"/>
      <c r="D99" s="40"/>
      <c r="E99" s="40"/>
      <c r="F99" s="40"/>
      <c r="G99" s="32">
        <f>G51</f>
        <v>1929.14</v>
      </c>
    </row>
    <row r="100" spans="1:7" ht="19.5" customHeight="1" x14ac:dyDescent="0.2">
      <c r="A100" s="36" t="s">
        <v>9</v>
      </c>
      <c r="B100" s="33" t="s">
        <v>96</v>
      </c>
      <c r="C100" s="40"/>
      <c r="D100" s="40"/>
      <c r="E100" s="40"/>
      <c r="F100" s="40"/>
      <c r="G100" s="32">
        <f>G60</f>
        <v>170.06</v>
      </c>
    </row>
    <row r="101" spans="1:7" ht="19.5" customHeight="1" x14ac:dyDescent="0.2">
      <c r="A101" s="36" t="s">
        <v>11</v>
      </c>
      <c r="B101" s="33" t="s">
        <v>97</v>
      </c>
      <c r="C101" s="40"/>
      <c r="D101" s="40"/>
      <c r="E101" s="40"/>
      <c r="F101" s="40"/>
      <c r="G101" s="32">
        <f>G77</f>
        <v>413.11253222251111</v>
      </c>
    </row>
    <row r="102" spans="1:7" ht="19.5" customHeight="1" x14ac:dyDescent="0.2">
      <c r="A102" s="36" t="s">
        <v>13</v>
      </c>
      <c r="B102" s="33" t="s">
        <v>98</v>
      </c>
      <c r="C102" s="40"/>
      <c r="D102" s="40"/>
      <c r="E102" s="40"/>
      <c r="F102" s="40"/>
      <c r="G102" s="32">
        <f>G83</f>
        <v>299.35000000000002</v>
      </c>
    </row>
    <row r="103" spans="1:7" ht="19.5" customHeight="1" x14ac:dyDescent="0.2">
      <c r="A103" s="191" t="s">
        <v>99</v>
      </c>
      <c r="B103" s="192"/>
      <c r="C103" s="192"/>
      <c r="D103" s="192"/>
      <c r="E103" s="192"/>
      <c r="F103" s="192"/>
      <c r="G103" s="72">
        <f>SUM(G98:G102)</f>
        <v>4946.9025322225116</v>
      </c>
    </row>
    <row r="104" spans="1:7" ht="19.5" customHeight="1" x14ac:dyDescent="0.2">
      <c r="A104" s="36" t="s">
        <v>15</v>
      </c>
      <c r="B104" s="33" t="s">
        <v>100</v>
      </c>
      <c r="C104" s="40"/>
      <c r="D104" s="40"/>
      <c r="E104" s="40"/>
      <c r="F104" s="40"/>
      <c r="G104" s="32">
        <f>G95</f>
        <v>1398.6200000000001</v>
      </c>
    </row>
    <row r="105" spans="1:7" ht="43.5" customHeight="1" x14ac:dyDescent="0.2">
      <c r="A105" s="185" t="s">
        <v>101</v>
      </c>
      <c r="B105" s="185"/>
      <c r="C105" s="185"/>
      <c r="D105" s="185"/>
      <c r="E105" s="185"/>
      <c r="F105" s="185"/>
      <c r="G105" s="73">
        <f>SUM(G103+G86+G87)/(1-E88)</f>
        <v>6345.5189880145917</v>
      </c>
    </row>
    <row r="106" spans="1:7" ht="3.75" customHeight="1" x14ac:dyDescent="0.2">
      <c r="A106" s="189"/>
      <c r="B106" s="189"/>
      <c r="C106" s="189"/>
      <c r="D106" s="189"/>
      <c r="E106" s="189"/>
      <c r="F106" s="189"/>
      <c r="G106" s="189"/>
    </row>
    <row r="107" spans="1:7" ht="22.5" customHeight="1" x14ac:dyDescent="0.2">
      <c r="A107" s="187" t="s">
        <v>102</v>
      </c>
      <c r="B107" s="187"/>
      <c r="C107" s="187"/>
      <c r="D107" s="187"/>
      <c r="E107" s="187"/>
      <c r="F107" s="187"/>
      <c r="G107" s="187"/>
    </row>
    <row r="108" spans="1:7" ht="21" customHeight="1" x14ac:dyDescent="0.2">
      <c r="A108" s="186" t="s">
        <v>103</v>
      </c>
      <c r="B108" s="186"/>
      <c r="C108" s="186"/>
      <c r="D108" s="186"/>
      <c r="E108" s="186"/>
      <c r="F108" s="186"/>
      <c r="G108" s="32">
        <f>G105</f>
        <v>6345.5189880145917</v>
      </c>
    </row>
    <row r="109" spans="1:7" ht="21" customHeight="1" x14ac:dyDescent="0.2">
      <c r="A109" s="186" t="s">
        <v>104</v>
      </c>
      <c r="B109" s="186"/>
      <c r="C109" s="186"/>
      <c r="D109" s="186"/>
      <c r="E109" s="186"/>
      <c r="F109" s="186"/>
      <c r="G109" s="11">
        <v>1</v>
      </c>
    </row>
    <row r="110" spans="1:7" ht="21" customHeight="1" x14ac:dyDescent="0.2">
      <c r="A110" s="186" t="s">
        <v>105</v>
      </c>
      <c r="B110" s="186"/>
      <c r="C110" s="186"/>
      <c r="D110" s="186"/>
      <c r="E110" s="186"/>
      <c r="F110" s="186"/>
      <c r="G110" s="32">
        <f>G109*G108</f>
        <v>6345.5189880145917</v>
      </c>
    </row>
    <row r="111" spans="1:7" ht="21" customHeight="1" x14ac:dyDescent="0.2">
      <c r="A111" s="186" t="s">
        <v>106</v>
      </c>
      <c r="B111" s="186"/>
      <c r="C111" s="186"/>
      <c r="D111" s="186"/>
      <c r="E111" s="186"/>
      <c r="F111" s="186"/>
      <c r="G111" s="11">
        <f>G20</f>
        <v>1</v>
      </c>
    </row>
    <row r="112" spans="1:7" ht="22.5" customHeight="1" x14ac:dyDescent="0.2">
      <c r="A112" s="187" t="s">
        <v>107</v>
      </c>
      <c r="B112" s="187"/>
      <c r="C112" s="187"/>
      <c r="D112" s="187"/>
      <c r="E112" s="187"/>
      <c r="F112" s="187"/>
      <c r="G112" s="74">
        <f>G111*G110</f>
        <v>6345.5189880145917</v>
      </c>
    </row>
    <row r="113" spans="1:1014" ht="3.75" customHeight="1" x14ac:dyDescent="0.2">
      <c r="A113" s="188"/>
      <c r="B113" s="188"/>
      <c r="C113" s="188"/>
      <c r="D113" s="188"/>
      <c r="E113" s="188"/>
      <c r="F113" s="188"/>
      <c r="G113" s="188"/>
    </row>
    <row r="114" spans="1:1014" ht="22.5" customHeight="1" x14ac:dyDescent="0.2">
      <c r="A114" s="270" t="s">
        <v>131</v>
      </c>
      <c r="B114" s="271"/>
      <c r="C114" s="271"/>
      <c r="D114" s="271"/>
      <c r="E114" s="271"/>
      <c r="F114" s="272"/>
      <c r="G114" s="73">
        <f>G112*G18</f>
        <v>126910.37976029183</v>
      </c>
    </row>
    <row r="115" spans="1:1014" ht="14.25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9"/>
      <c r="IM115" s="39"/>
      <c r="IN115" s="39"/>
      <c r="IO115" s="39"/>
      <c r="IP115" s="39"/>
      <c r="IQ115" s="39"/>
      <c r="IR115" s="39"/>
      <c r="IS115" s="39"/>
      <c r="IT115" s="39"/>
      <c r="IU115" s="39"/>
      <c r="IV115" s="39"/>
      <c r="IW115" s="39"/>
      <c r="IX115" s="39"/>
      <c r="IY115" s="39"/>
      <c r="IZ115" s="39"/>
      <c r="JA115" s="39"/>
      <c r="JB115" s="39"/>
      <c r="JC115" s="39"/>
      <c r="JD115" s="39"/>
      <c r="JE115" s="39"/>
      <c r="JF115" s="39"/>
      <c r="JG115" s="39"/>
      <c r="JH115" s="39"/>
      <c r="JI115" s="39"/>
      <c r="JJ115" s="39"/>
      <c r="JK115" s="39"/>
      <c r="JL115" s="39"/>
      <c r="JM115" s="39"/>
      <c r="JN115" s="39"/>
      <c r="JO115" s="39"/>
      <c r="JP115" s="39"/>
      <c r="JQ115" s="39"/>
      <c r="JR115" s="39"/>
      <c r="JS115" s="39"/>
      <c r="JT115" s="39"/>
      <c r="JU115" s="39"/>
      <c r="JV115" s="39"/>
      <c r="JW115" s="39"/>
      <c r="JX115" s="39"/>
      <c r="JY115" s="39"/>
      <c r="JZ115" s="39"/>
      <c r="KA115" s="39"/>
      <c r="KB115" s="39"/>
      <c r="KC115" s="39"/>
      <c r="KD115" s="39"/>
      <c r="KE115" s="39"/>
      <c r="KF115" s="39"/>
      <c r="KG115" s="39"/>
      <c r="KH115" s="39"/>
      <c r="KI115" s="39"/>
      <c r="KJ115" s="39"/>
      <c r="KK115" s="39"/>
      <c r="KL115" s="39"/>
      <c r="KM115" s="39"/>
      <c r="KN115" s="39"/>
      <c r="KO115" s="39"/>
      <c r="KP115" s="39"/>
      <c r="KQ115" s="39"/>
      <c r="KR115" s="39"/>
      <c r="KS115" s="39"/>
      <c r="KT115" s="39"/>
      <c r="KU115" s="39"/>
      <c r="KV115" s="39"/>
      <c r="KW115" s="39"/>
      <c r="KX115" s="39"/>
      <c r="KY115" s="39"/>
      <c r="KZ115" s="39"/>
      <c r="LA115" s="39"/>
      <c r="LB115" s="39"/>
      <c r="LC115" s="39"/>
      <c r="LD115" s="39"/>
      <c r="LE115" s="39"/>
      <c r="LF115" s="39"/>
      <c r="LG115" s="39"/>
      <c r="LH115" s="39"/>
      <c r="LI115" s="39"/>
      <c r="LJ115" s="39"/>
      <c r="LK115" s="39"/>
      <c r="LL115" s="39"/>
      <c r="LM115" s="39"/>
      <c r="LN115" s="39"/>
      <c r="LO115" s="39"/>
      <c r="LP115" s="39"/>
      <c r="LQ115" s="39"/>
      <c r="LR115" s="39"/>
      <c r="LS115" s="39"/>
      <c r="LT115" s="39"/>
      <c r="LU115" s="39"/>
      <c r="LV115" s="39"/>
      <c r="LW115" s="39"/>
      <c r="LX115" s="39"/>
      <c r="LY115" s="39"/>
      <c r="LZ115" s="39"/>
      <c r="MA115" s="39"/>
      <c r="MB115" s="39"/>
      <c r="MC115" s="39"/>
      <c r="MD115" s="39"/>
      <c r="ME115" s="39"/>
      <c r="MF115" s="39"/>
      <c r="MG115" s="39"/>
      <c r="MH115" s="39"/>
      <c r="MI115" s="39"/>
      <c r="MJ115" s="39"/>
      <c r="MK115" s="39"/>
      <c r="ML115" s="39"/>
      <c r="MM115" s="39"/>
      <c r="MN115" s="39"/>
      <c r="MO115" s="39"/>
      <c r="MP115" s="39"/>
      <c r="MQ115" s="39"/>
      <c r="MR115" s="39"/>
      <c r="MS115" s="39"/>
      <c r="MT115" s="39"/>
      <c r="MU115" s="39"/>
      <c r="MV115" s="39"/>
      <c r="MW115" s="39"/>
      <c r="MX115" s="39"/>
      <c r="MY115" s="39"/>
      <c r="MZ115" s="39"/>
      <c r="NA115" s="39"/>
      <c r="NB115" s="39"/>
      <c r="NC115" s="39"/>
      <c r="ND115" s="39"/>
      <c r="NE115" s="39"/>
      <c r="NF115" s="39"/>
      <c r="NG115" s="39"/>
      <c r="NH115" s="39"/>
      <c r="NI115" s="39"/>
      <c r="NJ115" s="39"/>
      <c r="NK115" s="39"/>
      <c r="NL115" s="39"/>
      <c r="NM115" s="39"/>
      <c r="NN115" s="39"/>
      <c r="NO115" s="39"/>
      <c r="NP115" s="39"/>
      <c r="NQ115" s="39"/>
      <c r="NR115" s="39"/>
      <c r="NS115" s="39"/>
      <c r="NT115" s="39"/>
      <c r="NU115" s="39"/>
      <c r="NV115" s="39"/>
      <c r="NW115" s="39"/>
      <c r="NX115" s="39"/>
      <c r="NY115" s="39"/>
      <c r="NZ115" s="39"/>
      <c r="OA115" s="39"/>
      <c r="OB115" s="39"/>
      <c r="OC115" s="39"/>
      <c r="OD115" s="39"/>
      <c r="OE115" s="39"/>
      <c r="OF115" s="39"/>
      <c r="OG115" s="39"/>
      <c r="OH115" s="39"/>
      <c r="OI115" s="39"/>
      <c r="OJ115" s="39"/>
      <c r="OK115" s="39"/>
      <c r="OL115" s="39"/>
      <c r="OM115" s="39"/>
      <c r="ON115" s="39"/>
      <c r="OO115" s="39"/>
      <c r="OP115" s="39"/>
      <c r="OQ115" s="39"/>
      <c r="OR115" s="39"/>
      <c r="OS115" s="39"/>
      <c r="OT115" s="39"/>
      <c r="OU115" s="39"/>
      <c r="OV115" s="39"/>
      <c r="OW115" s="39"/>
      <c r="OX115" s="39"/>
      <c r="OY115" s="39"/>
      <c r="OZ115" s="39"/>
      <c r="PA115" s="39"/>
      <c r="PB115" s="39"/>
      <c r="PC115" s="39"/>
      <c r="PD115" s="39"/>
      <c r="PE115" s="39"/>
      <c r="PF115" s="39"/>
      <c r="PG115" s="39"/>
      <c r="PH115" s="39"/>
      <c r="PI115" s="39"/>
      <c r="PJ115" s="39"/>
      <c r="PK115" s="39"/>
      <c r="PL115" s="39"/>
      <c r="PM115" s="39"/>
      <c r="PN115" s="39"/>
      <c r="PO115" s="39"/>
      <c r="PP115" s="39"/>
      <c r="PQ115" s="39"/>
      <c r="PR115" s="39"/>
      <c r="PS115" s="39"/>
      <c r="PT115" s="39"/>
      <c r="PU115" s="39"/>
      <c r="PV115" s="39"/>
      <c r="PW115" s="39"/>
      <c r="PX115" s="39"/>
      <c r="PY115" s="39"/>
      <c r="PZ115" s="39"/>
      <c r="QA115" s="39"/>
      <c r="QB115" s="39"/>
      <c r="QC115" s="39"/>
      <c r="QD115" s="39"/>
      <c r="QE115" s="39"/>
      <c r="QF115" s="39"/>
      <c r="QG115" s="39"/>
      <c r="QH115" s="39"/>
      <c r="QI115" s="39"/>
      <c r="QJ115" s="39"/>
      <c r="QK115" s="39"/>
      <c r="QL115" s="39"/>
      <c r="QM115" s="39"/>
      <c r="QN115" s="39"/>
      <c r="QO115" s="39"/>
      <c r="QP115" s="39"/>
      <c r="QQ115" s="39"/>
      <c r="QR115" s="39"/>
      <c r="QS115" s="39"/>
      <c r="QT115" s="39"/>
      <c r="QU115" s="39"/>
      <c r="QV115" s="39"/>
      <c r="QW115" s="39"/>
      <c r="QX115" s="39"/>
      <c r="QY115" s="39"/>
      <c r="QZ115" s="39"/>
      <c r="RA115" s="39"/>
      <c r="RB115" s="39"/>
      <c r="RC115" s="39"/>
      <c r="RD115" s="39"/>
      <c r="RE115" s="39"/>
      <c r="RF115" s="39"/>
      <c r="RG115" s="39"/>
      <c r="RH115" s="39"/>
      <c r="RI115" s="39"/>
      <c r="RJ115" s="39"/>
      <c r="RK115" s="39"/>
      <c r="RL115" s="39"/>
      <c r="RM115" s="39"/>
      <c r="RN115" s="39"/>
      <c r="RO115" s="39"/>
      <c r="RP115" s="39"/>
      <c r="RQ115" s="39"/>
      <c r="RR115" s="39"/>
      <c r="RS115" s="39"/>
      <c r="RT115" s="39"/>
      <c r="RU115" s="39"/>
      <c r="RV115" s="39"/>
      <c r="RW115" s="39"/>
      <c r="RX115" s="39"/>
      <c r="RY115" s="39"/>
      <c r="RZ115" s="39"/>
      <c r="SA115" s="39"/>
      <c r="SB115" s="39"/>
      <c r="SC115" s="39"/>
      <c r="SD115" s="39"/>
      <c r="SE115" s="39"/>
      <c r="SF115" s="39"/>
      <c r="SG115" s="39"/>
      <c r="SH115" s="39"/>
      <c r="SI115" s="39"/>
      <c r="SJ115" s="39"/>
      <c r="SK115" s="39"/>
      <c r="SL115" s="39"/>
      <c r="SM115" s="39"/>
      <c r="SN115" s="39"/>
      <c r="SO115" s="39"/>
      <c r="SP115" s="39"/>
      <c r="SQ115" s="39"/>
      <c r="SR115" s="39"/>
      <c r="SS115" s="39"/>
      <c r="ST115" s="39"/>
      <c r="SU115" s="39"/>
      <c r="SV115" s="39"/>
      <c r="SW115" s="39"/>
      <c r="SX115" s="39"/>
      <c r="SY115" s="39"/>
      <c r="SZ115" s="39"/>
      <c r="TA115" s="39"/>
      <c r="TB115" s="39"/>
      <c r="TC115" s="39"/>
      <c r="TD115" s="39"/>
      <c r="TE115" s="39"/>
      <c r="TF115" s="39"/>
      <c r="TG115" s="39"/>
      <c r="TH115" s="39"/>
      <c r="TI115" s="39"/>
      <c r="TJ115" s="39"/>
      <c r="TK115" s="39"/>
      <c r="TL115" s="39"/>
      <c r="TM115" s="39"/>
      <c r="TN115" s="39"/>
      <c r="TO115" s="39"/>
      <c r="TP115" s="39"/>
      <c r="TQ115" s="39"/>
      <c r="TR115" s="39"/>
      <c r="TS115" s="39"/>
      <c r="TT115" s="39"/>
      <c r="TU115" s="39"/>
      <c r="TV115" s="39"/>
      <c r="TW115" s="39"/>
      <c r="TX115" s="39"/>
      <c r="TY115" s="39"/>
      <c r="TZ115" s="39"/>
      <c r="UA115" s="39"/>
      <c r="UB115" s="39"/>
      <c r="UC115" s="39"/>
      <c r="UD115" s="39"/>
      <c r="UE115" s="39"/>
      <c r="UF115" s="39"/>
      <c r="UG115" s="39"/>
      <c r="UH115" s="39"/>
      <c r="UI115" s="39"/>
      <c r="UJ115" s="39"/>
      <c r="UK115" s="39"/>
      <c r="UL115" s="39"/>
      <c r="UM115" s="39"/>
      <c r="UN115" s="39"/>
      <c r="UO115" s="39"/>
      <c r="UP115" s="39"/>
      <c r="UQ115" s="39"/>
      <c r="UR115" s="39"/>
      <c r="US115" s="39"/>
      <c r="UT115" s="39"/>
      <c r="UU115" s="39"/>
      <c r="UV115" s="39"/>
      <c r="UW115" s="39"/>
      <c r="UX115" s="39"/>
      <c r="UY115" s="39"/>
      <c r="UZ115" s="39"/>
      <c r="VA115" s="39"/>
      <c r="VB115" s="39"/>
      <c r="VC115" s="39"/>
      <c r="VD115" s="39"/>
      <c r="VE115" s="39"/>
      <c r="VF115" s="39"/>
      <c r="VG115" s="39"/>
      <c r="VH115" s="39"/>
      <c r="VI115" s="39"/>
      <c r="VJ115" s="39"/>
      <c r="VK115" s="39"/>
      <c r="VL115" s="39"/>
      <c r="VM115" s="39"/>
      <c r="VN115" s="39"/>
      <c r="VO115" s="39"/>
      <c r="VP115" s="39"/>
      <c r="VQ115" s="39"/>
      <c r="VR115" s="39"/>
      <c r="VS115" s="39"/>
      <c r="VT115" s="39"/>
      <c r="VU115" s="39"/>
      <c r="VV115" s="39"/>
      <c r="VW115" s="39"/>
      <c r="VX115" s="39"/>
      <c r="VY115" s="39"/>
      <c r="VZ115" s="39"/>
      <c r="WA115" s="39"/>
      <c r="WB115" s="39"/>
      <c r="WC115" s="39"/>
      <c r="WD115" s="39"/>
      <c r="WE115" s="39"/>
      <c r="WF115" s="39"/>
      <c r="WG115" s="39"/>
      <c r="WH115" s="39"/>
      <c r="WI115" s="39"/>
      <c r="WJ115" s="39"/>
      <c r="WK115" s="39"/>
      <c r="WL115" s="39"/>
      <c r="WM115" s="39"/>
      <c r="WN115" s="39"/>
      <c r="WO115" s="39"/>
      <c r="WP115" s="39"/>
      <c r="WQ115" s="39"/>
      <c r="WR115" s="39"/>
      <c r="WS115" s="39"/>
      <c r="WT115" s="39"/>
      <c r="WU115" s="39"/>
      <c r="WV115" s="39"/>
      <c r="WW115" s="39"/>
      <c r="WX115" s="39"/>
      <c r="WY115" s="39"/>
      <c r="WZ115" s="39"/>
      <c r="XA115" s="39"/>
      <c r="XB115" s="39"/>
      <c r="XC115" s="39"/>
      <c r="XD115" s="39"/>
      <c r="XE115" s="39"/>
      <c r="XF115" s="39"/>
      <c r="XG115" s="39"/>
      <c r="XH115" s="39"/>
      <c r="XI115" s="39"/>
      <c r="XJ115" s="39"/>
      <c r="XK115" s="39"/>
      <c r="XL115" s="39"/>
      <c r="XM115" s="39"/>
      <c r="XN115" s="39"/>
      <c r="XO115" s="39"/>
      <c r="XP115" s="39"/>
      <c r="XQ115" s="39"/>
      <c r="XR115" s="39"/>
      <c r="XS115" s="39"/>
      <c r="XT115" s="39"/>
      <c r="XU115" s="39"/>
      <c r="XV115" s="39"/>
      <c r="XW115" s="39"/>
      <c r="XX115" s="39"/>
      <c r="XY115" s="39"/>
      <c r="XZ115" s="39"/>
      <c r="YA115" s="39"/>
      <c r="YB115" s="39"/>
      <c r="YC115" s="39"/>
      <c r="YD115" s="39"/>
      <c r="YE115" s="39"/>
      <c r="YF115" s="39"/>
      <c r="YG115" s="39"/>
      <c r="YH115" s="39"/>
      <c r="YI115" s="39"/>
      <c r="YJ115" s="39"/>
      <c r="YK115" s="39"/>
      <c r="YL115" s="39"/>
      <c r="YM115" s="39"/>
      <c r="YN115" s="39"/>
      <c r="YO115" s="39"/>
      <c r="YP115" s="39"/>
      <c r="YQ115" s="39"/>
      <c r="YR115" s="39"/>
      <c r="YS115" s="39"/>
      <c r="YT115" s="39"/>
      <c r="YU115" s="39"/>
      <c r="YV115" s="39"/>
      <c r="YW115" s="39"/>
      <c r="YX115" s="39"/>
      <c r="YY115" s="39"/>
      <c r="YZ115" s="39"/>
      <c r="ZA115" s="39"/>
      <c r="ZB115" s="39"/>
      <c r="ZC115" s="39"/>
      <c r="ZD115" s="39"/>
      <c r="ZE115" s="39"/>
      <c r="ZF115" s="39"/>
      <c r="ZG115" s="39"/>
      <c r="ZH115" s="39"/>
      <c r="ZI115" s="39"/>
      <c r="ZJ115" s="39"/>
      <c r="ZK115" s="39"/>
      <c r="ZL115" s="39"/>
      <c r="ZM115" s="39"/>
      <c r="ZN115" s="39"/>
      <c r="ZO115" s="39"/>
      <c r="ZP115" s="39"/>
      <c r="ZQ115" s="39"/>
      <c r="ZR115" s="39"/>
      <c r="ZS115" s="39"/>
      <c r="ZT115" s="39"/>
      <c r="ZU115" s="39"/>
      <c r="ZV115" s="39"/>
      <c r="ZW115" s="39"/>
      <c r="ZX115" s="39"/>
      <c r="ZY115" s="39"/>
      <c r="ZZ115" s="39"/>
      <c r="AAA115" s="39"/>
      <c r="AAB115" s="39"/>
      <c r="AAC115" s="39"/>
      <c r="AAD115" s="39"/>
      <c r="AAE115" s="39"/>
      <c r="AAF115" s="39"/>
      <c r="AAG115" s="39"/>
      <c r="AAH115" s="39"/>
      <c r="AAI115" s="39"/>
      <c r="AAJ115" s="39"/>
      <c r="AAK115" s="39"/>
      <c r="AAL115" s="39"/>
      <c r="AAM115" s="39"/>
      <c r="AAN115" s="39"/>
      <c r="AAO115" s="39"/>
      <c r="AAP115" s="39"/>
      <c r="AAQ115" s="39"/>
      <c r="AAR115" s="39"/>
      <c r="AAS115" s="39"/>
      <c r="AAT115" s="39"/>
      <c r="AAU115" s="39"/>
      <c r="AAV115" s="39"/>
      <c r="AAW115" s="39"/>
      <c r="AAX115" s="39"/>
      <c r="AAY115" s="39"/>
      <c r="AAZ115" s="39"/>
      <c r="ABA115" s="39"/>
      <c r="ABB115" s="39"/>
      <c r="ABC115" s="39"/>
      <c r="ABD115" s="39"/>
      <c r="ABE115" s="39"/>
      <c r="ABF115" s="39"/>
      <c r="ABG115" s="39"/>
      <c r="ABH115" s="39"/>
      <c r="ABI115" s="39"/>
      <c r="ABJ115" s="39"/>
      <c r="ABK115" s="39"/>
      <c r="ABL115" s="39"/>
      <c r="ABM115" s="39"/>
      <c r="ABN115" s="39"/>
      <c r="ABO115" s="39"/>
      <c r="ABP115" s="39"/>
      <c r="ABQ115" s="39"/>
      <c r="ABR115" s="39"/>
      <c r="ABS115" s="39"/>
      <c r="ABT115" s="39"/>
      <c r="ABU115" s="39"/>
      <c r="ABV115" s="39"/>
      <c r="ABW115" s="39"/>
      <c r="ABX115" s="39"/>
      <c r="ABY115" s="39"/>
      <c r="ABZ115" s="39"/>
      <c r="ACA115" s="39"/>
      <c r="ACB115" s="39"/>
      <c r="ACC115" s="39"/>
      <c r="ACD115" s="39"/>
      <c r="ACE115" s="39"/>
      <c r="ACF115" s="39"/>
      <c r="ACG115" s="39"/>
      <c r="ACH115" s="39"/>
      <c r="ACI115" s="39"/>
      <c r="ACJ115" s="39"/>
      <c r="ACK115" s="39"/>
      <c r="ACL115" s="39"/>
      <c r="ACM115" s="39"/>
      <c r="ACN115" s="39"/>
      <c r="ACO115" s="39"/>
      <c r="ACP115" s="39"/>
      <c r="ACQ115" s="39"/>
      <c r="ACR115" s="39"/>
      <c r="ACS115" s="39"/>
      <c r="ACT115" s="39"/>
      <c r="ACU115" s="39"/>
      <c r="ACV115" s="39"/>
      <c r="ACW115" s="39"/>
      <c r="ACX115" s="39"/>
      <c r="ACY115" s="39"/>
      <c r="ACZ115" s="39"/>
      <c r="ADA115" s="39"/>
      <c r="ADB115" s="39"/>
      <c r="ADC115" s="39"/>
      <c r="ADD115" s="39"/>
      <c r="ADE115" s="39"/>
      <c r="ADF115" s="39"/>
      <c r="ADG115" s="39"/>
      <c r="ADH115" s="39"/>
      <c r="ADI115" s="39"/>
      <c r="ADJ115" s="39"/>
      <c r="ADK115" s="39"/>
      <c r="ADL115" s="39"/>
      <c r="ADM115" s="39"/>
      <c r="ADN115" s="39"/>
      <c r="ADO115" s="39"/>
      <c r="ADP115" s="39"/>
      <c r="ADQ115" s="39"/>
      <c r="ADR115" s="39"/>
      <c r="ADS115" s="39"/>
      <c r="ADT115" s="39"/>
      <c r="ADU115" s="39"/>
      <c r="ADV115" s="39"/>
      <c r="ADW115" s="39"/>
      <c r="ADX115" s="39"/>
      <c r="ADY115" s="39"/>
      <c r="ADZ115" s="39"/>
      <c r="AEA115" s="39"/>
      <c r="AEB115" s="39"/>
      <c r="AEC115" s="39"/>
      <c r="AED115" s="39"/>
      <c r="AEE115" s="39"/>
      <c r="AEF115" s="39"/>
      <c r="AEG115" s="39"/>
      <c r="AEH115" s="39"/>
      <c r="AEI115" s="39"/>
      <c r="AEJ115" s="39"/>
      <c r="AEK115" s="39"/>
      <c r="AEL115" s="39"/>
      <c r="AEM115" s="39"/>
      <c r="AEN115" s="39"/>
      <c r="AEO115" s="39"/>
      <c r="AEP115" s="39"/>
      <c r="AEQ115" s="39"/>
      <c r="AER115" s="39"/>
      <c r="AES115" s="39"/>
      <c r="AET115" s="39"/>
      <c r="AEU115" s="39"/>
      <c r="AEV115" s="39"/>
      <c r="AEW115" s="39"/>
      <c r="AEX115" s="39"/>
      <c r="AEY115" s="39"/>
      <c r="AEZ115" s="39"/>
      <c r="AFA115" s="39"/>
      <c r="AFB115" s="39"/>
      <c r="AFC115" s="39"/>
      <c r="AFD115" s="39"/>
      <c r="AFE115" s="39"/>
      <c r="AFF115" s="39"/>
      <c r="AFG115" s="39"/>
      <c r="AFH115" s="39"/>
      <c r="AFI115" s="39"/>
      <c r="AFJ115" s="39"/>
      <c r="AFK115" s="39"/>
      <c r="AFL115" s="39"/>
      <c r="AFM115" s="39"/>
      <c r="AFN115" s="39"/>
      <c r="AFO115" s="39"/>
      <c r="AFP115" s="39"/>
      <c r="AFQ115" s="39"/>
      <c r="AFR115" s="39"/>
      <c r="AFS115" s="39"/>
      <c r="AFT115" s="39"/>
      <c r="AFU115" s="39"/>
      <c r="AFV115" s="39"/>
      <c r="AFW115" s="39"/>
      <c r="AFX115" s="39"/>
      <c r="AFY115" s="39"/>
      <c r="AFZ115" s="39"/>
      <c r="AGA115" s="39"/>
      <c r="AGB115" s="39"/>
      <c r="AGC115" s="39"/>
      <c r="AGD115" s="39"/>
      <c r="AGE115" s="39"/>
      <c r="AGF115" s="39"/>
      <c r="AGG115" s="39"/>
      <c r="AGH115" s="39"/>
      <c r="AGI115" s="39"/>
      <c r="AGJ115" s="39"/>
      <c r="AGK115" s="39"/>
      <c r="AGL115" s="39"/>
      <c r="AGM115" s="39"/>
      <c r="AGN115" s="39"/>
      <c r="AGO115" s="39"/>
      <c r="AGP115" s="39"/>
      <c r="AGQ115" s="39"/>
      <c r="AGR115" s="39"/>
      <c r="AGS115" s="39"/>
      <c r="AGT115" s="39"/>
      <c r="AGU115" s="39"/>
      <c r="AGV115" s="39"/>
      <c r="AGW115" s="39"/>
      <c r="AGX115" s="39"/>
      <c r="AGY115" s="39"/>
      <c r="AGZ115" s="39"/>
      <c r="AHA115" s="39"/>
      <c r="AHB115" s="39"/>
      <c r="AHC115" s="39"/>
      <c r="AHD115" s="39"/>
      <c r="AHE115" s="39"/>
      <c r="AHF115" s="39"/>
      <c r="AHG115" s="39"/>
      <c r="AHH115" s="39"/>
      <c r="AHI115" s="39"/>
      <c r="AHJ115" s="39"/>
      <c r="AHK115" s="39"/>
      <c r="AHL115" s="39"/>
      <c r="AHM115" s="39"/>
      <c r="AHN115" s="39"/>
      <c r="AHO115" s="39"/>
      <c r="AHP115" s="39"/>
      <c r="AHQ115" s="39"/>
      <c r="AHR115" s="39"/>
      <c r="AHS115" s="39"/>
      <c r="AHT115" s="39"/>
      <c r="AHU115" s="39"/>
      <c r="AHV115" s="39"/>
      <c r="AHW115" s="39"/>
      <c r="AHX115" s="39"/>
      <c r="AHY115" s="39"/>
      <c r="AHZ115" s="39"/>
      <c r="AIA115" s="39"/>
      <c r="AIB115" s="39"/>
      <c r="AIC115" s="39"/>
      <c r="AID115" s="39"/>
      <c r="AIE115" s="39"/>
      <c r="AIF115" s="39"/>
      <c r="AIG115" s="39"/>
      <c r="AIH115" s="39"/>
      <c r="AII115" s="39"/>
      <c r="AIJ115" s="39"/>
      <c r="AIK115" s="39"/>
      <c r="AIL115" s="39"/>
      <c r="AIM115" s="39"/>
      <c r="AIN115" s="39"/>
      <c r="AIO115" s="39"/>
      <c r="AIP115" s="39"/>
      <c r="AIQ115" s="39"/>
      <c r="AIR115" s="39"/>
      <c r="AIS115" s="39"/>
      <c r="AIT115" s="39"/>
      <c r="AIU115" s="39"/>
      <c r="AIV115" s="39"/>
      <c r="AIW115" s="39"/>
      <c r="AIX115" s="39"/>
      <c r="AIY115" s="39"/>
      <c r="AIZ115" s="39"/>
      <c r="AJA115" s="39"/>
      <c r="AJB115" s="39"/>
      <c r="AJC115" s="39"/>
      <c r="AJD115" s="39"/>
      <c r="AJE115" s="39"/>
      <c r="AJF115" s="39"/>
      <c r="AJG115" s="39"/>
      <c r="AJH115" s="39"/>
      <c r="AJI115" s="39"/>
      <c r="AJJ115" s="39"/>
      <c r="AJK115" s="39"/>
      <c r="AJL115" s="39"/>
      <c r="AJM115" s="39"/>
      <c r="AJN115" s="39"/>
      <c r="AJO115" s="39"/>
      <c r="AJP115" s="39"/>
      <c r="AJQ115" s="39"/>
      <c r="AJR115" s="39"/>
      <c r="AJS115" s="39"/>
      <c r="AJT115" s="39"/>
      <c r="AJU115" s="39"/>
      <c r="AJV115" s="39"/>
      <c r="AJW115" s="39"/>
      <c r="AJX115" s="39"/>
      <c r="AJY115" s="39"/>
      <c r="AJZ115" s="39"/>
      <c r="AKA115" s="39"/>
      <c r="AKB115" s="39"/>
      <c r="AKC115" s="39"/>
      <c r="AKD115" s="39"/>
      <c r="AKE115" s="39"/>
      <c r="AKF115" s="39"/>
      <c r="AKG115" s="39"/>
      <c r="AKH115" s="39"/>
      <c r="AKI115" s="39"/>
      <c r="AKJ115" s="39"/>
      <c r="AKK115" s="39"/>
      <c r="AKL115" s="39"/>
      <c r="AKM115" s="39"/>
      <c r="AKN115" s="39"/>
      <c r="AKO115" s="39"/>
      <c r="AKP115" s="39"/>
      <c r="AKQ115" s="39"/>
      <c r="AKR115" s="39"/>
      <c r="AKS115" s="39"/>
      <c r="AKT115" s="39"/>
      <c r="AKU115" s="39"/>
      <c r="AKV115" s="39"/>
      <c r="AKW115" s="39"/>
      <c r="AKX115" s="39"/>
      <c r="AKY115" s="39"/>
      <c r="AKZ115" s="39"/>
      <c r="ALA115" s="39"/>
      <c r="ALB115" s="39"/>
      <c r="ALC115" s="39"/>
      <c r="ALD115" s="39"/>
      <c r="ALE115" s="39"/>
      <c r="ALF115" s="39"/>
      <c r="ALG115" s="39"/>
      <c r="ALH115" s="39"/>
      <c r="ALI115" s="39"/>
      <c r="ALJ115" s="39"/>
      <c r="ALK115" s="39"/>
      <c r="ALL115" s="39"/>
      <c r="ALM115" s="39"/>
      <c r="ALN115" s="39"/>
      <c r="ALO115" s="39"/>
      <c r="ALP115" s="39"/>
      <c r="ALQ115" s="39"/>
      <c r="ALR115" s="39"/>
      <c r="ALS115" s="39"/>
      <c r="ALT115" s="39"/>
      <c r="ALU115" s="39"/>
      <c r="ALV115" s="39"/>
      <c r="ALW115" s="39"/>
      <c r="ALX115" s="39"/>
      <c r="ALY115" s="39"/>
      <c r="ALZ115" s="39"/>
    </row>
    <row r="116" spans="1:1014" ht="14.25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/>
      <c r="IQ116" s="39"/>
      <c r="IR116" s="39"/>
      <c r="IS116" s="39"/>
      <c r="IT116" s="39"/>
      <c r="IU116" s="39"/>
      <c r="IV116" s="39"/>
      <c r="IW116" s="39"/>
      <c r="IX116" s="39"/>
      <c r="IY116" s="39"/>
      <c r="IZ116" s="39"/>
      <c r="JA116" s="39"/>
      <c r="JB116" s="39"/>
      <c r="JC116" s="39"/>
      <c r="JD116" s="39"/>
      <c r="JE116" s="39"/>
      <c r="JF116" s="39"/>
      <c r="JG116" s="39"/>
      <c r="JH116" s="39"/>
      <c r="JI116" s="39"/>
      <c r="JJ116" s="39"/>
      <c r="JK116" s="39"/>
      <c r="JL116" s="39"/>
      <c r="JM116" s="39"/>
      <c r="JN116" s="39"/>
      <c r="JO116" s="39"/>
      <c r="JP116" s="39"/>
      <c r="JQ116" s="39"/>
      <c r="JR116" s="39"/>
      <c r="JS116" s="39"/>
      <c r="JT116" s="39"/>
      <c r="JU116" s="39"/>
      <c r="JV116" s="39"/>
      <c r="JW116" s="39"/>
      <c r="JX116" s="39"/>
      <c r="JY116" s="39"/>
      <c r="JZ116" s="39"/>
      <c r="KA116" s="39"/>
      <c r="KB116" s="39"/>
      <c r="KC116" s="39"/>
      <c r="KD116" s="39"/>
      <c r="KE116" s="39"/>
      <c r="KF116" s="39"/>
      <c r="KG116" s="39"/>
      <c r="KH116" s="39"/>
      <c r="KI116" s="39"/>
      <c r="KJ116" s="39"/>
      <c r="KK116" s="39"/>
      <c r="KL116" s="39"/>
      <c r="KM116" s="39"/>
      <c r="KN116" s="39"/>
      <c r="KO116" s="39"/>
      <c r="KP116" s="39"/>
      <c r="KQ116" s="39"/>
      <c r="KR116" s="39"/>
      <c r="KS116" s="39"/>
      <c r="KT116" s="39"/>
      <c r="KU116" s="39"/>
      <c r="KV116" s="39"/>
      <c r="KW116" s="39"/>
      <c r="KX116" s="39"/>
      <c r="KY116" s="39"/>
      <c r="KZ116" s="39"/>
      <c r="LA116" s="39"/>
      <c r="LB116" s="39"/>
      <c r="LC116" s="39"/>
      <c r="LD116" s="39"/>
      <c r="LE116" s="39"/>
      <c r="LF116" s="39"/>
      <c r="LG116" s="39"/>
      <c r="LH116" s="39"/>
      <c r="LI116" s="39"/>
      <c r="LJ116" s="39"/>
      <c r="LK116" s="39"/>
      <c r="LL116" s="39"/>
      <c r="LM116" s="39"/>
      <c r="LN116" s="39"/>
      <c r="LO116" s="39"/>
      <c r="LP116" s="39"/>
      <c r="LQ116" s="39"/>
      <c r="LR116" s="39"/>
      <c r="LS116" s="39"/>
      <c r="LT116" s="39"/>
      <c r="LU116" s="39"/>
      <c r="LV116" s="39"/>
      <c r="LW116" s="39"/>
      <c r="LX116" s="39"/>
      <c r="LY116" s="39"/>
      <c r="LZ116" s="39"/>
      <c r="MA116" s="39"/>
      <c r="MB116" s="39"/>
      <c r="MC116" s="39"/>
      <c r="MD116" s="39"/>
      <c r="ME116" s="39"/>
      <c r="MF116" s="39"/>
      <c r="MG116" s="39"/>
      <c r="MH116" s="39"/>
      <c r="MI116" s="39"/>
      <c r="MJ116" s="39"/>
      <c r="MK116" s="39"/>
      <c r="ML116" s="39"/>
      <c r="MM116" s="39"/>
      <c r="MN116" s="39"/>
      <c r="MO116" s="39"/>
      <c r="MP116" s="39"/>
      <c r="MQ116" s="39"/>
      <c r="MR116" s="39"/>
      <c r="MS116" s="39"/>
      <c r="MT116" s="39"/>
      <c r="MU116" s="39"/>
      <c r="MV116" s="39"/>
      <c r="MW116" s="39"/>
      <c r="MX116" s="39"/>
      <c r="MY116" s="39"/>
      <c r="MZ116" s="39"/>
      <c r="NA116" s="39"/>
      <c r="NB116" s="39"/>
      <c r="NC116" s="39"/>
      <c r="ND116" s="39"/>
      <c r="NE116" s="39"/>
      <c r="NF116" s="39"/>
      <c r="NG116" s="39"/>
      <c r="NH116" s="39"/>
      <c r="NI116" s="39"/>
      <c r="NJ116" s="39"/>
      <c r="NK116" s="39"/>
      <c r="NL116" s="39"/>
      <c r="NM116" s="39"/>
      <c r="NN116" s="39"/>
      <c r="NO116" s="39"/>
      <c r="NP116" s="39"/>
      <c r="NQ116" s="39"/>
      <c r="NR116" s="39"/>
      <c r="NS116" s="39"/>
      <c r="NT116" s="39"/>
      <c r="NU116" s="39"/>
      <c r="NV116" s="39"/>
      <c r="NW116" s="39"/>
      <c r="NX116" s="39"/>
      <c r="NY116" s="39"/>
      <c r="NZ116" s="39"/>
      <c r="OA116" s="39"/>
      <c r="OB116" s="39"/>
      <c r="OC116" s="39"/>
      <c r="OD116" s="39"/>
      <c r="OE116" s="39"/>
      <c r="OF116" s="39"/>
      <c r="OG116" s="39"/>
      <c r="OH116" s="39"/>
      <c r="OI116" s="39"/>
      <c r="OJ116" s="39"/>
      <c r="OK116" s="39"/>
      <c r="OL116" s="39"/>
      <c r="OM116" s="39"/>
      <c r="ON116" s="39"/>
      <c r="OO116" s="39"/>
      <c r="OP116" s="39"/>
      <c r="OQ116" s="39"/>
      <c r="OR116" s="39"/>
      <c r="OS116" s="39"/>
      <c r="OT116" s="39"/>
      <c r="OU116" s="39"/>
      <c r="OV116" s="39"/>
      <c r="OW116" s="39"/>
      <c r="OX116" s="39"/>
      <c r="OY116" s="39"/>
      <c r="OZ116" s="39"/>
      <c r="PA116" s="39"/>
      <c r="PB116" s="39"/>
      <c r="PC116" s="39"/>
      <c r="PD116" s="39"/>
      <c r="PE116" s="39"/>
      <c r="PF116" s="39"/>
      <c r="PG116" s="39"/>
      <c r="PH116" s="39"/>
      <c r="PI116" s="39"/>
      <c r="PJ116" s="39"/>
      <c r="PK116" s="39"/>
      <c r="PL116" s="39"/>
      <c r="PM116" s="39"/>
      <c r="PN116" s="39"/>
      <c r="PO116" s="39"/>
      <c r="PP116" s="39"/>
      <c r="PQ116" s="39"/>
      <c r="PR116" s="39"/>
      <c r="PS116" s="39"/>
      <c r="PT116" s="39"/>
      <c r="PU116" s="39"/>
      <c r="PV116" s="39"/>
      <c r="PW116" s="39"/>
      <c r="PX116" s="39"/>
      <c r="PY116" s="39"/>
      <c r="PZ116" s="39"/>
      <c r="QA116" s="39"/>
      <c r="QB116" s="39"/>
      <c r="QC116" s="39"/>
      <c r="QD116" s="39"/>
      <c r="QE116" s="39"/>
      <c r="QF116" s="39"/>
      <c r="QG116" s="39"/>
      <c r="QH116" s="39"/>
      <c r="QI116" s="39"/>
      <c r="QJ116" s="39"/>
      <c r="QK116" s="39"/>
      <c r="QL116" s="39"/>
      <c r="QM116" s="39"/>
      <c r="QN116" s="39"/>
      <c r="QO116" s="39"/>
      <c r="QP116" s="39"/>
      <c r="QQ116" s="39"/>
      <c r="QR116" s="39"/>
      <c r="QS116" s="39"/>
      <c r="QT116" s="39"/>
      <c r="QU116" s="39"/>
      <c r="QV116" s="39"/>
      <c r="QW116" s="39"/>
      <c r="QX116" s="39"/>
      <c r="QY116" s="39"/>
      <c r="QZ116" s="39"/>
      <c r="RA116" s="39"/>
      <c r="RB116" s="39"/>
      <c r="RC116" s="39"/>
      <c r="RD116" s="39"/>
      <c r="RE116" s="39"/>
      <c r="RF116" s="39"/>
      <c r="RG116" s="39"/>
      <c r="RH116" s="39"/>
      <c r="RI116" s="39"/>
      <c r="RJ116" s="39"/>
      <c r="RK116" s="39"/>
      <c r="RL116" s="39"/>
      <c r="RM116" s="39"/>
      <c r="RN116" s="39"/>
      <c r="RO116" s="39"/>
      <c r="RP116" s="39"/>
      <c r="RQ116" s="39"/>
      <c r="RR116" s="39"/>
      <c r="RS116" s="39"/>
      <c r="RT116" s="39"/>
      <c r="RU116" s="39"/>
      <c r="RV116" s="39"/>
      <c r="RW116" s="39"/>
      <c r="RX116" s="39"/>
      <c r="RY116" s="39"/>
      <c r="RZ116" s="39"/>
      <c r="SA116" s="39"/>
      <c r="SB116" s="39"/>
      <c r="SC116" s="39"/>
      <c r="SD116" s="39"/>
      <c r="SE116" s="39"/>
      <c r="SF116" s="39"/>
      <c r="SG116" s="39"/>
      <c r="SH116" s="39"/>
      <c r="SI116" s="39"/>
      <c r="SJ116" s="39"/>
      <c r="SK116" s="39"/>
      <c r="SL116" s="39"/>
      <c r="SM116" s="39"/>
      <c r="SN116" s="39"/>
      <c r="SO116" s="39"/>
      <c r="SP116" s="39"/>
      <c r="SQ116" s="39"/>
      <c r="SR116" s="39"/>
      <c r="SS116" s="39"/>
      <c r="ST116" s="39"/>
      <c r="SU116" s="39"/>
      <c r="SV116" s="39"/>
      <c r="SW116" s="39"/>
      <c r="SX116" s="39"/>
      <c r="SY116" s="39"/>
      <c r="SZ116" s="39"/>
      <c r="TA116" s="39"/>
      <c r="TB116" s="39"/>
      <c r="TC116" s="39"/>
      <c r="TD116" s="39"/>
      <c r="TE116" s="39"/>
      <c r="TF116" s="39"/>
      <c r="TG116" s="39"/>
      <c r="TH116" s="39"/>
      <c r="TI116" s="39"/>
      <c r="TJ116" s="39"/>
      <c r="TK116" s="39"/>
      <c r="TL116" s="39"/>
      <c r="TM116" s="39"/>
      <c r="TN116" s="39"/>
      <c r="TO116" s="39"/>
      <c r="TP116" s="39"/>
      <c r="TQ116" s="39"/>
      <c r="TR116" s="39"/>
      <c r="TS116" s="39"/>
      <c r="TT116" s="39"/>
      <c r="TU116" s="39"/>
      <c r="TV116" s="39"/>
      <c r="TW116" s="39"/>
      <c r="TX116" s="39"/>
      <c r="TY116" s="39"/>
      <c r="TZ116" s="39"/>
      <c r="UA116" s="39"/>
      <c r="UB116" s="39"/>
      <c r="UC116" s="39"/>
      <c r="UD116" s="39"/>
      <c r="UE116" s="39"/>
      <c r="UF116" s="39"/>
      <c r="UG116" s="39"/>
      <c r="UH116" s="39"/>
      <c r="UI116" s="39"/>
      <c r="UJ116" s="39"/>
      <c r="UK116" s="39"/>
      <c r="UL116" s="39"/>
      <c r="UM116" s="39"/>
      <c r="UN116" s="39"/>
      <c r="UO116" s="39"/>
      <c r="UP116" s="39"/>
      <c r="UQ116" s="39"/>
      <c r="UR116" s="39"/>
      <c r="US116" s="39"/>
      <c r="UT116" s="39"/>
      <c r="UU116" s="39"/>
      <c r="UV116" s="39"/>
      <c r="UW116" s="39"/>
      <c r="UX116" s="39"/>
      <c r="UY116" s="39"/>
      <c r="UZ116" s="39"/>
      <c r="VA116" s="39"/>
      <c r="VB116" s="39"/>
      <c r="VC116" s="39"/>
      <c r="VD116" s="39"/>
      <c r="VE116" s="39"/>
      <c r="VF116" s="39"/>
      <c r="VG116" s="39"/>
      <c r="VH116" s="39"/>
      <c r="VI116" s="39"/>
      <c r="VJ116" s="39"/>
      <c r="VK116" s="39"/>
      <c r="VL116" s="39"/>
      <c r="VM116" s="39"/>
      <c r="VN116" s="39"/>
      <c r="VO116" s="39"/>
      <c r="VP116" s="39"/>
      <c r="VQ116" s="39"/>
      <c r="VR116" s="39"/>
      <c r="VS116" s="39"/>
      <c r="VT116" s="39"/>
      <c r="VU116" s="39"/>
      <c r="VV116" s="39"/>
      <c r="VW116" s="39"/>
      <c r="VX116" s="39"/>
      <c r="VY116" s="39"/>
      <c r="VZ116" s="39"/>
      <c r="WA116" s="39"/>
      <c r="WB116" s="39"/>
      <c r="WC116" s="39"/>
      <c r="WD116" s="39"/>
      <c r="WE116" s="39"/>
      <c r="WF116" s="39"/>
      <c r="WG116" s="39"/>
      <c r="WH116" s="39"/>
      <c r="WI116" s="39"/>
      <c r="WJ116" s="39"/>
      <c r="WK116" s="39"/>
      <c r="WL116" s="39"/>
      <c r="WM116" s="39"/>
      <c r="WN116" s="39"/>
      <c r="WO116" s="39"/>
      <c r="WP116" s="39"/>
      <c r="WQ116" s="39"/>
      <c r="WR116" s="39"/>
      <c r="WS116" s="39"/>
      <c r="WT116" s="39"/>
      <c r="WU116" s="39"/>
      <c r="WV116" s="39"/>
      <c r="WW116" s="39"/>
      <c r="WX116" s="39"/>
      <c r="WY116" s="39"/>
      <c r="WZ116" s="39"/>
      <c r="XA116" s="39"/>
      <c r="XB116" s="39"/>
      <c r="XC116" s="39"/>
      <c r="XD116" s="39"/>
      <c r="XE116" s="39"/>
      <c r="XF116" s="39"/>
      <c r="XG116" s="39"/>
      <c r="XH116" s="39"/>
      <c r="XI116" s="39"/>
      <c r="XJ116" s="39"/>
      <c r="XK116" s="39"/>
      <c r="XL116" s="39"/>
      <c r="XM116" s="39"/>
      <c r="XN116" s="39"/>
      <c r="XO116" s="39"/>
      <c r="XP116" s="39"/>
      <c r="XQ116" s="39"/>
      <c r="XR116" s="39"/>
      <c r="XS116" s="39"/>
      <c r="XT116" s="39"/>
      <c r="XU116" s="39"/>
      <c r="XV116" s="39"/>
      <c r="XW116" s="39"/>
      <c r="XX116" s="39"/>
      <c r="XY116" s="39"/>
      <c r="XZ116" s="39"/>
      <c r="YA116" s="39"/>
      <c r="YB116" s="39"/>
      <c r="YC116" s="39"/>
      <c r="YD116" s="39"/>
      <c r="YE116" s="39"/>
      <c r="YF116" s="39"/>
      <c r="YG116" s="39"/>
      <c r="YH116" s="39"/>
      <c r="YI116" s="39"/>
      <c r="YJ116" s="39"/>
      <c r="YK116" s="39"/>
      <c r="YL116" s="39"/>
      <c r="YM116" s="39"/>
      <c r="YN116" s="39"/>
      <c r="YO116" s="39"/>
      <c r="YP116" s="39"/>
      <c r="YQ116" s="39"/>
      <c r="YR116" s="39"/>
      <c r="YS116" s="39"/>
      <c r="YT116" s="39"/>
      <c r="YU116" s="39"/>
      <c r="YV116" s="39"/>
      <c r="YW116" s="39"/>
      <c r="YX116" s="39"/>
      <c r="YY116" s="39"/>
      <c r="YZ116" s="39"/>
      <c r="ZA116" s="39"/>
      <c r="ZB116" s="39"/>
      <c r="ZC116" s="39"/>
      <c r="ZD116" s="39"/>
      <c r="ZE116" s="39"/>
      <c r="ZF116" s="39"/>
      <c r="ZG116" s="39"/>
      <c r="ZH116" s="39"/>
      <c r="ZI116" s="39"/>
      <c r="ZJ116" s="39"/>
      <c r="ZK116" s="39"/>
      <c r="ZL116" s="39"/>
      <c r="ZM116" s="39"/>
      <c r="ZN116" s="39"/>
      <c r="ZO116" s="39"/>
      <c r="ZP116" s="39"/>
      <c r="ZQ116" s="39"/>
      <c r="ZR116" s="39"/>
      <c r="ZS116" s="39"/>
      <c r="ZT116" s="39"/>
      <c r="ZU116" s="39"/>
      <c r="ZV116" s="39"/>
      <c r="ZW116" s="39"/>
      <c r="ZX116" s="39"/>
      <c r="ZY116" s="39"/>
      <c r="ZZ116" s="39"/>
      <c r="AAA116" s="39"/>
      <c r="AAB116" s="39"/>
      <c r="AAC116" s="39"/>
      <c r="AAD116" s="39"/>
      <c r="AAE116" s="39"/>
      <c r="AAF116" s="39"/>
      <c r="AAG116" s="39"/>
      <c r="AAH116" s="39"/>
      <c r="AAI116" s="39"/>
      <c r="AAJ116" s="39"/>
      <c r="AAK116" s="39"/>
      <c r="AAL116" s="39"/>
      <c r="AAM116" s="39"/>
      <c r="AAN116" s="39"/>
      <c r="AAO116" s="39"/>
      <c r="AAP116" s="39"/>
      <c r="AAQ116" s="39"/>
      <c r="AAR116" s="39"/>
      <c r="AAS116" s="39"/>
      <c r="AAT116" s="39"/>
      <c r="AAU116" s="39"/>
      <c r="AAV116" s="39"/>
      <c r="AAW116" s="39"/>
      <c r="AAX116" s="39"/>
      <c r="AAY116" s="39"/>
      <c r="AAZ116" s="39"/>
      <c r="ABA116" s="39"/>
      <c r="ABB116" s="39"/>
      <c r="ABC116" s="39"/>
      <c r="ABD116" s="39"/>
      <c r="ABE116" s="39"/>
      <c r="ABF116" s="39"/>
      <c r="ABG116" s="39"/>
      <c r="ABH116" s="39"/>
      <c r="ABI116" s="39"/>
      <c r="ABJ116" s="39"/>
      <c r="ABK116" s="39"/>
      <c r="ABL116" s="39"/>
      <c r="ABM116" s="39"/>
      <c r="ABN116" s="39"/>
      <c r="ABO116" s="39"/>
      <c r="ABP116" s="39"/>
      <c r="ABQ116" s="39"/>
      <c r="ABR116" s="39"/>
      <c r="ABS116" s="39"/>
      <c r="ABT116" s="39"/>
      <c r="ABU116" s="39"/>
      <c r="ABV116" s="39"/>
      <c r="ABW116" s="39"/>
      <c r="ABX116" s="39"/>
      <c r="ABY116" s="39"/>
      <c r="ABZ116" s="39"/>
      <c r="ACA116" s="39"/>
      <c r="ACB116" s="39"/>
      <c r="ACC116" s="39"/>
      <c r="ACD116" s="39"/>
      <c r="ACE116" s="39"/>
      <c r="ACF116" s="39"/>
      <c r="ACG116" s="39"/>
      <c r="ACH116" s="39"/>
      <c r="ACI116" s="39"/>
      <c r="ACJ116" s="39"/>
      <c r="ACK116" s="39"/>
      <c r="ACL116" s="39"/>
      <c r="ACM116" s="39"/>
      <c r="ACN116" s="39"/>
      <c r="ACO116" s="39"/>
      <c r="ACP116" s="39"/>
      <c r="ACQ116" s="39"/>
      <c r="ACR116" s="39"/>
      <c r="ACS116" s="39"/>
      <c r="ACT116" s="39"/>
      <c r="ACU116" s="39"/>
      <c r="ACV116" s="39"/>
      <c r="ACW116" s="39"/>
      <c r="ACX116" s="39"/>
      <c r="ACY116" s="39"/>
      <c r="ACZ116" s="39"/>
      <c r="ADA116" s="39"/>
      <c r="ADB116" s="39"/>
      <c r="ADC116" s="39"/>
      <c r="ADD116" s="39"/>
      <c r="ADE116" s="39"/>
      <c r="ADF116" s="39"/>
      <c r="ADG116" s="39"/>
      <c r="ADH116" s="39"/>
      <c r="ADI116" s="39"/>
      <c r="ADJ116" s="39"/>
      <c r="ADK116" s="39"/>
      <c r="ADL116" s="39"/>
      <c r="ADM116" s="39"/>
      <c r="ADN116" s="39"/>
      <c r="ADO116" s="39"/>
      <c r="ADP116" s="39"/>
      <c r="ADQ116" s="39"/>
      <c r="ADR116" s="39"/>
      <c r="ADS116" s="39"/>
      <c r="ADT116" s="39"/>
      <c r="ADU116" s="39"/>
      <c r="ADV116" s="39"/>
      <c r="ADW116" s="39"/>
      <c r="ADX116" s="39"/>
      <c r="ADY116" s="39"/>
      <c r="ADZ116" s="39"/>
      <c r="AEA116" s="39"/>
      <c r="AEB116" s="39"/>
      <c r="AEC116" s="39"/>
      <c r="AED116" s="39"/>
      <c r="AEE116" s="39"/>
      <c r="AEF116" s="39"/>
      <c r="AEG116" s="39"/>
      <c r="AEH116" s="39"/>
      <c r="AEI116" s="39"/>
      <c r="AEJ116" s="39"/>
      <c r="AEK116" s="39"/>
      <c r="AEL116" s="39"/>
      <c r="AEM116" s="39"/>
      <c r="AEN116" s="39"/>
      <c r="AEO116" s="39"/>
      <c r="AEP116" s="39"/>
      <c r="AEQ116" s="39"/>
      <c r="AER116" s="39"/>
      <c r="AES116" s="39"/>
      <c r="AET116" s="39"/>
      <c r="AEU116" s="39"/>
      <c r="AEV116" s="39"/>
      <c r="AEW116" s="39"/>
      <c r="AEX116" s="39"/>
      <c r="AEY116" s="39"/>
      <c r="AEZ116" s="39"/>
      <c r="AFA116" s="39"/>
      <c r="AFB116" s="39"/>
      <c r="AFC116" s="39"/>
      <c r="AFD116" s="39"/>
      <c r="AFE116" s="39"/>
      <c r="AFF116" s="39"/>
      <c r="AFG116" s="39"/>
      <c r="AFH116" s="39"/>
      <c r="AFI116" s="39"/>
      <c r="AFJ116" s="39"/>
      <c r="AFK116" s="39"/>
      <c r="AFL116" s="39"/>
      <c r="AFM116" s="39"/>
      <c r="AFN116" s="39"/>
      <c r="AFO116" s="39"/>
      <c r="AFP116" s="39"/>
      <c r="AFQ116" s="39"/>
      <c r="AFR116" s="39"/>
      <c r="AFS116" s="39"/>
      <c r="AFT116" s="39"/>
      <c r="AFU116" s="39"/>
      <c r="AFV116" s="39"/>
      <c r="AFW116" s="39"/>
      <c r="AFX116" s="39"/>
      <c r="AFY116" s="39"/>
      <c r="AFZ116" s="39"/>
      <c r="AGA116" s="39"/>
      <c r="AGB116" s="39"/>
      <c r="AGC116" s="39"/>
      <c r="AGD116" s="39"/>
      <c r="AGE116" s="39"/>
      <c r="AGF116" s="39"/>
      <c r="AGG116" s="39"/>
      <c r="AGH116" s="39"/>
      <c r="AGI116" s="39"/>
      <c r="AGJ116" s="39"/>
      <c r="AGK116" s="39"/>
      <c r="AGL116" s="39"/>
      <c r="AGM116" s="39"/>
      <c r="AGN116" s="39"/>
      <c r="AGO116" s="39"/>
      <c r="AGP116" s="39"/>
      <c r="AGQ116" s="39"/>
      <c r="AGR116" s="39"/>
      <c r="AGS116" s="39"/>
      <c r="AGT116" s="39"/>
      <c r="AGU116" s="39"/>
      <c r="AGV116" s="39"/>
      <c r="AGW116" s="39"/>
      <c r="AGX116" s="39"/>
      <c r="AGY116" s="39"/>
      <c r="AGZ116" s="39"/>
      <c r="AHA116" s="39"/>
      <c r="AHB116" s="39"/>
      <c r="AHC116" s="39"/>
      <c r="AHD116" s="39"/>
      <c r="AHE116" s="39"/>
      <c r="AHF116" s="39"/>
      <c r="AHG116" s="39"/>
      <c r="AHH116" s="39"/>
      <c r="AHI116" s="39"/>
      <c r="AHJ116" s="39"/>
      <c r="AHK116" s="39"/>
      <c r="AHL116" s="39"/>
      <c r="AHM116" s="39"/>
      <c r="AHN116" s="39"/>
      <c r="AHO116" s="39"/>
      <c r="AHP116" s="39"/>
      <c r="AHQ116" s="39"/>
      <c r="AHR116" s="39"/>
      <c r="AHS116" s="39"/>
      <c r="AHT116" s="39"/>
      <c r="AHU116" s="39"/>
      <c r="AHV116" s="39"/>
      <c r="AHW116" s="39"/>
      <c r="AHX116" s="39"/>
      <c r="AHY116" s="39"/>
      <c r="AHZ116" s="39"/>
      <c r="AIA116" s="39"/>
      <c r="AIB116" s="39"/>
      <c r="AIC116" s="39"/>
      <c r="AID116" s="39"/>
      <c r="AIE116" s="39"/>
      <c r="AIF116" s="39"/>
      <c r="AIG116" s="39"/>
      <c r="AIH116" s="39"/>
      <c r="AII116" s="39"/>
      <c r="AIJ116" s="39"/>
      <c r="AIK116" s="39"/>
      <c r="AIL116" s="39"/>
      <c r="AIM116" s="39"/>
      <c r="AIN116" s="39"/>
      <c r="AIO116" s="39"/>
      <c r="AIP116" s="39"/>
      <c r="AIQ116" s="39"/>
      <c r="AIR116" s="39"/>
      <c r="AIS116" s="39"/>
      <c r="AIT116" s="39"/>
      <c r="AIU116" s="39"/>
      <c r="AIV116" s="39"/>
      <c r="AIW116" s="39"/>
      <c r="AIX116" s="39"/>
      <c r="AIY116" s="39"/>
      <c r="AIZ116" s="39"/>
      <c r="AJA116" s="39"/>
      <c r="AJB116" s="39"/>
      <c r="AJC116" s="39"/>
      <c r="AJD116" s="39"/>
      <c r="AJE116" s="39"/>
      <c r="AJF116" s="39"/>
      <c r="AJG116" s="39"/>
      <c r="AJH116" s="39"/>
      <c r="AJI116" s="39"/>
      <c r="AJJ116" s="39"/>
      <c r="AJK116" s="39"/>
      <c r="AJL116" s="39"/>
      <c r="AJM116" s="39"/>
      <c r="AJN116" s="39"/>
      <c r="AJO116" s="39"/>
      <c r="AJP116" s="39"/>
      <c r="AJQ116" s="39"/>
      <c r="AJR116" s="39"/>
      <c r="AJS116" s="39"/>
      <c r="AJT116" s="39"/>
      <c r="AJU116" s="39"/>
      <c r="AJV116" s="39"/>
      <c r="AJW116" s="39"/>
      <c r="AJX116" s="39"/>
      <c r="AJY116" s="39"/>
      <c r="AJZ116" s="39"/>
      <c r="AKA116" s="39"/>
      <c r="AKB116" s="39"/>
      <c r="AKC116" s="39"/>
      <c r="AKD116" s="39"/>
      <c r="AKE116" s="39"/>
      <c r="AKF116" s="39"/>
      <c r="AKG116" s="39"/>
      <c r="AKH116" s="39"/>
      <c r="AKI116" s="39"/>
      <c r="AKJ116" s="39"/>
      <c r="AKK116" s="39"/>
      <c r="AKL116" s="39"/>
      <c r="AKM116" s="39"/>
      <c r="AKN116" s="39"/>
      <c r="AKO116" s="39"/>
      <c r="AKP116" s="39"/>
      <c r="AKQ116" s="39"/>
      <c r="AKR116" s="39"/>
      <c r="AKS116" s="39"/>
      <c r="AKT116" s="39"/>
      <c r="AKU116" s="39"/>
      <c r="AKV116" s="39"/>
      <c r="AKW116" s="39"/>
      <c r="AKX116" s="39"/>
      <c r="AKY116" s="39"/>
      <c r="AKZ116" s="39"/>
      <c r="ALA116" s="39"/>
      <c r="ALB116" s="39"/>
      <c r="ALC116" s="39"/>
      <c r="ALD116" s="39"/>
      <c r="ALE116" s="39"/>
      <c r="ALF116" s="39"/>
      <c r="ALG116" s="39"/>
      <c r="ALH116" s="39"/>
      <c r="ALI116" s="39"/>
      <c r="ALJ116" s="39"/>
      <c r="ALK116" s="39"/>
      <c r="ALL116" s="39"/>
      <c r="ALM116" s="39"/>
      <c r="ALN116" s="39"/>
      <c r="ALO116" s="39"/>
      <c r="ALP116" s="39"/>
      <c r="ALQ116" s="39"/>
      <c r="ALR116" s="39"/>
      <c r="ALS116" s="39"/>
      <c r="ALT116" s="39"/>
      <c r="ALU116" s="39"/>
      <c r="ALV116" s="39"/>
      <c r="ALW116" s="39"/>
      <c r="ALX116" s="39"/>
      <c r="ALY116" s="39"/>
      <c r="ALZ116" s="39"/>
    </row>
    <row r="117" spans="1:1014" ht="14.25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  <c r="IP117" s="39"/>
      <c r="IQ117" s="39"/>
      <c r="IR117" s="39"/>
      <c r="IS117" s="39"/>
      <c r="IT117" s="39"/>
      <c r="IU117" s="39"/>
      <c r="IV117" s="39"/>
      <c r="IW117" s="39"/>
      <c r="IX117" s="39"/>
      <c r="IY117" s="39"/>
      <c r="IZ117" s="39"/>
      <c r="JA117" s="39"/>
      <c r="JB117" s="39"/>
      <c r="JC117" s="39"/>
      <c r="JD117" s="39"/>
      <c r="JE117" s="39"/>
      <c r="JF117" s="39"/>
      <c r="JG117" s="39"/>
      <c r="JH117" s="39"/>
      <c r="JI117" s="39"/>
      <c r="JJ117" s="39"/>
      <c r="JK117" s="39"/>
      <c r="JL117" s="39"/>
      <c r="JM117" s="39"/>
      <c r="JN117" s="39"/>
      <c r="JO117" s="39"/>
      <c r="JP117" s="39"/>
      <c r="JQ117" s="39"/>
      <c r="JR117" s="39"/>
      <c r="JS117" s="39"/>
      <c r="JT117" s="39"/>
      <c r="JU117" s="39"/>
      <c r="JV117" s="39"/>
      <c r="JW117" s="39"/>
      <c r="JX117" s="39"/>
      <c r="JY117" s="39"/>
      <c r="JZ117" s="39"/>
      <c r="KA117" s="39"/>
      <c r="KB117" s="39"/>
      <c r="KC117" s="39"/>
      <c r="KD117" s="39"/>
      <c r="KE117" s="39"/>
      <c r="KF117" s="39"/>
      <c r="KG117" s="39"/>
      <c r="KH117" s="39"/>
      <c r="KI117" s="39"/>
      <c r="KJ117" s="39"/>
      <c r="KK117" s="39"/>
      <c r="KL117" s="39"/>
      <c r="KM117" s="39"/>
      <c r="KN117" s="39"/>
      <c r="KO117" s="39"/>
      <c r="KP117" s="39"/>
      <c r="KQ117" s="39"/>
      <c r="KR117" s="39"/>
      <c r="KS117" s="39"/>
      <c r="KT117" s="39"/>
      <c r="KU117" s="39"/>
      <c r="KV117" s="39"/>
      <c r="KW117" s="39"/>
      <c r="KX117" s="39"/>
      <c r="KY117" s="39"/>
      <c r="KZ117" s="39"/>
      <c r="LA117" s="39"/>
      <c r="LB117" s="39"/>
      <c r="LC117" s="39"/>
      <c r="LD117" s="39"/>
      <c r="LE117" s="39"/>
      <c r="LF117" s="39"/>
      <c r="LG117" s="39"/>
      <c r="LH117" s="39"/>
      <c r="LI117" s="39"/>
      <c r="LJ117" s="39"/>
      <c r="LK117" s="39"/>
      <c r="LL117" s="39"/>
      <c r="LM117" s="39"/>
      <c r="LN117" s="39"/>
      <c r="LO117" s="39"/>
      <c r="LP117" s="39"/>
      <c r="LQ117" s="39"/>
      <c r="LR117" s="39"/>
      <c r="LS117" s="39"/>
      <c r="LT117" s="39"/>
      <c r="LU117" s="39"/>
      <c r="LV117" s="39"/>
      <c r="LW117" s="39"/>
      <c r="LX117" s="39"/>
      <c r="LY117" s="39"/>
      <c r="LZ117" s="39"/>
      <c r="MA117" s="39"/>
      <c r="MB117" s="39"/>
      <c r="MC117" s="39"/>
      <c r="MD117" s="39"/>
      <c r="ME117" s="39"/>
      <c r="MF117" s="39"/>
      <c r="MG117" s="39"/>
      <c r="MH117" s="39"/>
      <c r="MI117" s="39"/>
      <c r="MJ117" s="39"/>
      <c r="MK117" s="39"/>
      <c r="ML117" s="39"/>
      <c r="MM117" s="39"/>
      <c r="MN117" s="39"/>
      <c r="MO117" s="39"/>
      <c r="MP117" s="39"/>
      <c r="MQ117" s="39"/>
      <c r="MR117" s="39"/>
      <c r="MS117" s="39"/>
      <c r="MT117" s="39"/>
      <c r="MU117" s="39"/>
      <c r="MV117" s="39"/>
      <c r="MW117" s="39"/>
      <c r="MX117" s="39"/>
      <c r="MY117" s="39"/>
      <c r="MZ117" s="39"/>
      <c r="NA117" s="39"/>
      <c r="NB117" s="39"/>
      <c r="NC117" s="39"/>
      <c r="ND117" s="39"/>
      <c r="NE117" s="39"/>
      <c r="NF117" s="39"/>
      <c r="NG117" s="39"/>
      <c r="NH117" s="39"/>
      <c r="NI117" s="39"/>
      <c r="NJ117" s="39"/>
      <c r="NK117" s="39"/>
      <c r="NL117" s="39"/>
      <c r="NM117" s="39"/>
      <c r="NN117" s="39"/>
      <c r="NO117" s="39"/>
      <c r="NP117" s="39"/>
      <c r="NQ117" s="39"/>
      <c r="NR117" s="39"/>
      <c r="NS117" s="39"/>
      <c r="NT117" s="39"/>
      <c r="NU117" s="39"/>
      <c r="NV117" s="39"/>
      <c r="NW117" s="39"/>
      <c r="NX117" s="39"/>
      <c r="NY117" s="39"/>
      <c r="NZ117" s="39"/>
      <c r="OA117" s="39"/>
      <c r="OB117" s="39"/>
      <c r="OC117" s="39"/>
      <c r="OD117" s="39"/>
      <c r="OE117" s="39"/>
      <c r="OF117" s="39"/>
      <c r="OG117" s="39"/>
      <c r="OH117" s="39"/>
      <c r="OI117" s="39"/>
      <c r="OJ117" s="39"/>
      <c r="OK117" s="39"/>
      <c r="OL117" s="39"/>
      <c r="OM117" s="39"/>
      <c r="ON117" s="39"/>
      <c r="OO117" s="39"/>
      <c r="OP117" s="39"/>
      <c r="OQ117" s="39"/>
      <c r="OR117" s="39"/>
      <c r="OS117" s="39"/>
      <c r="OT117" s="39"/>
      <c r="OU117" s="39"/>
      <c r="OV117" s="39"/>
      <c r="OW117" s="39"/>
      <c r="OX117" s="39"/>
      <c r="OY117" s="39"/>
      <c r="OZ117" s="39"/>
      <c r="PA117" s="39"/>
      <c r="PB117" s="39"/>
      <c r="PC117" s="39"/>
      <c r="PD117" s="39"/>
      <c r="PE117" s="39"/>
      <c r="PF117" s="39"/>
      <c r="PG117" s="39"/>
      <c r="PH117" s="39"/>
      <c r="PI117" s="39"/>
      <c r="PJ117" s="39"/>
      <c r="PK117" s="39"/>
      <c r="PL117" s="39"/>
      <c r="PM117" s="39"/>
      <c r="PN117" s="39"/>
      <c r="PO117" s="39"/>
      <c r="PP117" s="39"/>
      <c r="PQ117" s="39"/>
      <c r="PR117" s="39"/>
      <c r="PS117" s="39"/>
      <c r="PT117" s="39"/>
      <c r="PU117" s="39"/>
      <c r="PV117" s="39"/>
      <c r="PW117" s="39"/>
      <c r="PX117" s="39"/>
      <c r="PY117" s="39"/>
      <c r="PZ117" s="39"/>
      <c r="QA117" s="39"/>
      <c r="QB117" s="39"/>
      <c r="QC117" s="39"/>
      <c r="QD117" s="39"/>
      <c r="QE117" s="39"/>
      <c r="QF117" s="39"/>
      <c r="QG117" s="39"/>
      <c r="QH117" s="39"/>
      <c r="QI117" s="39"/>
      <c r="QJ117" s="39"/>
      <c r="QK117" s="39"/>
      <c r="QL117" s="39"/>
      <c r="QM117" s="39"/>
      <c r="QN117" s="39"/>
      <c r="QO117" s="39"/>
      <c r="QP117" s="39"/>
      <c r="QQ117" s="39"/>
      <c r="QR117" s="39"/>
      <c r="QS117" s="39"/>
      <c r="QT117" s="39"/>
      <c r="QU117" s="39"/>
      <c r="QV117" s="39"/>
      <c r="QW117" s="39"/>
      <c r="QX117" s="39"/>
      <c r="QY117" s="39"/>
      <c r="QZ117" s="39"/>
      <c r="RA117" s="39"/>
      <c r="RB117" s="39"/>
      <c r="RC117" s="39"/>
      <c r="RD117" s="39"/>
      <c r="RE117" s="39"/>
      <c r="RF117" s="39"/>
      <c r="RG117" s="39"/>
      <c r="RH117" s="39"/>
      <c r="RI117" s="39"/>
      <c r="RJ117" s="39"/>
      <c r="RK117" s="39"/>
      <c r="RL117" s="39"/>
      <c r="RM117" s="39"/>
      <c r="RN117" s="39"/>
      <c r="RO117" s="39"/>
      <c r="RP117" s="39"/>
      <c r="RQ117" s="39"/>
      <c r="RR117" s="39"/>
      <c r="RS117" s="39"/>
      <c r="RT117" s="39"/>
      <c r="RU117" s="39"/>
      <c r="RV117" s="39"/>
      <c r="RW117" s="39"/>
      <c r="RX117" s="39"/>
      <c r="RY117" s="39"/>
      <c r="RZ117" s="39"/>
      <c r="SA117" s="39"/>
      <c r="SB117" s="39"/>
      <c r="SC117" s="39"/>
      <c r="SD117" s="39"/>
      <c r="SE117" s="39"/>
      <c r="SF117" s="39"/>
      <c r="SG117" s="39"/>
      <c r="SH117" s="39"/>
      <c r="SI117" s="39"/>
      <c r="SJ117" s="39"/>
      <c r="SK117" s="39"/>
      <c r="SL117" s="39"/>
      <c r="SM117" s="39"/>
      <c r="SN117" s="39"/>
      <c r="SO117" s="39"/>
      <c r="SP117" s="39"/>
      <c r="SQ117" s="39"/>
      <c r="SR117" s="39"/>
      <c r="SS117" s="39"/>
      <c r="ST117" s="39"/>
      <c r="SU117" s="39"/>
      <c r="SV117" s="39"/>
      <c r="SW117" s="39"/>
      <c r="SX117" s="39"/>
      <c r="SY117" s="39"/>
      <c r="SZ117" s="39"/>
      <c r="TA117" s="39"/>
      <c r="TB117" s="39"/>
      <c r="TC117" s="39"/>
      <c r="TD117" s="39"/>
      <c r="TE117" s="39"/>
      <c r="TF117" s="39"/>
      <c r="TG117" s="39"/>
      <c r="TH117" s="39"/>
      <c r="TI117" s="39"/>
      <c r="TJ117" s="39"/>
      <c r="TK117" s="39"/>
      <c r="TL117" s="39"/>
      <c r="TM117" s="39"/>
      <c r="TN117" s="39"/>
      <c r="TO117" s="39"/>
      <c r="TP117" s="39"/>
      <c r="TQ117" s="39"/>
      <c r="TR117" s="39"/>
      <c r="TS117" s="39"/>
      <c r="TT117" s="39"/>
      <c r="TU117" s="39"/>
      <c r="TV117" s="39"/>
      <c r="TW117" s="39"/>
      <c r="TX117" s="39"/>
      <c r="TY117" s="39"/>
      <c r="TZ117" s="39"/>
      <c r="UA117" s="39"/>
      <c r="UB117" s="39"/>
      <c r="UC117" s="39"/>
      <c r="UD117" s="39"/>
      <c r="UE117" s="39"/>
      <c r="UF117" s="39"/>
      <c r="UG117" s="39"/>
      <c r="UH117" s="39"/>
      <c r="UI117" s="39"/>
      <c r="UJ117" s="39"/>
      <c r="UK117" s="39"/>
      <c r="UL117" s="39"/>
      <c r="UM117" s="39"/>
      <c r="UN117" s="39"/>
      <c r="UO117" s="39"/>
      <c r="UP117" s="39"/>
      <c r="UQ117" s="39"/>
      <c r="UR117" s="39"/>
      <c r="US117" s="39"/>
      <c r="UT117" s="39"/>
      <c r="UU117" s="39"/>
      <c r="UV117" s="39"/>
      <c r="UW117" s="39"/>
      <c r="UX117" s="39"/>
      <c r="UY117" s="39"/>
      <c r="UZ117" s="39"/>
      <c r="VA117" s="39"/>
      <c r="VB117" s="39"/>
      <c r="VC117" s="39"/>
      <c r="VD117" s="39"/>
      <c r="VE117" s="39"/>
      <c r="VF117" s="39"/>
      <c r="VG117" s="39"/>
      <c r="VH117" s="39"/>
      <c r="VI117" s="39"/>
      <c r="VJ117" s="39"/>
      <c r="VK117" s="39"/>
      <c r="VL117" s="39"/>
      <c r="VM117" s="39"/>
      <c r="VN117" s="39"/>
      <c r="VO117" s="39"/>
      <c r="VP117" s="39"/>
      <c r="VQ117" s="39"/>
      <c r="VR117" s="39"/>
      <c r="VS117" s="39"/>
      <c r="VT117" s="39"/>
      <c r="VU117" s="39"/>
      <c r="VV117" s="39"/>
      <c r="VW117" s="39"/>
      <c r="VX117" s="39"/>
      <c r="VY117" s="39"/>
      <c r="VZ117" s="39"/>
      <c r="WA117" s="39"/>
      <c r="WB117" s="39"/>
      <c r="WC117" s="39"/>
      <c r="WD117" s="39"/>
      <c r="WE117" s="39"/>
      <c r="WF117" s="39"/>
      <c r="WG117" s="39"/>
      <c r="WH117" s="39"/>
      <c r="WI117" s="39"/>
      <c r="WJ117" s="39"/>
      <c r="WK117" s="39"/>
      <c r="WL117" s="39"/>
      <c r="WM117" s="39"/>
      <c r="WN117" s="39"/>
      <c r="WO117" s="39"/>
      <c r="WP117" s="39"/>
      <c r="WQ117" s="39"/>
      <c r="WR117" s="39"/>
      <c r="WS117" s="39"/>
      <c r="WT117" s="39"/>
      <c r="WU117" s="39"/>
      <c r="WV117" s="39"/>
      <c r="WW117" s="39"/>
      <c r="WX117" s="39"/>
      <c r="WY117" s="39"/>
      <c r="WZ117" s="39"/>
      <c r="XA117" s="39"/>
      <c r="XB117" s="39"/>
      <c r="XC117" s="39"/>
      <c r="XD117" s="39"/>
      <c r="XE117" s="39"/>
      <c r="XF117" s="39"/>
      <c r="XG117" s="39"/>
      <c r="XH117" s="39"/>
      <c r="XI117" s="39"/>
      <c r="XJ117" s="39"/>
      <c r="XK117" s="39"/>
      <c r="XL117" s="39"/>
      <c r="XM117" s="39"/>
      <c r="XN117" s="39"/>
      <c r="XO117" s="39"/>
      <c r="XP117" s="39"/>
      <c r="XQ117" s="39"/>
      <c r="XR117" s="39"/>
      <c r="XS117" s="39"/>
      <c r="XT117" s="39"/>
      <c r="XU117" s="39"/>
      <c r="XV117" s="39"/>
      <c r="XW117" s="39"/>
      <c r="XX117" s="39"/>
      <c r="XY117" s="39"/>
      <c r="XZ117" s="39"/>
      <c r="YA117" s="39"/>
      <c r="YB117" s="39"/>
      <c r="YC117" s="39"/>
      <c r="YD117" s="39"/>
      <c r="YE117" s="39"/>
      <c r="YF117" s="39"/>
      <c r="YG117" s="39"/>
      <c r="YH117" s="39"/>
      <c r="YI117" s="39"/>
      <c r="YJ117" s="39"/>
      <c r="YK117" s="39"/>
      <c r="YL117" s="39"/>
      <c r="YM117" s="39"/>
      <c r="YN117" s="39"/>
      <c r="YO117" s="39"/>
      <c r="YP117" s="39"/>
      <c r="YQ117" s="39"/>
      <c r="YR117" s="39"/>
      <c r="YS117" s="39"/>
      <c r="YT117" s="39"/>
      <c r="YU117" s="39"/>
      <c r="YV117" s="39"/>
      <c r="YW117" s="39"/>
      <c r="YX117" s="39"/>
      <c r="YY117" s="39"/>
      <c r="YZ117" s="39"/>
      <c r="ZA117" s="39"/>
      <c r="ZB117" s="39"/>
      <c r="ZC117" s="39"/>
      <c r="ZD117" s="39"/>
      <c r="ZE117" s="39"/>
      <c r="ZF117" s="39"/>
      <c r="ZG117" s="39"/>
      <c r="ZH117" s="39"/>
      <c r="ZI117" s="39"/>
      <c r="ZJ117" s="39"/>
      <c r="ZK117" s="39"/>
      <c r="ZL117" s="39"/>
      <c r="ZM117" s="39"/>
      <c r="ZN117" s="39"/>
      <c r="ZO117" s="39"/>
      <c r="ZP117" s="39"/>
      <c r="ZQ117" s="39"/>
      <c r="ZR117" s="39"/>
      <c r="ZS117" s="39"/>
      <c r="ZT117" s="39"/>
      <c r="ZU117" s="39"/>
      <c r="ZV117" s="39"/>
      <c r="ZW117" s="39"/>
      <c r="ZX117" s="39"/>
      <c r="ZY117" s="39"/>
      <c r="ZZ117" s="39"/>
      <c r="AAA117" s="39"/>
      <c r="AAB117" s="39"/>
      <c r="AAC117" s="39"/>
      <c r="AAD117" s="39"/>
      <c r="AAE117" s="39"/>
      <c r="AAF117" s="39"/>
      <c r="AAG117" s="39"/>
      <c r="AAH117" s="39"/>
      <c r="AAI117" s="39"/>
      <c r="AAJ117" s="39"/>
      <c r="AAK117" s="39"/>
      <c r="AAL117" s="39"/>
      <c r="AAM117" s="39"/>
      <c r="AAN117" s="39"/>
      <c r="AAO117" s="39"/>
      <c r="AAP117" s="39"/>
      <c r="AAQ117" s="39"/>
      <c r="AAR117" s="39"/>
      <c r="AAS117" s="39"/>
      <c r="AAT117" s="39"/>
      <c r="AAU117" s="39"/>
      <c r="AAV117" s="39"/>
      <c r="AAW117" s="39"/>
      <c r="AAX117" s="39"/>
      <c r="AAY117" s="39"/>
      <c r="AAZ117" s="39"/>
      <c r="ABA117" s="39"/>
      <c r="ABB117" s="39"/>
      <c r="ABC117" s="39"/>
      <c r="ABD117" s="39"/>
      <c r="ABE117" s="39"/>
      <c r="ABF117" s="39"/>
      <c r="ABG117" s="39"/>
      <c r="ABH117" s="39"/>
      <c r="ABI117" s="39"/>
      <c r="ABJ117" s="39"/>
      <c r="ABK117" s="39"/>
      <c r="ABL117" s="39"/>
      <c r="ABM117" s="39"/>
      <c r="ABN117" s="39"/>
      <c r="ABO117" s="39"/>
      <c r="ABP117" s="39"/>
      <c r="ABQ117" s="39"/>
      <c r="ABR117" s="39"/>
      <c r="ABS117" s="39"/>
      <c r="ABT117" s="39"/>
      <c r="ABU117" s="39"/>
      <c r="ABV117" s="39"/>
      <c r="ABW117" s="39"/>
      <c r="ABX117" s="39"/>
      <c r="ABY117" s="39"/>
      <c r="ABZ117" s="39"/>
      <c r="ACA117" s="39"/>
      <c r="ACB117" s="39"/>
      <c r="ACC117" s="39"/>
      <c r="ACD117" s="39"/>
      <c r="ACE117" s="39"/>
      <c r="ACF117" s="39"/>
      <c r="ACG117" s="39"/>
      <c r="ACH117" s="39"/>
      <c r="ACI117" s="39"/>
      <c r="ACJ117" s="39"/>
      <c r="ACK117" s="39"/>
      <c r="ACL117" s="39"/>
      <c r="ACM117" s="39"/>
      <c r="ACN117" s="39"/>
      <c r="ACO117" s="39"/>
      <c r="ACP117" s="39"/>
      <c r="ACQ117" s="39"/>
      <c r="ACR117" s="39"/>
      <c r="ACS117" s="39"/>
      <c r="ACT117" s="39"/>
      <c r="ACU117" s="39"/>
      <c r="ACV117" s="39"/>
      <c r="ACW117" s="39"/>
      <c r="ACX117" s="39"/>
      <c r="ACY117" s="39"/>
      <c r="ACZ117" s="39"/>
      <c r="ADA117" s="39"/>
      <c r="ADB117" s="39"/>
      <c r="ADC117" s="39"/>
      <c r="ADD117" s="39"/>
      <c r="ADE117" s="39"/>
      <c r="ADF117" s="39"/>
      <c r="ADG117" s="39"/>
      <c r="ADH117" s="39"/>
      <c r="ADI117" s="39"/>
      <c r="ADJ117" s="39"/>
      <c r="ADK117" s="39"/>
      <c r="ADL117" s="39"/>
      <c r="ADM117" s="39"/>
      <c r="ADN117" s="39"/>
      <c r="ADO117" s="39"/>
      <c r="ADP117" s="39"/>
      <c r="ADQ117" s="39"/>
      <c r="ADR117" s="39"/>
      <c r="ADS117" s="39"/>
      <c r="ADT117" s="39"/>
      <c r="ADU117" s="39"/>
      <c r="ADV117" s="39"/>
      <c r="ADW117" s="39"/>
      <c r="ADX117" s="39"/>
      <c r="ADY117" s="39"/>
      <c r="ADZ117" s="39"/>
      <c r="AEA117" s="39"/>
      <c r="AEB117" s="39"/>
      <c r="AEC117" s="39"/>
      <c r="AED117" s="39"/>
      <c r="AEE117" s="39"/>
      <c r="AEF117" s="39"/>
      <c r="AEG117" s="39"/>
      <c r="AEH117" s="39"/>
      <c r="AEI117" s="39"/>
      <c r="AEJ117" s="39"/>
      <c r="AEK117" s="39"/>
      <c r="AEL117" s="39"/>
      <c r="AEM117" s="39"/>
      <c r="AEN117" s="39"/>
      <c r="AEO117" s="39"/>
      <c r="AEP117" s="39"/>
      <c r="AEQ117" s="39"/>
      <c r="AER117" s="39"/>
      <c r="AES117" s="39"/>
      <c r="AET117" s="39"/>
      <c r="AEU117" s="39"/>
      <c r="AEV117" s="39"/>
      <c r="AEW117" s="39"/>
      <c r="AEX117" s="39"/>
      <c r="AEY117" s="39"/>
      <c r="AEZ117" s="39"/>
      <c r="AFA117" s="39"/>
      <c r="AFB117" s="39"/>
      <c r="AFC117" s="39"/>
      <c r="AFD117" s="39"/>
      <c r="AFE117" s="39"/>
      <c r="AFF117" s="39"/>
      <c r="AFG117" s="39"/>
      <c r="AFH117" s="39"/>
      <c r="AFI117" s="39"/>
      <c r="AFJ117" s="39"/>
      <c r="AFK117" s="39"/>
      <c r="AFL117" s="39"/>
      <c r="AFM117" s="39"/>
      <c r="AFN117" s="39"/>
      <c r="AFO117" s="39"/>
      <c r="AFP117" s="39"/>
      <c r="AFQ117" s="39"/>
      <c r="AFR117" s="39"/>
      <c r="AFS117" s="39"/>
      <c r="AFT117" s="39"/>
      <c r="AFU117" s="39"/>
      <c r="AFV117" s="39"/>
      <c r="AFW117" s="39"/>
      <c r="AFX117" s="39"/>
      <c r="AFY117" s="39"/>
      <c r="AFZ117" s="39"/>
      <c r="AGA117" s="39"/>
      <c r="AGB117" s="39"/>
      <c r="AGC117" s="39"/>
      <c r="AGD117" s="39"/>
      <c r="AGE117" s="39"/>
      <c r="AGF117" s="39"/>
      <c r="AGG117" s="39"/>
      <c r="AGH117" s="39"/>
      <c r="AGI117" s="39"/>
      <c r="AGJ117" s="39"/>
      <c r="AGK117" s="39"/>
      <c r="AGL117" s="39"/>
      <c r="AGM117" s="39"/>
      <c r="AGN117" s="39"/>
      <c r="AGO117" s="39"/>
      <c r="AGP117" s="39"/>
      <c r="AGQ117" s="39"/>
      <c r="AGR117" s="39"/>
      <c r="AGS117" s="39"/>
      <c r="AGT117" s="39"/>
      <c r="AGU117" s="39"/>
      <c r="AGV117" s="39"/>
      <c r="AGW117" s="39"/>
      <c r="AGX117" s="39"/>
      <c r="AGY117" s="39"/>
      <c r="AGZ117" s="39"/>
      <c r="AHA117" s="39"/>
      <c r="AHB117" s="39"/>
      <c r="AHC117" s="39"/>
      <c r="AHD117" s="39"/>
      <c r="AHE117" s="39"/>
      <c r="AHF117" s="39"/>
      <c r="AHG117" s="39"/>
      <c r="AHH117" s="39"/>
      <c r="AHI117" s="39"/>
      <c r="AHJ117" s="39"/>
      <c r="AHK117" s="39"/>
      <c r="AHL117" s="39"/>
      <c r="AHM117" s="39"/>
      <c r="AHN117" s="39"/>
      <c r="AHO117" s="39"/>
      <c r="AHP117" s="39"/>
      <c r="AHQ117" s="39"/>
      <c r="AHR117" s="39"/>
      <c r="AHS117" s="39"/>
      <c r="AHT117" s="39"/>
      <c r="AHU117" s="39"/>
      <c r="AHV117" s="39"/>
      <c r="AHW117" s="39"/>
      <c r="AHX117" s="39"/>
      <c r="AHY117" s="39"/>
      <c r="AHZ117" s="39"/>
      <c r="AIA117" s="39"/>
      <c r="AIB117" s="39"/>
      <c r="AIC117" s="39"/>
      <c r="AID117" s="39"/>
      <c r="AIE117" s="39"/>
      <c r="AIF117" s="39"/>
      <c r="AIG117" s="39"/>
      <c r="AIH117" s="39"/>
      <c r="AII117" s="39"/>
      <c r="AIJ117" s="39"/>
      <c r="AIK117" s="39"/>
      <c r="AIL117" s="39"/>
      <c r="AIM117" s="39"/>
      <c r="AIN117" s="39"/>
      <c r="AIO117" s="39"/>
      <c r="AIP117" s="39"/>
      <c r="AIQ117" s="39"/>
      <c r="AIR117" s="39"/>
      <c r="AIS117" s="39"/>
      <c r="AIT117" s="39"/>
      <c r="AIU117" s="39"/>
      <c r="AIV117" s="39"/>
      <c r="AIW117" s="39"/>
      <c r="AIX117" s="39"/>
      <c r="AIY117" s="39"/>
      <c r="AIZ117" s="39"/>
      <c r="AJA117" s="39"/>
      <c r="AJB117" s="39"/>
      <c r="AJC117" s="39"/>
      <c r="AJD117" s="39"/>
      <c r="AJE117" s="39"/>
      <c r="AJF117" s="39"/>
      <c r="AJG117" s="39"/>
      <c r="AJH117" s="39"/>
      <c r="AJI117" s="39"/>
      <c r="AJJ117" s="39"/>
      <c r="AJK117" s="39"/>
      <c r="AJL117" s="39"/>
      <c r="AJM117" s="39"/>
      <c r="AJN117" s="39"/>
      <c r="AJO117" s="39"/>
      <c r="AJP117" s="39"/>
      <c r="AJQ117" s="39"/>
      <c r="AJR117" s="39"/>
      <c r="AJS117" s="39"/>
      <c r="AJT117" s="39"/>
      <c r="AJU117" s="39"/>
      <c r="AJV117" s="39"/>
      <c r="AJW117" s="39"/>
      <c r="AJX117" s="39"/>
      <c r="AJY117" s="39"/>
      <c r="AJZ117" s="39"/>
      <c r="AKA117" s="39"/>
      <c r="AKB117" s="39"/>
      <c r="AKC117" s="39"/>
      <c r="AKD117" s="39"/>
      <c r="AKE117" s="39"/>
      <c r="AKF117" s="39"/>
      <c r="AKG117" s="39"/>
      <c r="AKH117" s="39"/>
      <c r="AKI117" s="39"/>
      <c r="AKJ117" s="39"/>
      <c r="AKK117" s="39"/>
      <c r="AKL117" s="39"/>
      <c r="AKM117" s="39"/>
      <c r="AKN117" s="39"/>
      <c r="AKO117" s="39"/>
      <c r="AKP117" s="39"/>
      <c r="AKQ117" s="39"/>
      <c r="AKR117" s="39"/>
      <c r="AKS117" s="39"/>
      <c r="AKT117" s="39"/>
      <c r="AKU117" s="39"/>
      <c r="AKV117" s="39"/>
      <c r="AKW117" s="39"/>
      <c r="AKX117" s="39"/>
      <c r="AKY117" s="39"/>
      <c r="AKZ117" s="39"/>
      <c r="ALA117" s="39"/>
      <c r="ALB117" s="39"/>
      <c r="ALC117" s="39"/>
      <c r="ALD117" s="39"/>
      <c r="ALE117" s="39"/>
      <c r="ALF117" s="39"/>
      <c r="ALG117" s="39"/>
      <c r="ALH117" s="39"/>
      <c r="ALI117" s="39"/>
      <c r="ALJ117" s="39"/>
      <c r="ALK117" s="39"/>
      <c r="ALL117" s="39"/>
      <c r="ALM117" s="39"/>
      <c r="ALN117" s="39"/>
      <c r="ALO117" s="39"/>
      <c r="ALP117" s="39"/>
      <c r="ALQ117" s="39"/>
      <c r="ALR117" s="39"/>
      <c r="ALS117" s="39"/>
      <c r="ALT117" s="39"/>
      <c r="ALU117" s="39"/>
      <c r="ALV117" s="39"/>
      <c r="ALW117" s="39"/>
      <c r="ALX117" s="39"/>
      <c r="ALY117" s="39"/>
      <c r="ALZ117" s="39"/>
    </row>
  </sheetData>
  <mergeCells count="121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D26:E26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2" firstPageNumber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42E5-A545-4D34-8DFB-B7964FE35613}">
  <dimension ref="A1:K45"/>
  <sheetViews>
    <sheetView showGridLines="0" topLeftCell="A30" zoomScaleNormal="100" workbookViewId="0">
      <selection activeCell="B43" sqref="B43"/>
    </sheetView>
  </sheetViews>
  <sheetFormatPr defaultRowHeight="12.75" x14ac:dyDescent="0.25"/>
  <cols>
    <col min="1" max="2" width="12.42578125" style="146" customWidth="1"/>
    <col min="3" max="8" width="12.42578125" style="135" customWidth="1"/>
    <col min="9" max="9" width="51.140625" style="135" customWidth="1"/>
    <col min="10" max="10" width="12.7109375" style="135" bestFit="1" customWidth="1"/>
    <col min="11" max="11" width="12.7109375" style="135" customWidth="1"/>
    <col min="12" max="12" width="10.28515625" style="135" bestFit="1" customWidth="1"/>
    <col min="13" max="257" width="9.140625" style="135"/>
    <col min="258" max="258" width="14.28515625" style="135" customWidth="1"/>
    <col min="259" max="259" width="19.28515625" style="135" customWidth="1"/>
    <col min="260" max="260" width="16" style="135" customWidth="1"/>
    <col min="261" max="261" width="17.140625" style="135" customWidth="1"/>
    <col min="262" max="262" width="10.140625" style="135" customWidth="1"/>
    <col min="263" max="263" width="10.5703125" style="135" customWidth="1"/>
    <col min="264" max="264" width="9.85546875" style="135" customWidth="1"/>
    <col min="265" max="266" width="12.7109375" style="135" bestFit="1" customWidth="1"/>
    <col min="267" max="267" width="9.140625" style="135"/>
    <col min="268" max="268" width="10.28515625" style="135" bestFit="1" customWidth="1"/>
    <col min="269" max="513" width="9.140625" style="135"/>
    <col min="514" max="514" width="14.28515625" style="135" customWidth="1"/>
    <col min="515" max="515" width="19.28515625" style="135" customWidth="1"/>
    <col min="516" max="516" width="16" style="135" customWidth="1"/>
    <col min="517" max="517" width="17.140625" style="135" customWidth="1"/>
    <col min="518" max="518" width="10.140625" style="135" customWidth="1"/>
    <col min="519" max="519" width="10.5703125" style="135" customWidth="1"/>
    <col min="520" max="520" width="9.85546875" style="135" customWidth="1"/>
    <col min="521" max="522" width="12.7109375" style="135" bestFit="1" customWidth="1"/>
    <col min="523" max="523" width="9.140625" style="135"/>
    <col min="524" max="524" width="10.28515625" style="135" bestFit="1" customWidth="1"/>
    <col min="525" max="769" width="9.140625" style="135"/>
    <col min="770" max="770" width="14.28515625" style="135" customWidth="1"/>
    <col min="771" max="771" width="19.28515625" style="135" customWidth="1"/>
    <col min="772" max="772" width="16" style="135" customWidth="1"/>
    <col min="773" max="773" width="17.140625" style="135" customWidth="1"/>
    <col min="774" max="774" width="10.140625" style="135" customWidth="1"/>
    <col min="775" max="775" width="10.5703125" style="135" customWidth="1"/>
    <col min="776" max="776" width="9.85546875" style="135" customWidth="1"/>
    <col min="777" max="778" width="12.7109375" style="135" bestFit="1" customWidth="1"/>
    <col min="779" max="779" width="9.140625" style="135"/>
    <col min="780" max="780" width="10.28515625" style="135" bestFit="1" customWidth="1"/>
    <col min="781" max="1025" width="9.140625" style="135"/>
    <col min="1026" max="1026" width="14.28515625" style="135" customWidth="1"/>
    <col min="1027" max="1027" width="19.28515625" style="135" customWidth="1"/>
    <col min="1028" max="1028" width="16" style="135" customWidth="1"/>
    <col min="1029" max="1029" width="17.140625" style="135" customWidth="1"/>
    <col min="1030" max="1030" width="10.140625" style="135" customWidth="1"/>
    <col min="1031" max="1031" width="10.5703125" style="135" customWidth="1"/>
    <col min="1032" max="1032" width="9.85546875" style="135" customWidth="1"/>
    <col min="1033" max="1034" width="12.7109375" style="135" bestFit="1" customWidth="1"/>
    <col min="1035" max="1035" width="9.140625" style="135"/>
    <col min="1036" max="1036" width="10.28515625" style="135" bestFit="1" customWidth="1"/>
    <col min="1037" max="1281" width="9.140625" style="135"/>
    <col min="1282" max="1282" width="14.28515625" style="135" customWidth="1"/>
    <col min="1283" max="1283" width="19.28515625" style="135" customWidth="1"/>
    <col min="1284" max="1284" width="16" style="135" customWidth="1"/>
    <col min="1285" max="1285" width="17.140625" style="135" customWidth="1"/>
    <col min="1286" max="1286" width="10.140625" style="135" customWidth="1"/>
    <col min="1287" max="1287" width="10.5703125" style="135" customWidth="1"/>
    <col min="1288" max="1288" width="9.85546875" style="135" customWidth="1"/>
    <col min="1289" max="1290" width="12.7109375" style="135" bestFit="1" customWidth="1"/>
    <col min="1291" max="1291" width="9.140625" style="135"/>
    <col min="1292" max="1292" width="10.28515625" style="135" bestFit="1" customWidth="1"/>
    <col min="1293" max="1537" width="9.140625" style="135"/>
    <col min="1538" max="1538" width="14.28515625" style="135" customWidth="1"/>
    <col min="1539" max="1539" width="19.28515625" style="135" customWidth="1"/>
    <col min="1540" max="1540" width="16" style="135" customWidth="1"/>
    <col min="1541" max="1541" width="17.140625" style="135" customWidth="1"/>
    <col min="1542" max="1542" width="10.140625" style="135" customWidth="1"/>
    <col min="1543" max="1543" width="10.5703125" style="135" customWidth="1"/>
    <col min="1544" max="1544" width="9.85546875" style="135" customWidth="1"/>
    <col min="1545" max="1546" width="12.7109375" style="135" bestFit="1" customWidth="1"/>
    <col min="1547" max="1547" width="9.140625" style="135"/>
    <col min="1548" max="1548" width="10.28515625" style="135" bestFit="1" customWidth="1"/>
    <col min="1549" max="1793" width="9.140625" style="135"/>
    <col min="1794" max="1794" width="14.28515625" style="135" customWidth="1"/>
    <col min="1795" max="1795" width="19.28515625" style="135" customWidth="1"/>
    <col min="1796" max="1796" width="16" style="135" customWidth="1"/>
    <col min="1797" max="1797" width="17.140625" style="135" customWidth="1"/>
    <col min="1798" max="1798" width="10.140625" style="135" customWidth="1"/>
    <col min="1799" max="1799" width="10.5703125" style="135" customWidth="1"/>
    <col min="1800" max="1800" width="9.85546875" style="135" customWidth="1"/>
    <col min="1801" max="1802" width="12.7109375" style="135" bestFit="1" customWidth="1"/>
    <col min="1803" max="1803" width="9.140625" style="135"/>
    <col min="1804" max="1804" width="10.28515625" style="135" bestFit="1" customWidth="1"/>
    <col min="1805" max="2049" width="9.140625" style="135"/>
    <col min="2050" max="2050" width="14.28515625" style="135" customWidth="1"/>
    <col min="2051" max="2051" width="19.28515625" style="135" customWidth="1"/>
    <col min="2052" max="2052" width="16" style="135" customWidth="1"/>
    <col min="2053" max="2053" width="17.140625" style="135" customWidth="1"/>
    <col min="2054" max="2054" width="10.140625" style="135" customWidth="1"/>
    <col min="2055" max="2055" width="10.5703125" style="135" customWidth="1"/>
    <col min="2056" max="2056" width="9.85546875" style="135" customWidth="1"/>
    <col min="2057" max="2058" width="12.7109375" style="135" bestFit="1" customWidth="1"/>
    <col min="2059" max="2059" width="9.140625" style="135"/>
    <col min="2060" max="2060" width="10.28515625" style="135" bestFit="1" customWidth="1"/>
    <col min="2061" max="2305" width="9.140625" style="135"/>
    <col min="2306" max="2306" width="14.28515625" style="135" customWidth="1"/>
    <col min="2307" max="2307" width="19.28515625" style="135" customWidth="1"/>
    <col min="2308" max="2308" width="16" style="135" customWidth="1"/>
    <col min="2309" max="2309" width="17.140625" style="135" customWidth="1"/>
    <col min="2310" max="2310" width="10.140625" style="135" customWidth="1"/>
    <col min="2311" max="2311" width="10.5703125" style="135" customWidth="1"/>
    <col min="2312" max="2312" width="9.85546875" style="135" customWidth="1"/>
    <col min="2313" max="2314" width="12.7109375" style="135" bestFit="1" customWidth="1"/>
    <col min="2315" max="2315" width="9.140625" style="135"/>
    <col min="2316" max="2316" width="10.28515625" style="135" bestFit="1" customWidth="1"/>
    <col min="2317" max="2561" width="9.140625" style="135"/>
    <col min="2562" max="2562" width="14.28515625" style="135" customWidth="1"/>
    <col min="2563" max="2563" width="19.28515625" style="135" customWidth="1"/>
    <col min="2564" max="2564" width="16" style="135" customWidth="1"/>
    <col min="2565" max="2565" width="17.140625" style="135" customWidth="1"/>
    <col min="2566" max="2566" width="10.140625" style="135" customWidth="1"/>
    <col min="2567" max="2567" width="10.5703125" style="135" customWidth="1"/>
    <col min="2568" max="2568" width="9.85546875" style="135" customWidth="1"/>
    <col min="2569" max="2570" width="12.7109375" style="135" bestFit="1" customWidth="1"/>
    <col min="2571" max="2571" width="9.140625" style="135"/>
    <col min="2572" max="2572" width="10.28515625" style="135" bestFit="1" customWidth="1"/>
    <col min="2573" max="2817" width="9.140625" style="135"/>
    <col min="2818" max="2818" width="14.28515625" style="135" customWidth="1"/>
    <col min="2819" max="2819" width="19.28515625" style="135" customWidth="1"/>
    <col min="2820" max="2820" width="16" style="135" customWidth="1"/>
    <col min="2821" max="2821" width="17.140625" style="135" customWidth="1"/>
    <col min="2822" max="2822" width="10.140625" style="135" customWidth="1"/>
    <col min="2823" max="2823" width="10.5703125" style="135" customWidth="1"/>
    <col min="2824" max="2824" width="9.85546875" style="135" customWidth="1"/>
    <col min="2825" max="2826" width="12.7109375" style="135" bestFit="1" customWidth="1"/>
    <col min="2827" max="2827" width="9.140625" style="135"/>
    <col min="2828" max="2828" width="10.28515625" style="135" bestFit="1" customWidth="1"/>
    <col min="2829" max="3073" width="9.140625" style="135"/>
    <col min="3074" max="3074" width="14.28515625" style="135" customWidth="1"/>
    <col min="3075" max="3075" width="19.28515625" style="135" customWidth="1"/>
    <col min="3076" max="3076" width="16" style="135" customWidth="1"/>
    <col min="3077" max="3077" width="17.140625" style="135" customWidth="1"/>
    <col min="3078" max="3078" width="10.140625" style="135" customWidth="1"/>
    <col min="3079" max="3079" width="10.5703125" style="135" customWidth="1"/>
    <col min="3080" max="3080" width="9.85546875" style="135" customWidth="1"/>
    <col min="3081" max="3082" width="12.7109375" style="135" bestFit="1" customWidth="1"/>
    <col min="3083" max="3083" width="9.140625" style="135"/>
    <col min="3084" max="3084" width="10.28515625" style="135" bestFit="1" customWidth="1"/>
    <col min="3085" max="3329" width="9.140625" style="135"/>
    <col min="3330" max="3330" width="14.28515625" style="135" customWidth="1"/>
    <col min="3331" max="3331" width="19.28515625" style="135" customWidth="1"/>
    <col min="3332" max="3332" width="16" style="135" customWidth="1"/>
    <col min="3333" max="3333" width="17.140625" style="135" customWidth="1"/>
    <col min="3334" max="3334" width="10.140625" style="135" customWidth="1"/>
    <col min="3335" max="3335" width="10.5703125" style="135" customWidth="1"/>
    <col min="3336" max="3336" width="9.85546875" style="135" customWidth="1"/>
    <col min="3337" max="3338" width="12.7109375" style="135" bestFit="1" customWidth="1"/>
    <col min="3339" max="3339" width="9.140625" style="135"/>
    <col min="3340" max="3340" width="10.28515625" style="135" bestFit="1" customWidth="1"/>
    <col min="3341" max="3585" width="9.140625" style="135"/>
    <col min="3586" max="3586" width="14.28515625" style="135" customWidth="1"/>
    <col min="3587" max="3587" width="19.28515625" style="135" customWidth="1"/>
    <col min="3588" max="3588" width="16" style="135" customWidth="1"/>
    <col min="3589" max="3589" width="17.140625" style="135" customWidth="1"/>
    <col min="3590" max="3590" width="10.140625" style="135" customWidth="1"/>
    <col min="3591" max="3591" width="10.5703125" style="135" customWidth="1"/>
    <col min="3592" max="3592" width="9.85546875" style="135" customWidth="1"/>
    <col min="3593" max="3594" width="12.7109375" style="135" bestFit="1" customWidth="1"/>
    <col min="3595" max="3595" width="9.140625" style="135"/>
    <col min="3596" max="3596" width="10.28515625" style="135" bestFit="1" customWidth="1"/>
    <col min="3597" max="3841" width="9.140625" style="135"/>
    <col min="3842" max="3842" width="14.28515625" style="135" customWidth="1"/>
    <col min="3843" max="3843" width="19.28515625" style="135" customWidth="1"/>
    <col min="3844" max="3844" width="16" style="135" customWidth="1"/>
    <col min="3845" max="3845" width="17.140625" style="135" customWidth="1"/>
    <col min="3846" max="3846" width="10.140625" style="135" customWidth="1"/>
    <col min="3847" max="3847" width="10.5703125" style="135" customWidth="1"/>
    <col min="3848" max="3848" width="9.85546875" style="135" customWidth="1"/>
    <col min="3849" max="3850" width="12.7109375" style="135" bestFit="1" customWidth="1"/>
    <col min="3851" max="3851" width="9.140625" style="135"/>
    <col min="3852" max="3852" width="10.28515625" style="135" bestFit="1" customWidth="1"/>
    <col min="3853" max="4097" width="9.140625" style="135"/>
    <col min="4098" max="4098" width="14.28515625" style="135" customWidth="1"/>
    <col min="4099" max="4099" width="19.28515625" style="135" customWidth="1"/>
    <col min="4100" max="4100" width="16" style="135" customWidth="1"/>
    <col min="4101" max="4101" width="17.140625" style="135" customWidth="1"/>
    <col min="4102" max="4102" width="10.140625" style="135" customWidth="1"/>
    <col min="4103" max="4103" width="10.5703125" style="135" customWidth="1"/>
    <col min="4104" max="4104" width="9.85546875" style="135" customWidth="1"/>
    <col min="4105" max="4106" width="12.7109375" style="135" bestFit="1" customWidth="1"/>
    <col min="4107" max="4107" width="9.140625" style="135"/>
    <col min="4108" max="4108" width="10.28515625" style="135" bestFit="1" customWidth="1"/>
    <col min="4109" max="4353" width="9.140625" style="135"/>
    <col min="4354" max="4354" width="14.28515625" style="135" customWidth="1"/>
    <col min="4355" max="4355" width="19.28515625" style="135" customWidth="1"/>
    <col min="4356" max="4356" width="16" style="135" customWidth="1"/>
    <col min="4357" max="4357" width="17.140625" style="135" customWidth="1"/>
    <col min="4358" max="4358" width="10.140625" style="135" customWidth="1"/>
    <col min="4359" max="4359" width="10.5703125" style="135" customWidth="1"/>
    <col min="4360" max="4360" width="9.85546875" style="135" customWidth="1"/>
    <col min="4361" max="4362" width="12.7109375" style="135" bestFit="1" customWidth="1"/>
    <col min="4363" max="4363" width="9.140625" style="135"/>
    <col min="4364" max="4364" width="10.28515625" style="135" bestFit="1" customWidth="1"/>
    <col min="4365" max="4609" width="9.140625" style="135"/>
    <col min="4610" max="4610" width="14.28515625" style="135" customWidth="1"/>
    <col min="4611" max="4611" width="19.28515625" style="135" customWidth="1"/>
    <col min="4612" max="4612" width="16" style="135" customWidth="1"/>
    <col min="4613" max="4613" width="17.140625" style="135" customWidth="1"/>
    <col min="4614" max="4614" width="10.140625" style="135" customWidth="1"/>
    <col min="4615" max="4615" width="10.5703125" style="135" customWidth="1"/>
    <col min="4616" max="4616" width="9.85546875" style="135" customWidth="1"/>
    <col min="4617" max="4618" width="12.7109375" style="135" bestFit="1" customWidth="1"/>
    <col min="4619" max="4619" width="9.140625" style="135"/>
    <col min="4620" max="4620" width="10.28515625" style="135" bestFit="1" customWidth="1"/>
    <col min="4621" max="4865" width="9.140625" style="135"/>
    <col min="4866" max="4866" width="14.28515625" style="135" customWidth="1"/>
    <col min="4867" max="4867" width="19.28515625" style="135" customWidth="1"/>
    <col min="4868" max="4868" width="16" style="135" customWidth="1"/>
    <col min="4869" max="4869" width="17.140625" style="135" customWidth="1"/>
    <col min="4870" max="4870" width="10.140625" style="135" customWidth="1"/>
    <col min="4871" max="4871" width="10.5703125" style="135" customWidth="1"/>
    <col min="4872" max="4872" width="9.85546875" style="135" customWidth="1"/>
    <col min="4873" max="4874" width="12.7109375" style="135" bestFit="1" customWidth="1"/>
    <col min="4875" max="4875" width="9.140625" style="135"/>
    <col min="4876" max="4876" width="10.28515625" style="135" bestFit="1" customWidth="1"/>
    <col min="4877" max="5121" width="9.140625" style="135"/>
    <col min="5122" max="5122" width="14.28515625" style="135" customWidth="1"/>
    <col min="5123" max="5123" width="19.28515625" style="135" customWidth="1"/>
    <col min="5124" max="5124" width="16" style="135" customWidth="1"/>
    <col min="5125" max="5125" width="17.140625" style="135" customWidth="1"/>
    <col min="5126" max="5126" width="10.140625" style="135" customWidth="1"/>
    <col min="5127" max="5127" width="10.5703125" style="135" customWidth="1"/>
    <col min="5128" max="5128" width="9.85546875" style="135" customWidth="1"/>
    <col min="5129" max="5130" width="12.7109375" style="135" bestFit="1" customWidth="1"/>
    <col min="5131" max="5131" width="9.140625" style="135"/>
    <col min="5132" max="5132" width="10.28515625" style="135" bestFit="1" customWidth="1"/>
    <col min="5133" max="5377" width="9.140625" style="135"/>
    <col min="5378" max="5378" width="14.28515625" style="135" customWidth="1"/>
    <col min="5379" max="5379" width="19.28515625" style="135" customWidth="1"/>
    <col min="5380" max="5380" width="16" style="135" customWidth="1"/>
    <col min="5381" max="5381" width="17.140625" style="135" customWidth="1"/>
    <col min="5382" max="5382" width="10.140625" style="135" customWidth="1"/>
    <col min="5383" max="5383" width="10.5703125" style="135" customWidth="1"/>
    <col min="5384" max="5384" width="9.85546875" style="135" customWidth="1"/>
    <col min="5385" max="5386" width="12.7109375" style="135" bestFit="1" customWidth="1"/>
    <col min="5387" max="5387" width="9.140625" style="135"/>
    <col min="5388" max="5388" width="10.28515625" style="135" bestFit="1" customWidth="1"/>
    <col min="5389" max="5633" width="9.140625" style="135"/>
    <col min="5634" max="5634" width="14.28515625" style="135" customWidth="1"/>
    <col min="5635" max="5635" width="19.28515625" style="135" customWidth="1"/>
    <col min="5636" max="5636" width="16" style="135" customWidth="1"/>
    <col min="5637" max="5637" width="17.140625" style="135" customWidth="1"/>
    <col min="5638" max="5638" width="10.140625" style="135" customWidth="1"/>
    <col min="5639" max="5639" width="10.5703125" style="135" customWidth="1"/>
    <col min="5640" max="5640" width="9.85546875" style="135" customWidth="1"/>
    <col min="5641" max="5642" width="12.7109375" style="135" bestFit="1" customWidth="1"/>
    <col min="5643" max="5643" width="9.140625" style="135"/>
    <col min="5644" max="5644" width="10.28515625" style="135" bestFit="1" customWidth="1"/>
    <col min="5645" max="5889" width="9.140625" style="135"/>
    <col min="5890" max="5890" width="14.28515625" style="135" customWidth="1"/>
    <col min="5891" max="5891" width="19.28515625" style="135" customWidth="1"/>
    <col min="5892" max="5892" width="16" style="135" customWidth="1"/>
    <col min="5893" max="5893" width="17.140625" style="135" customWidth="1"/>
    <col min="5894" max="5894" width="10.140625" style="135" customWidth="1"/>
    <col min="5895" max="5895" width="10.5703125" style="135" customWidth="1"/>
    <col min="5896" max="5896" width="9.85546875" style="135" customWidth="1"/>
    <col min="5897" max="5898" width="12.7109375" style="135" bestFit="1" customWidth="1"/>
    <col min="5899" max="5899" width="9.140625" style="135"/>
    <col min="5900" max="5900" width="10.28515625" style="135" bestFit="1" customWidth="1"/>
    <col min="5901" max="6145" width="9.140625" style="135"/>
    <col min="6146" max="6146" width="14.28515625" style="135" customWidth="1"/>
    <col min="6147" max="6147" width="19.28515625" style="135" customWidth="1"/>
    <col min="6148" max="6148" width="16" style="135" customWidth="1"/>
    <col min="6149" max="6149" width="17.140625" style="135" customWidth="1"/>
    <col min="6150" max="6150" width="10.140625" style="135" customWidth="1"/>
    <col min="6151" max="6151" width="10.5703125" style="135" customWidth="1"/>
    <col min="6152" max="6152" width="9.85546875" style="135" customWidth="1"/>
    <col min="6153" max="6154" width="12.7109375" style="135" bestFit="1" customWidth="1"/>
    <col min="6155" max="6155" width="9.140625" style="135"/>
    <col min="6156" max="6156" width="10.28515625" style="135" bestFit="1" customWidth="1"/>
    <col min="6157" max="6401" width="9.140625" style="135"/>
    <col min="6402" max="6402" width="14.28515625" style="135" customWidth="1"/>
    <col min="6403" max="6403" width="19.28515625" style="135" customWidth="1"/>
    <col min="6404" max="6404" width="16" style="135" customWidth="1"/>
    <col min="6405" max="6405" width="17.140625" style="135" customWidth="1"/>
    <col min="6406" max="6406" width="10.140625" style="135" customWidth="1"/>
    <col min="6407" max="6407" width="10.5703125" style="135" customWidth="1"/>
    <col min="6408" max="6408" width="9.85546875" style="135" customWidth="1"/>
    <col min="6409" max="6410" width="12.7109375" style="135" bestFit="1" customWidth="1"/>
    <col min="6411" max="6411" width="9.140625" style="135"/>
    <col min="6412" max="6412" width="10.28515625" style="135" bestFit="1" customWidth="1"/>
    <col min="6413" max="6657" width="9.140625" style="135"/>
    <col min="6658" max="6658" width="14.28515625" style="135" customWidth="1"/>
    <col min="6659" max="6659" width="19.28515625" style="135" customWidth="1"/>
    <col min="6660" max="6660" width="16" style="135" customWidth="1"/>
    <col min="6661" max="6661" width="17.140625" style="135" customWidth="1"/>
    <col min="6662" max="6662" width="10.140625" style="135" customWidth="1"/>
    <col min="6663" max="6663" width="10.5703125" style="135" customWidth="1"/>
    <col min="6664" max="6664" width="9.85546875" style="135" customWidth="1"/>
    <col min="6665" max="6666" width="12.7109375" style="135" bestFit="1" customWidth="1"/>
    <col min="6667" max="6667" width="9.140625" style="135"/>
    <col min="6668" max="6668" width="10.28515625" style="135" bestFit="1" customWidth="1"/>
    <col min="6669" max="6913" width="9.140625" style="135"/>
    <col min="6914" max="6914" width="14.28515625" style="135" customWidth="1"/>
    <col min="6915" max="6915" width="19.28515625" style="135" customWidth="1"/>
    <col min="6916" max="6916" width="16" style="135" customWidth="1"/>
    <col min="6917" max="6917" width="17.140625" style="135" customWidth="1"/>
    <col min="6918" max="6918" width="10.140625" style="135" customWidth="1"/>
    <col min="6919" max="6919" width="10.5703125" style="135" customWidth="1"/>
    <col min="6920" max="6920" width="9.85546875" style="135" customWidth="1"/>
    <col min="6921" max="6922" width="12.7109375" style="135" bestFit="1" customWidth="1"/>
    <col min="6923" max="6923" width="9.140625" style="135"/>
    <col min="6924" max="6924" width="10.28515625" style="135" bestFit="1" customWidth="1"/>
    <col min="6925" max="7169" width="9.140625" style="135"/>
    <col min="7170" max="7170" width="14.28515625" style="135" customWidth="1"/>
    <col min="7171" max="7171" width="19.28515625" style="135" customWidth="1"/>
    <col min="7172" max="7172" width="16" style="135" customWidth="1"/>
    <col min="7173" max="7173" width="17.140625" style="135" customWidth="1"/>
    <col min="7174" max="7174" width="10.140625" style="135" customWidth="1"/>
    <col min="7175" max="7175" width="10.5703125" style="135" customWidth="1"/>
    <col min="7176" max="7176" width="9.85546875" style="135" customWidth="1"/>
    <col min="7177" max="7178" width="12.7109375" style="135" bestFit="1" customWidth="1"/>
    <col min="7179" max="7179" width="9.140625" style="135"/>
    <col min="7180" max="7180" width="10.28515625" style="135" bestFit="1" customWidth="1"/>
    <col min="7181" max="7425" width="9.140625" style="135"/>
    <col min="7426" max="7426" width="14.28515625" style="135" customWidth="1"/>
    <col min="7427" max="7427" width="19.28515625" style="135" customWidth="1"/>
    <col min="7428" max="7428" width="16" style="135" customWidth="1"/>
    <col min="7429" max="7429" width="17.140625" style="135" customWidth="1"/>
    <col min="7430" max="7430" width="10.140625" style="135" customWidth="1"/>
    <col min="7431" max="7431" width="10.5703125" style="135" customWidth="1"/>
    <col min="7432" max="7432" width="9.85546875" style="135" customWidth="1"/>
    <col min="7433" max="7434" width="12.7109375" style="135" bestFit="1" customWidth="1"/>
    <col min="7435" max="7435" width="9.140625" style="135"/>
    <col min="7436" max="7436" width="10.28515625" style="135" bestFit="1" customWidth="1"/>
    <col min="7437" max="7681" width="9.140625" style="135"/>
    <col min="7682" max="7682" width="14.28515625" style="135" customWidth="1"/>
    <col min="7683" max="7683" width="19.28515625" style="135" customWidth="1"/>
    <col min="7684" max="7684" width="16" style="135" customWidth="1"/>
    <col min="7685" max="7685" width="17.140625" style="135" customWidth="1"/>
    <col min="7686" max="7686" width="10.140625" style="135" customWidth="1"/>
    <col min="7687" max="7687" width="10.5703125" style="135" customWidth="1"/>
    <col min="7688" max="7688" width="9.85546875" style="135" customWidth="1"/>
    <col min="7689" max="7690" width="12.7109375" style="135" bestFit="1" customWidth="1"/>
    <col min="7691" max="7691" width="9.140625" style="135"/>
    <col min="7692" max="7692" width="10.28515625" style="135" bestFit="1" customWidth="1"/>
    <col min="7693" max="7937" width="9.140625" style="135"/>
    <col min="7938" max="7938" width="14.28515625" style="135" customWidth="1"/>
    <col min="7939" max="7939" width="19.28515625" style="135" customWidth="1"/>
    <col min="7940" max="7940" width="16" style="135" customWidth="1"/>
    <col min="7941" max="7941" width="17.140625" style="135" customWidth="1"/>
    <col min="7942" max="7942" width="10.140625" style="135" customWidth="1"/>
    <col min="7943" max="7943" width="10.5703125" style="135" customWidth="1"/>
    <col min="7944" max="7944" width="9.85546875" style="135" customWidth="1"/>
    <col min="7945" max="7946" width="12.7109375" style="135" bestFit="1" customWidth="1"/>
    <col min="7947" max="7947" width="9.140625" style="135"/>
    <col min="7948" max="7948" width="10.28515625" style="135" bestFit="1" customWidth="1"/>
    <col min="7949" max="8193" width="9.140625" style="135"/>
    <col min="8194" max="8194" width="14.28515625" style="135" customWidth="1"/>
    <col min="8195" max="8195" width="19.28515625" style="135" customWidth="1"/>
    <col min="8196" max="8196" width="16" style="135" customWidth="1"/>
    <col min="8197" max="8197" width="17.140625" style="135" customWidth="1"/>
    <col min="8198" max="8198" width="10.140625" style="135" customWidth="1"/>
    <col min="8199" max="8199" width="10.5703125" style="135" customWidth="1"/>
    <col min="8200" max="8200" width="9.85546875" style="135" customWidth="1"/>
    <col min="8201" max="8202" width="12.7109375" style="135" bestFit="1" customWidth="1"/>
    <col min="8203" max="8203" width="9.140625" style="135"/>
    <col min="8204" max="8204" width="10.28515625" style="135" bestFit="1" customWidth="1"/>
    <col min="8205" max="8449" width="9.140625" style="135"/>
    <col min="8450" max="8450" width="14.28515625" style="135" customWidth="1"/>
    <col min="8451" max="8451" width="19.28515625" style="135" customWidth="1"/>
    <col min="8452" max="8452" width="16" style="135" customWidth="1"/>
    <col min="8453" max="8453" width="17.140625" style="135" customWidth="1"/>
    <col min="8454" max="8454" width="10.140625" style="135" customWidth="1"/>
    <col min="8455" max="8455" width="10.5703125" style="135" customWidth="1"/>
    <col min="8456" max="8456" width="9.85546875" style="135" customWidth="1"/>
    <col min="8457" max="8458" width="12.7109375" style="135" bestFit="1" customWidth="1"/>
    <col min="8459" max="8459" width="9.140625" style="135"/>
    <col min="8460" max="8460" width="10.28515625" style="135" bestFit="1" customWidth="1"/>
    <col min="8461" max="8705" width="9.140625" style="135"/>
    <col min="8706" max="8706" width="14.28515625" style="135" customWidth="1"/>
    <col min="8707" max="8707" width="19.28515625" style="135" customWidth="1"/>
    <col min="8708" max="8708" width="16" style="135" customWidth="1"/>
    <col min="8709" max="8709" width="17.140625" style="135" customWidth="1"/>
    <col min="8710" max="8710" width="10.140625" style="135" customWidth="1"/>
    <col min="8711" max="8711" width="10.5703125" style="135" customWidth="1"/>
    <col min="8712" max="8712" width="9.85546875" style="135" customWidth="1"/>
    <col min="8713" max="8714" width="12.7109375" style="135" bestFit="1" customWidth="1"/>
    <col min="8715" max="8715" width="9.140625" style="135"/>
    <col min="8716" max="8716" width="10.28515625" style="135" bestFit="1" customWidth="1"/>
    <col min="8717" max="8961" width="9.140625" style="135"/>
    <col min="8962" max="8962" width="14.28515625" style="135" customWidth="1"/>
    <col min="8963" max="8963" width="19.28515625" style="135" customWidth="1"/>
    <col min="8964" max="8964" width="16" style="135" customWidth="1"/>
    <col min="8965" max="8965" width="17.140625" style="135" customWidth="1"/>
    <col min="8966" max="8966" width="10.140625" style="135" customWidth="1"/>
    <col min="8967" max="8967" width="10.5703125" style="135" customWidth="1"/>
    <col min="8968" max="8968" width="9.85546875" style="135" customWidth="1"/>
    <col min="8969" max="8970" width="12.7109375" style="135" bestFit="1" customWidth="1"/>
    <col min="8971" max="8971" width="9.140625" style="135"/>
    <col min="8972" max="8972" width="10.28515625" style="135" bestFit="1" customWidth="1"/>
    <col min="8973" max="9217" width="9.140625" style="135"/>
    <col min="9218" max="9218" width="14.28515625" style="135" customWidth="1"/>
    <col min="9219" max="9219" width="19.28515625" style="135" customWidth="1"/>
    <col min="9220" max="9220" width="16" style="135" customWidth="1"/>
    <col min="9221" max="9221" width="17.140625" style="135" customWidth="1"/>
    <col min="9222" max="9222" width="10.140625" style="135" customWidth="1"/>
    <col min="9223" max="9223" width="10.5703125" style="135" customWidth="1"/>
    <col min="9224" max="9224" width="9.85546875" style="135" customWidth="1"/>
    <col min="9225" max="9226" width="12.7109375" style="135" bestFit="1" customWidth="1"/>
    <col min="9227" max="9227" width="9.140625" style="135"/>
    <col min="9228" max="9228" width="10.28515625" style="135" bestFit="1" customWidth="1"/>
    <col min="9229" max="9473" width="9.140625" style="135"/>
    <col min="9474" max="9474" width="14.28515625" style="135" customWidth="1"/>
    <col min="9475" max="9475" width="19.28515625" style="135" customWidth="1"/>
    <col min="9476" max="9476" width="16" style="135" customWidth="1"/>
    <col min="9477" max="9477" width="17.140625" style="135" customWidth="1"/>
    <col min="9478" max="9478" width="10.140625" style="135" customWidth="1"/>
    <col min="9479" max="9479" width="10.5703125" style="135" customWidth="1"/>
    <col min="9480" max="9480" width="9.85546875" style="135" customWidth="1"/>
    <col min="9481" max="9482" width="12.7109375" style="135" bestFit="1" customWidth="1"/>
    <col min="9483" max="9483" width="9.140625" style="135"/>
    <col min="9484" max="9484" width="10.28515625" style="135" bestFit="1" customWidth="1"/>
    <col min="9485" max="9729" width="9.140625" style="135"/>
    <col min="9730" max="9730" width="14.28515625" style="135" customWidth="1"/>
    <col min="9731" max="9731" width="19.28515625" style="135" customWidth="1"/>
    <col min="9732" max="9732" width="16" style="135" customWidth="1"/>
    <col min="9733" max="9733" width="17.140625" style="135" customWidth="1"/>
    <col min="9734" max="9734" width="10.140625" style="135" customWidth="1"/>
    <col min="9735" max="9735" width="10.5703125" style="135" customWidth="1"/>
    <col min="9736" max="9736" width="9.85546875" style="135" customWidth="1"/>
    <col min="9737" max="9738" width="12.7109375" style="135" bestFit="1" customWidth="1"/>
    <col min="9739" max="9739" width="9.140625" style="135"/>
    <col min="9740" max="9740" width="10.28515625" style="135" bestFit="1" customWidth="1"/>
    <col min="9741" max="9985" width="9.140625" style="135"/>
    <col min="9986" max="9986" width="14.28515625" style="135" customWidth="1"/>
    <col min="9987" max="9987" width="19.28515625" style="135" customWidth="1"/>
    <col min="9988" max="9988" width="16" style="135" customWidth="1"/>
    <col min="9989" max="9989" width="17.140625" style="135" customWidth="1"/>
    <col min="9990" max="9990" width="10.140625" style="135" customWidth="1"/>
    <col min="9991" max="9991" width="10.5703125" style="135" customWidth="1"/>
    <col min="9992" max="9992" width="9.85546875" style="135" customWidth="1"/>
    <col min="9993" max="9994" width="12.7109375" style="135" bestFit="1" customWidth="1"/>
    <col min="9995" max="9995" width="9.140625" style="135"/>
    <col min="9996" max="9996" width="10.28515625" style="135" bestFit="1" customWidth="1"/>
    <col min="9997" max="10241" width="9.140625" style="135"/>
    <col min="10242" max="10242" width="14.28515625" style="135" customWidth="1"/>
    <col min="10243" max="10243" width="19.28515625" style="135" customWidth="1"/>
    <col min="10244" max="10244" width="16" style="135" customWidth="1"/>
    <col min="10245" max="10245" width="17.140625" style="135" customWidth="1"/>
    <col min="10246" max="10246" width="10.140625" style="135" customWidth="1"/>
    <col min="10247" max="10247" width="10.5703125" style="135" customWidth="1"/>
    <col min="10248" max="10248" width="9.85546875" style="135" customWidth="1"/>
    <col min="10249" max="10250" width="12.7109375" style="135" bestFit="1" customWidth="1"/>
    <col min="10251" max="10251" width="9.140625" style="135"/>
    <col min="10252" max="10252" width="10.28515625" style="135" bestFit="1" customWidth="1"/>
    <col min="10253" max="10497" width="9.140625" style="135"/>
    <col min="10498" max="10498" width="14.28515625" style="135" customWidth="1"/>
    <col min="10499" max="10499" width="19.28515625" style="135" customWidth="1"/>
    <col min="10500" max="10500" width="16" style="135" customWidth="1"/>
    <col min="10501" max="10501" width="17.140625" style="135" customWidth="1"/>
    <col min="10502" max="10502" width="10.140625" style="135" customWidth="1"/>
    <col min="10503" max="10503" width="10.5703125" style="135" customWidth="1"/>
    <col min="10504" max="10504" width="9.85546875" style="135" customWidth="1"/>
    <col min="10505" max="10506" width="12.7109375" style="135" bestFit="1" customWidth="1"/>
    <col min="10507" max="10507" width="9.140625" style="135"/>
    <col min="10508" max="10508" width="10.28515625" style="135" bestFit="1" customWidth="1"/>
    <col min="10509" max="10753" width="9.140625" style="135"/>
    <col min="10754" max="10754" width="14.28515625" style="135" customWidth="1"/>
    <col min="10755" max="10755" width="19.28515625" style="135" customWidth="1"/>
    <col min="10756" max="10756" width="16" style="135" customWidth="1"/>
    <col min="10757" max="10757" width="17.140625" style="135" customWidth="1"/>
    <col min="10758" max="10758" width="10.140625" style="135" customWidth="1"/>
    <col min="10759" max="10759" width="10.5703125" style="135" customWidth="1"/>
    <col min="10760" max="10760" width="9.85546875" style="135" customWidth="1"/>
    <col min="10761" max="10762" width="12.7109375" style="135" bestFit="1" customWidth="1"/>
    <col min="10763" max="10763" width="9.140625" style="135"/>
    <col min="10764" max="10764" width="10.28515625" style="135" bestFit="1" customWidth="1"/>
    <col min="10765" max="11009" width="9.140625" style="135"/>
    <col min="11010" max="11010" width="14.28515625" style="135" customWidth="1"/>
    <col min="11011" max="11011" width="19.28515625" style="135" customWidth="1"/>
    <col min="11012" max="11012" width="16" style="135" customWidth="1"/>
    <col min="11013" max="11013" width="17.140625" style="135" customWidth="1"/>
    <col min="11014" max="11014" width="10.140625" style="135" customWidth="1"/>
    <col min="11015" max="11015" width="10.5703125" style="135" customWidth="1"/>
    <col min="11016" max="11016" width="9.85546875" style="135" customWidth="1"/>
    <col min="11017" max="11018" width="12.7109375" style="135" bestFit="1" customWidth="1"/>
    <col min="11019" max="11019" width="9.140625" style="135"/>
    <col min="11020" max="11020" width="10.28515625" style="135" bestFit="1" customWidth="1"/>
    <col min="11021" max="11265" width="9.140625" style="135"/>
    <col min="11266" max="11266" width="14.28515625" style="135" customWidth="1"/>
    <col min="11267" max="11267" width="19.28515625" style="135" customWidth="1"/>
    <col min="11268" max="11268" width="16" style="135" customWidth="1"/>
    <col min="11269" max="11269" width="17.140625" style="135" customWidth="1"/>
    <col min="11270" max="11270" width="10.140625" style="135" customWidth="1"/>
    <col min="11271" max="11271" width="10.5703125" style="135" customWidth="1"/>
    <col min="11272" max="11272" width="9.85546875" style="135" customWidth="1"/>
    <col min="11273" max="11274" width="12.7109375" style="135" bestFit="1" customWidth="1"/>
    <col min="11275" max="11275" width="9.140625" style="135"/>
    <col min="11276" max="11276" width="10.28515625" style="135" bestFit="1" customWidth="1"/>
    <col min="11277" max="11521" width="9.140625" style="135"/>
    <col min="11522" max="11522" width="14.28515625" style="135" customWidth="1"/>
    <col min="11523" max="11523" width="19.28515625" style="135" customWidth="1"/>
    <col min="11524" max="11524" width="16" style="135" customWidth="1"/>
    <col min="11525" max="11525" width="17.140625" style="135" customWidth="1"/>
    <col min="11526" max="11526" width="10.140625" style="135" customWidth="1"/>
    <col min="11527" max="11527" width="10.5703125" style="135" customWidth="1"/>
    <col min="11528" max="11528" width="9.85546875" style="135" customWidth="1"/>
    <col min="11529" max="11530" width="12.7109375" style="135" bestFit="1" customWidth="1"/>
    <col min="11531" max="11531" width="9.140625" style="135"/>
    <col min="11532" max="11532" width="10.28515625" style="135" bestFit="1" customWidth="1"/>
    <col min="11533" max="11777" width="9.140625" style="135"/>
    <col min="11778" max="11778" width="14.28515625" style="135" customWidth="1"/>
    <col min="11779" max="11779" width="19.28515625" style="135" customWidth="1"/>
    <col min="11780" max="11780" width="16" style="135" customWidth="1"/>
    <col min="11781" max="11781" width="17.140625" style="135" customWidth="1"/>
    <col min="11782" max="11782" width="10.140625" style="135" customWidth="1"/>
    <col min="11783" max="11783" width="10.5703125" style="135" customWidth="1"/>
    <col min="11784" max="11784" width="9.85546875" style="135" customWidth="1"/>
    <col min="11785" max="11786" width="12.7109375" style="135" bestFit="1" customWidth="1"/>
    <col min="11787" max="11787" width="9.140625" style="135"/>
    <col min="11788" max="11788" width="10.28515625" style="135" bestFit="1" customWidth="1"/>
    <col min="11789" max="12033" width="9.140625" style="135"/>
    <col min="12034" max="12034" width="14.28515625" style="135" customWidth="1"/>
    <col min="12035" max="12035" width="19.28515625" style="135" customWidth="1"/>
    <col min="12036" max="12036" width="16" style="135" customWidth="1"/>
    <col min="12037" max="12037" width="17.140625" style="135" customWidth="1"/>
    <col min="12038" max="12038" width="10.140625" style="135" customWidth="1"/>
    <col min="12039" max="12039" width="10.5703125" style="135" customWidth="1"/>
    <col min="12040" max="12040" width="9.85546875" style="135" customWidth="1"/>
    <col min="12041" max="12042" width="12.7109375" style="135" bestFit="1" customWidth="1"/>
    <col min="12043" max="12043" width="9.140625" style="135"/>
    <col min="12044" max="12044" width="10.28515625" style="135" bestFit="1" customWidth="1"/>
    <col min="12045" max="12289" width="9.140625" style="135"/>
    <col min="12290" max="12290" width="14.28515625" style="135" customWidth="1"/>
    <col min="12291" max="12291" width="19.28515625" style="135" customWidth="1"/>
    <col min="12292" max="12292" width="16" style="135" customWidth="1"/>
    <col min="12293" max="12293" width="17.140625" style="135" customWidth="1"/>
    <col min="12294" max="12294" width="10.140625" style="135" customWidth="1"/>
    <col min="12295" max="12295" width="10.5703125" style="135" customWidth="1"/>
    <col min="12296" max="12296" width="9.85546875" style="135" customWidth="1"/>
    <col min="12297" max="12298" width="12.7109375" style="135" bestFit="1" customWidth="1"/>
    <col min="12299" max="12299" width="9.140625" style="135"/>
    <col min="12300" max="12300" width="10.28515625" style="135" bestFit="1" customWidth="1"/>
    <col min="12301" max="12545" width="9.140625" style="135"/>
    <col min="12546" max="12546" width="14.28515625" style="135" customWidth="1"/>
    <col min="12547" max="12547" width="19.28515625" style="135" customWidth="1"/>
    <col min="12548" max="12548" width="16" style="135" customWidth="1"/>
    <col min="12549" max="12549" width="17.140625" style="135" customWidth="1"/>
    <col min="12550" max="12550" width="10.140625" style="135" customWidth="1"/>
    <col min="12551" max="12551" width="10.5703125" style="135" customWidth="1"/>
    <col min="12552" max="12552" width="9.85546875" style="135" customWidth="1"/>
    <col min="12553" max="12554" width="12.7109375" style="135" bestFit="1" customWidth="1"/>
    <col min="12555" max="12555" width="9.140625" style="135"/>
    <col min="12556" max="12556" width="10.28515625" style="135" bestFit="1" customWidth="1"/>
    <col min="12557" max="12801" width="9.140625" style="135"/>
    <col min="12802" max="12802" width="14.28515625" style="135" customWidth="1"/>
    <col min="12803" max="12803" width="19.28515625" style="135" customWidth="1"/>
    <col min="12804" max="12804" width="16" style="135" customWidth="1"/>
    <col min="12805" max="12805" width="17.140625" style="135" customWidth="1"/>
    <col min="12806" max="12806" width="10.140625" style="135" customWidth="1"/>
    <col min="12807" max="12807" width="10.5703125" style="135" customWidth="1"/>
    <col min="12808" max="12808" width="9.85546875" style="135" customWidth="1"/>
    <col min="12809" max="12810" width="12.7109375" style="135" bestFit="1" customWidth="1"/>
    <col min="12811" max="12811" width="9.140625" style="135"/>
    <col min="12812" max="12812" width="10.28515625" style="135" bestFit="1" customWidth="1"/>
    <col min="12813" max="13057" width="9.140625" style="135"/>
    <col min="13058" max="13058" width="14.28515625" style="135" customWidth="1"/>
    <col min="13059" max="13059" width="19.28515625" style="135" customWidth="1"/>
    <col min="13060" max="13060" width="16" style="135" customWidth="1"/>
    <col min="13061" max="13061" width="17.140625" style="135" customWidth="1"/>
    <col min="13062" max="13062" width="10.140625" style="135" customWidth="1"/>
    <col min="13063" max="13063" width="10.5703125" style="135" customWidth="1"/>
    <col min="13064" max="13064" width="9.85546875" style="135" customWidth="1"/>
    <col min="13065" max="13066" width="12.7109375" style="135" bestFit="1" customWidth="1"/>
    <col min="13067" max="13067" width="9.140625" style="135"/>
    <col min="13068" max="13068" width="10.28515625" style="135" bestFit="1" customWidth="1"/>
    <col min="13069" max="13313" width="9.140625" style="135"/>
    <col min="13314" max="13314" width="14.28515625" style="135" customWidth="1"/>
    <col min="13315" max="13315" width="19.28515625" style="135" customWidth="1"/>
    <col min="13316" max="13316" width="16" style="135" customWidth="1"/>
    <col min="13317" max="13317" width="17.140625" style="135" customWidth="1"/>
    <col min="13318" max="13318" width="10.140625" style="135" customWidth="1"/>
    <col min="13319" max="13319" width="10.5703125" style="135" customWidth="1"/>
    <col min="13320" max="13320" width="9.85546875" style="135" customWidth="1"/>
    <col min="13321" max="13322" width="12.7109375" style="135" bestFit="1" customWidth="1"/>
    <col min="13323" max="13323" width="9.140625" style="135"/>
    <col min="13324" max="13324" width="10.28515625" style="135" bestFit="1" customWidth="1"/>
    <col min="13325" max="13569" width="9.140625" style="135"/>
    <col min="13570" max="13570" width="14.28515625" style="135" customWidth="1"/>
    <col min="13571" max="13571" width="19.28515625" style="135" customWidth="1"/>
    <col min="13572" max="13572" width="16" style="135" customWidth="1"/>
    <col min="13573" max="13573" width="17.140625" style="135" customWidth="1"/>
    <col min="13574" max="13574" width="10.140625" style="135" customWidth="1"/>
    <col min="13575" max="13575" width="10.5703125" style="135" customWidth="1"/>
    <col min="13576" max="13576" width="9.85546875" style="135" customWidth="1"/>
    <col min="13577" max="13578" width="12.7109375" style="135" bestFit="1" customWidth="1"/>
    <col min="13579" max="13579" width="9.140625" style="135"/>
    <col min="13580" max="13580" width="10.28515625" style="135" bestFit="1" customWidth="1"/>
    <col min="13581" max="13825" width="9.140625" style="135"/>
    <col min="13826" max="13826" width="14.28515625" style="135" customWidth="1"/>
    <col min="13827" max="13827" width="19.28515625" style="135" customWidth="1"/>
    <col min="13828" max="13828" width="16" style="135" customWidth="1"/>
    <col min="13829" max="13829" width="17.140625" style="135" customWidth="1"/>
    <col min="13830" max="13830" width="10.140625" style="135" customWidth="1"/>
    <col min="13831" max="13831" width="10.5703125" style="135" customWidth="1"/>
    <col min="13832" max="13832" width="9.85546875" style="135" customWidth="1"/>
    <col min="13833" max="13834" width="12.7109375" style="135" bestFit="1" customWidth="1"/>
    <col min="13835" max="13835" width="9.140625" style="135"/>
    <col min="13836" max="13836" width="10.28515625" style="135" bestFit="1" customWidth="1"/>
    <col min="13837" max="14081" width="9.140625" style="135"/>
    <col min="14082" max="14082" width="14.28515625" style="135" customWidth="1"/>
    <col min="14083" max="14083" width="19.28515625" style="135" customWidth="1"/>
    <col min="14084" max="14084" width="16" style="135" customWidth="1"/>
    <col min="14085" max="14085" width="17.140625" style="135" customWidth="1"/>
    <col min="14086" max="14086" width="10.140625" style="135" customWidth="1"/>
    <col min="14087" max="14087" width="10.5703125" style="135" customWidth="1"/>
    <col min="14088" max="14088" width="9.85546875" style="135" customWidth="1"/>
    <col min="14089" max="14090" width="12.7109375" style="135" bestFit="1" customWidth="1"/>
    <col min="14091" max="14091" width="9.140625" style="135"/>
    <col min="14092" max="14092" width="10.28515625" style="135" bestFit="1" customWidth="1"/>
    <col min="14093" max="14337" width="9.140625" style="135"/>
    <col min="14338" max="14338" width="14.28515625" style="135" customWidth="1"/>
    <col min="14339" max="14339" width="19.28515625" style="135" customWidth="1"/>
    <col min="14340" max="14340" width="16" style="135" customWidth="1"/>
    <col min="14341" max="14341" width="17.140625" style="135" customWidth="1"/>
    <col min="14342" max="14342" width="10.140625" style="135" customWidth="1"/>
    <col min="14343" max="14343" width="10.5703125" style="135" customWidth="1"/>
    <col min="14344" max="14344" width="9.85546875" style="135" customWidth="1"/>
    <col min="14345" max="14346" width="12.7109375" style="135" bestFit="1" customWidth="1"/>
    <col min="14347" max="14347" width="9.140625" style="135"/>
    <col min="14348" max="14348" width="10.28515625" style="135" bestFit="1" customWidth="1"/>
    <col min="14349" max="14593" width="9.140625" style="135"/>
    <col min="14594" max="14594" width="14.28515625" style="135" customWidth="1"/>
    <col min="14595" max="14595" width="19.28515625" style="135" customWidth="1"/>
    <col min="14596" max="14596" width="16" style="135" customWidth="1"/>
    <col min="14597" max="14597" width="17.140625" style="135" customWidth="1"/>
    <col min="14598" max="14598" width="10.140625" style="135" customWidth="1"/>
    <col min="14599" max="14599" width="10.5703125" style="135" customWidth="1"/>
    <col min="14600" max="14600" width="9.85546875" style="135" customWidth="1"/>
    <col min="14601" max="14602" width="12.7109375" style="135" bestFit="1" customWidth="1"/>
    <col min="14603" max="14603" width="9.140625" style="135"/>
    <col min="14604" max="14604" width="10.28515625" style="135" bestFit="1" customWidth="1"/>
    <col min="14605" max="14849" width="9.140625" style="135"/>
    <col min="14850" max="14850" width="14.28515625" style="135" customWidth="1"/>
    <col min="14851" max="14851" width="19.28515625" style="135" customWidth="1"/>
    <col min="14852" max="14852" width="16" style="135" customWidth="1"/>
    <col min="14853" max="14853" width="17.140625" style="135" customWidth="1"/>
    <col min="14854" max="14854" width="10.140625" style="135" customWidth="1"/>
    <col min="14855" max="14855" width="10.5703125" style="135" customWidth="1"/>
    <col min="14856" max="14856" width="9.85546875" style="135" customWidth="1"/>
    <col min="14857" max="14858" width="12.7109375" style="135" bestFit="1" customWidth="1"/>
    <col min="14859" max="14859" width="9.140625" style="135"/>
    <col min="14860" max="14860" width="10.28515625" style="135" bestFit="1" customWidth="1"/>
    <col min="14861" max="15105" width="9.140625" style="135"/>
    <col min="15106" max="15106" width="14.28515625" style="135" customWidth="1"/>
    <col min="15107" max="15107" width="19.28515625" style="135" customWidth="1"/>
    <col min="15108" max="15108" width="16" style="135" customWidth="1"/>
    <col min="15109" max="15109" width="17.140625" style="135" customWidth="1"/>
    <col min="15110" max="15110" width="10.140625" style="135" customWidth="1"/>
    <col min="15111" max="15111" width="10.5703125" style="135" customWidth="1"/>
    <col min="15112" max="15112" width="9.85546875" style="135" customWidth="1"/>
    <col min="15113" max="15114" width="12.7109375" style="135" bestFit="1" customWidth="1"/>
    <col min="15115" max="15115" width="9.140625" style="135"/>
    <col min="15116" max="15116" width="10.28515625" style="135" bestFit="1" customWidth="1"/>
    <col min="15117" max="15361" width="9.140625" style="135"/>
    <col min="15362" max="15362" width="14.28515625" style="135" customWidth="1"/>
    <col min="15363" max="15363" width="19.28515625" style="135" customWidth="1"/>
    <col min="15364" max="15364" width="16" style="135" customWidth="1"/>
    <col min="15365" max="15365" width="17.140625" style="135" customWidth="1"/>
    <col min="15366" max="15366" width="10.140625" style="135" customWidth="1"/>
    <col min="15367" max="15367" width="10.5703125" style="135" customWidth="1"/>
    <col min="15368" max="15368" width="9.85546875" style="135" customWidth="1"/>
    <col min="15369" max="15370" width="12.7109375" style="135" bestFit="1" customWidth="1"/>
    <col min="15371" max="15371" width="9.140625" style="135"/>
    <col min="15372" max="15372" width="10.28515625" style="135" bestFit="1" customWidth="1"/>
    <col min="15373" max="15617" width="9.140625" style="135"/>
    <col min="15618" max="15618" width="14.28515625" style="135" customWidth="1"/>
    <col min="15619" max="15619" width="19.28515625" style="135" customWidth="1"/>
    <col min="15620" max="15620" width="16" style="135" customWidth="1"/>
    <col min="15621" max="15621" width="17.140625" style="135" customWidth="1"/>
    <col min="15622" max="15622" width="10.140625" style="135" customWidth="1"/>
    <col min="15623" max="15623" width="10.5703125" style="135" customWidth="1"/>
    <col min="15624" max="15624" width="9.85546875" style="135" customWidth="1"/>
    <col min="15625" max="15626" width="12.7109375" style="135" bestFit="1" customWidth="1"/>
    <col min="15627" max="15627" width="9.140625" style="135"/>
    <col min="15628" max="15628" width="10.28515625" style="135" bestFit="1" customWidth="1"/>
    <col min="15629" max="15873" width="9.140625" style="135"/>
    <col min="15874" max="15874" width="14.28515625" style="135" customWidth="1"/>
    <col min="15875" max="15875" width="19.28515625" style="135" customWidth="1"/>
    <col min="15876" max="15876" width="16" style="135" customWidth="1"/>
    <col min="15877" max="15877" width="17.140625" style="135" customWidth="1"/>
    <col min="15878" max="15878" width="10.140625" style="135" customWidth="1"/>
    <col min="15879" max="15879" width="10.5703125" style="135" customWidth="1"/>
    <col min="15880" max="15880" width="9.85546875" style="135" customWidth="1"/>
    <col min="15881" max="15882" width="12.7109375" style="135" bestFit="1" customWidth="1"/>
    <col min="15883" max="15883" width="9.140625" style="135"/>
    <col min="15884" max="15884" width="10.28515625" style="135" bestFit="1" customWidth="1"/>
    <col min="15885" max="16129" width="9.140625" style="135"/>
    <col min="16130" max="16130" width="14.28515625" style="135" customWidth="1"/>
    <col min="16131" max="16131" width="19.28515625" style="135" customWidth="1"/>
    <col min="16132" max="16132" width="16" style="135" customWidth="1"/>
    <col min="16133" max="16133" width="17.140625" style="135" customWidth="1"/>
    <col min="16134" max="16134" width="10.140625" style="135" customWidth="1"/>
    <col min="16135" max="16135" width="10.5703125" style="135" customWidth="1"/>
    <col min="16136" max="16136" width="9.85546875" style="135" customWidth="1"/>
    <col min="16137" max="16138" width="12.7109375" style="135" bestFit="1" customWidth="1"/>
    <col min="16139" max="16139" width="9.140625" style="135"/>
    <col min="16140" max="16140" width="10.28515625" style="135" bestFit="1" customWidth="1"/>
    <col min="16141" max="16384" width="9.140625" style="135"/>
  </cols>
  <sheetData>
    <row r="1" spans="1:6" ht="28.5" customHeight="1" x14ac:dyDescent="0.25">
      <c r="A1" s="259" t="s">
        <v>344</v>
      </c>
      <c r="B1" s="259"/>
      <c r="C1" s="259"/>
      <c r="D1" s="259"/>
      <c r="E1" s="259"/>
    </row>
    <row r="2" spans="1:6" ht="28.5" customHeight="1" x14ac:dyDescent="0.25">
      <c r="A2" s="241" t="s">
        <v>291</v>
      </c>
      <c r="B2" s="242"/>
      <c r="C2" s="242"/>
      <c r="D2" s="242"/>
      <c r="E2" s="243"/>
    </row>
    <row r="3" spans="1:6" ht="28.5" customHeight="1" x14ac:dyDescent="0.25">
      <c r="A3" s="244" t="s">
        <v>292</v>
      </c>
      <c r="B3" s="244"/>
      <c r="C3" s="244"/>
      <c r="D3" s="244"/>
      <c r="E3" s="244"/>
    </row>
    <row r="4" spans="1:6" s="136" customFormat="1" ht="28.5" customHeight="1" x14ac:dyDescent="0.25">
      <c r="A4" s="264" t="s">
        <v>293</v>
      </c>
      <c r="B4" s="265"/>
      <c r="C4" s="116">
        <v>1</v>
      </c>
      <c r="D4" s="116">
        <v>2</v>
      </c>
      <c r="E4" s="116" t="s">
        <v>294</v>
      </c>
    </row>
    <row r="5" spans="1:6" s="136" customFormat="1" ht="28.5" customHeight="1" x14ac:dyDescent="0.25">
      <c r="A5" s="266"/>
      <c r="B5" s="267"/>
      <c r="C5" s="116" t="s">
        <v>295</v>
      </c>
      <c r="D5" s="116" t="s">
        <v>296</v>
      </c>
      <c r="E5" s="116" t="s">
        <v>297</v>
      </c>
    </row>
    <row r="6" spans="1:6" s="136" customFormat="1" ht="28.5" customHeight="1" x14ac:dyDescent="0.25">
      <c r="A6" s="268"/>
      <c r="B6" s="269"/>
      <c r="C6" s="116" t="s">
        <v>298</v>
      </c>
      <c r="D6" s="116" t="s">
        <v>299</v>
      </c>
      <c r="E6" s="116" t="s">
        <v>300</v>
      </c>
    </row>
    <row r="7" spans="1:6" ht="28.5" customHeight="1" x14ac:dyDescent="0.25">
      <c r="A7" s="246" t="s">
        <v>301</v>
      </c>
      <c r="B7" s="246"/>
      <c r="C7" s="246"/>
      <c r="D7" s="246"/>
      <c r="E7" s="246"/>
    </row>
    <row r="8" spans="1:6" ht="28.5" customHeight="1" x14ac:dyDescent="0.25">
      <c r="A8" s="143" t="s">
        <v>382</v>
      </c>
      <c r="B8" s="120">
        <v>1</v>
      </c>
      <c r="C8" s="125">
        <v>1200</v>
      </c>
      <c r="D8" s="137">
        <f>'G2 CAC-MT Servente'!G112</f>
        <v>6345.5189880145917</v>
      </c>
      <c r="E8" s="137">
        <f>(B8/C8)*D8</f>
        <v>5.2879324900121603</v>
      </c>
      <c r="F8" s="138"/>
    </row>
    <row r="9" spans="1:6" ht="28.5" customHeight="1" x14ac:dyDescent="0.25">
      <c r="A9" s="260" t="s">
        <v>302</v>
      </c>
      <c r="B9" s="260"/>
      <c r="C9" s="260"/>
      <c r="D9" s="260"/>
      <c r="E9" s="139">
        <f>SUM(E8:E8)</f>
        <v>5.2879324900121603</v>
      </c>
      <c r="F9" s="138"/>
    </row>
    <row r="10" spans="1:6" ht="28.5" customHeight="1" x14ac:dyDescent="0.25">
      <c r="A10" s="246" t="s">
        <v>303</v>
      </c>
      <c r="B10" s="246"/>
      <c r="C10" s="246"/>
      <c r="D10" s="246"/>
      <c r="E10" s="246"/>
      <c r="F10" s="117"/>
    </row>
    <row r="11" spans="1:6" ht="28.5" customHeight="1" x14ac:dyDescent="0.25">
      <c r="A11" s="143" t="s">
        <v>382</v>
      </c>
      <c r="B11" s="120">
        <v>1</v>
      </c>
      <c r="C11" s="175">
        <v>2500</v>
      </c>
      <c r="D11" s="137">
        <f>'G2 CAC-MT Servente'!G112</f>
        <v>6345.5189880145917</v>
      </c>
      <c r="E11" s="137">
        <f>(B11/C11)*D11</f>
        <v>2.5382075952058369</v>
      </c>
      <c r="F11" s="138"/>
    </row>
    <row r="12" spans="1:6" ht="28.5" customHeight="1" x14ac:dyDescent="0.25">
      <c r="A12" s="260" t="s">
        <v>302</v>
      </c>
      <c r="B12" s="260"/>
      <c r="C12" s="260"/>
      <c r="D12" s="260"/>
      <c r="E12" s="139">
        <f>SUM(E11:E11)</f>
        <v>2.5382075952058369</v>
      </c>
      <c r="F12" s="138"/>
    </row>
    <row r="13" spans="1:6" ht="28.5" customHeight="1" x14ac:dyDescent="0.25">
      <c r="A13" s="246" t="s">
        <v>304</v>
      </c>
      <c r="B13" s="246"/>
      <c r="C13" s="246"/>
      <c r="D13" s="246"/>
      <c r="E13" s="246"/>
      <c r="F13" s="117"/>
    </row>
    <row r="14" spans="1:6" ht="28.5" customHeight="1" x14ac:dyDescent="0.25">
      <c r="A14" s="143" t="s">
        <v>382</v>
      </c>
      <c r="B14" s="120">
        <v>1</v>
      </c>
      <c r="C14" s="125">
        <v>1500</v>
      </c>
      <c r="D14" s="137">
        <f>'G2 CAC-MT Servente'!G112</f>
        <v>6345.5189880145917</v>
      </c>
      <c r="E14" s="137">
        <f>(B14/C14)*D14</f>
        <v>4.2303459920097275</v>
      </c>
      <c r="F14" s="138"/>
    </row>
    <row r="15" spans="1:6" ht="28.5" customHeight="1" x14ac:dyDescent="0.25">
      <c r="A15" s="260" t="s">
        <v>302</v>
      </c>
      <c r="B15" s="260"/>
      <c r="C15" s="260"/>
      <c r="D15" s="260"/>
      <c r="E15" s="139">
        <f>SUM(E14:E14)</f>
        <v>4.2303459920097275</v>
      </c>
      <c r="F15" s="138"/>
    </row>
    <row r="16" spans="1:6" ht="28.5" customHeight="1" x14ac:dyDescent="0.25">
      <c r="A16" s="246" t="s">
        <v>305</v>
      </c>
      <c r="B16" s="246"/>
      <c r="C16" s="246"/>
      <c r="D16" s="246"/>
      <c r="E16" s="246"/>
      <c r="F16" s="117"/>
    </row>
    <row r="17" spans="1:11" ht="28.5" customHeight="1" x14ac:dyDescent="0.25">
      <c r="A17" s="143" t="s">
        <v>382</v>
      </c>
      <c r="B17" s="120">
        <v>1</v>
      </c>
      <c r="C17" s="125">
        <v>300</v>
      </c>
      <c r="D17" s="137">
        <f>'G2 CAC-MT Servente'!G112</f>
        <v>6345.5189880145917</v>
      </c>
      <c r="E17" s="137">
        <f>(B17/C17)*D17</f>
        <v>21.151729960048641</v>
      </c>
      <c r="F17" s="138"/>
    </row>
    <row r="18" spans="1:11" ht="28.5" customHeight="1" x14ac:dyDescent="0.25">
      <c r="A18" s="260" t="s">
        <v>302</v>
      </c>
      <c r="B18" s="260"/>
      <c r="C18" s="260"/>
      <c r="D18" s="260"/>
      <c r="E18" s="139">
        <f>SUM(E17:E17)</f>
        <v>21.151729960048641</v>
      </c>
      <c r="F18" s="138"/>
    </row>
    <row r="19" spans="1:11" ht="28.5" customHeight="1" x14ac:dyDescent="0.25">
      <c r="A19" s="244" t="s">
        <v>306</v>
      </c>
      <c r="B19" s="244"/>
      <c r="C19" s="244"/>
      <c r="D19" s="244"/>
      <c r="E19" s="244"/>
      <c r="F19" s="136"/>
    </row>
    <row r="20" spans="1:11" s="136" customFormat="1" ht="28.5" customHeight="1" x14ac:dyDescent="0.25">
      <c r="A20" s="264" t="s">
        <v>293</v>
      </c>
      <c r="B20" s="265"/>
      <c r="C20" s="116">
        <v>1</v>
      </c>
      <c r="D20" s="116">
        <v>2</v>
      </c>
      <c r="E20" s="116" t="s">
        <v>294</v>
      </c>
      <c r="F20" s="140"/>
    </row>
    <row r="21" spans="1:11" s="136" customFormat="1" ht="28.5" customHeight="1" x14ac:dyDescent="0.25">
      <c r="A21" s="266"/>
      <c r="B21" s="267"/>
      <c r="C21" s="116" t="s">
        <v>295</v>
      </c>
      <c r="D21" s="116" t="s">
        <v>307</v>
      </c>
      <c r="E21" s="116" t="s">
        <v>297</v>
      </c>
      <c r="G21" s="141"/>
      <c r="H21" s="141"/>
      <c r="I21" s="141"/>
      <c r="J21" s="142"/>
      <c r="K21" s="142"/>
    </row>
    <row r="22" spans="1:11" s="136" customFormat="1" ht="28.5" customHeight="1" x14ac:dyDescent="0.25">
      <c r="A22" s="268"/>
      <c r="B22" s="269"/>
      <c r="C22" s="116" t="s">
        <v>308</v>
      </c>
      <c r="D22" s="116" t="s">
        <v>299</v>
      </c>
      <c r="E22" s="116" t="s">
        <v>309</v>
      </c>
      <c r="G22" s="141"/>
      <c r="H22" s="141"/>
      <c r="I22" s="141"/>
      <c r="J22" s="142"/>
      <c r="K22" s="142"/>
    </row>
    <row r="23" spans="1:11" ht="28.5" customHeight="1" x14ac:dyDescent="0.25">
      <c r="A23" s="246" t="s">
        <v>310</v>
      </c>
      <c r="B23" s="246"/>
      <c r="C23" s="246"/>
      <c r="D23" s="246"/>
      <c r="E23" s="246"/>
    </row>
    <row r="24" spans="1:11" ht="28.5" customHeight="1" x14ac:dyDescent="0.25">
      <c r="A24" s="143" t="s">
        <v>382</v>
      </c>
      <c r="B24" s="120">
        <v>1</v>
      </c>
      <c r="C24" s="175">
        <v>2700</v>
      </c>
      <c r="D24" s="137">
        <f>'G2 CAC-MT Servente'!G112</f>
        <v>6345.5189880145917</v>
      </c>
      <c r="E24" s="137">
        <f>(B24/C24)*D24</f>
        <v>2.350192217783182</v>
      </c>
    </row>
    <row r="25" spans="1:11" s="136" customFormat="1" ht="28.5" customHeight="1" x14ac:dyDescent="0.25">
      <c r="A25" s="260" t="s">
        <v>302</v>
      </c>
      <c r="B25" s="260"/>
      <c r="C25" s="260"/>
      <c r="D25" s="260"/>
      <c r="E25" s="139">
        <f>SUM(E24:E24)</f>
        <v>2.350192217783182</v>
      </c>
    </row>
    <row r="26" spans="1:11" s="136" customFormat="1" ht="28.5" customHeight="1" x14ac:dyDescent="0.25">
      <c r="A26" s="246" t="s">
        <v>311</v>
      </c>
      <c r="B26" s="246"/>
      <c r="C26" s="246"/>
      <c r="D26" s="246"/>
      <c r="E26" s="246"/>
    </row>
    <row r="27" spans="1:11" s="136" customFormat="1" ht="28.5" customHeight="1" x14ac:dyDescent="0.25">
      <c r="A27" s="143" t="s">
        <v>382</v>
      </c>
      <c r="B27" s="120">
        <v>1</v>
      </c>
      <c r="C27" s="175">
        <v>9000</v>
      </c>
      <c r="D27" s="137">
        <f>'G2 CAC-MT Servente'!G112</f>
        <v>6345.5189880145917</v>
      </c>
      <c r="E27" s="137">
        <f>(1/9000)*D27</f>
        <v>0.70505766533495462</v>
      </c>
    </row>
    <row r="28" spans="1:11" s="136" customFormat="1" ht="28.5" customHeight="1" x14ac:dyDescent="0.25">
      <c r="A28" s="260" t="s">
        <v>302</v>
      </c>
      <c r="B28" s="260"/>
      <c r="C28" s="260"/>
      <c r="D28" s="260"/>
      <c r="E28" s="139">
        <f>SUM(E27:E27)</f>
        <v>0.70505766533495462</v>
      </c>
    </row>
    <row r="29" spans="1:11" ht="28.5" customHeight="1" x14ac:dyDescent="0.25">
      <c r="A29" s="246" t="s">
        <v>312</v>
      </c>
      <c r="B29" s="246"/>
      <c r="C29" s="246"/>
      <c r="D29" s="246"/>
      <c r="E29" s="246"/>
    </row>
    <row r="30" spans="1:11" ht="28.5" customHeight="1" x14ac:dyDescent="0.25">
      <c r="A30" s="143" t="s">
        <v>382</v>
      </c>
      <c r="B30" s="120">
        <v>1</v>
      </c>
      <c r="C30" s="175">
        <v>2700</v>
      </c>
      <c r="D30" s="137">
        <f>'G2 CAC-MT Servente'!G112</f>
        <v>6345.5189880145917</v>
      </c>
      <c r="E30" s="137">
        <f>(1/2700)*D30</f>
        <v>2.350192217783182</v>
      </c>
    </row>
    <row r="31" spans="1:11" s="136" customFormat="1" ht="28.5" customHeight="1" x14ac:dyDescent="0.25">
      <c r="A31" s="260" t="s">
        <v>302</v>
      </c>
      <c r="B31" s="260"/>
      <c r="C31" s="260"/>
      <c r="D31" s="260"/>
      <c r="E31" s="139">
        <f>SUM(E30:E30)</f>
        <v>2.350192217783182</v>
      </c>
    </row>
    <row r="32" spans="1:11" ht="28.5" customHeight="1" x14ac:dyDescent="0.25">
      <c r="A32" s="246" t="s">
        <v>313</v>
      </c>
      <c r="B32" s="246"/>
      <c r="C32" s="246"/>
      <c r="D32" s="246"/>
      <c r="E32" s="246"/>
      <c r="F32" s="246"/>
      <c r="G32" s="246"/>
      <c r="H32" s="246"/>
    </row>
    <row r="33" spans="1:8" ht="28.5" customHeight="1" x14ac:dyDescent="0.25">
      <c r="A33" s="246" t="s">
        <v>314</v>
      </c>
      <c r="B33" s="246"/>
      <c r="C33" s="246"/>
      <c r="D33" s="246"/>
      <c r="E33" s="246"/>
      <c r="F33" s="246"/>
      <c r="G33" s="246"/>
      <c r="H33" s="246"/>
    </row>
    <row r="34" spans="1:8" ht="54" customHeight="1" x14ac:dyDescent="0.25">
      <c r="A34" s="121" t="s">
        <v>293</v>
      </c>
      <c r="B34" s="121"/>
      <c r="C34" s="121" t="s">
        <v>315</v>
      </c>
      <c r="D34" s="121" t="s">
        <v>316</v>
      </c>
      <c r="E34" s="121" t="s">
        <v>317</v>
      </c>
      <c r="F34" s="121" t="s">
        <v>318</v>
      </c>
      <c r="G34" s="121" t="s">
        <v>319</v>
      </c>
      <c r="H34" s="121" t="s">
        <v>320</v>
      </c>
    </row>
    <row r="35" spans="1:8" ht="39.75" customHeight="1" x14ac:dyDescent="0.25">
      <c r="A35" s="143" t="s">
        <v>382</v>
      </c>
      <c r="B35" s="120">
        <v>1</v>
      </c>
      <c r="C35" s="125">
        <v>108</v>
      </c>
      <c r="D35" s="125">
        <v>16</v>
      </c>
      <c r="E35" s="125" t="s">
        <v>321</v>
      </c>
      <c r="F35" s="144">
        <f>(B35/C35)*16*(1/188.76)</f>
        <v>7.8484926969775459E-4</v>
      </c>
      <c r="G35" s="137">
        <f>'G2 CAC-MT Servente'!G112</f>
        <v>6345.5189880145917</v>
      </c>
      <c r="H35" s="137">
        <f>G35*F35</f>
        <v>4.980275943596487</v>
      </c>
    </row>
    <row r="36" spans="1:8" s="136" customFormat="1" ht="39.75" customHeight="1" x14ac:dyDescent="0.25">
      <c r="A36" s="254" t="s">
        <v>302</v>
      </c>
      <c r="B36" s="255"/>
      <c r="C36" s="255"/>
      <c r="D36" s="255"/>
      <c r="E36" s="255"/>
      <c r="F36" s="255"/>
      <c r="G36" s="256"/>
      <c r="H36" s="139">
        <f>SUM(H35:H35)</f>
        <v>4.980275943596487</v>
      </c>
    </row>
    <row r="37" spans="1:8" ht="39.75" customHeight="1" thickBot="1" x14ac:dyDescent="0.3">
      <c r="A37" s="257" t="s">
        <v>324</v>
      </c>
      <c r="B37" s="258"/>
      <c r="C37" s="258"/>
      <c r="D37" s="258"/>
      <c r="E37" s="258"/>
      <c r="F37" s="258"/>
      <c r="G37" s="258"/>
      <c r="H37" s="258"/>
    </row>
    <row r="38" spans="1:8" ht="50.25" customHeight="1" x14ac:dyDescent="0.25">
      <c r="A38" s="262" t="s">
        <v>293</v>
      </c>
      <c r="B38" s="263"/>
      <c r="C38" s="121" t="s">
        <v>325</v>
      </c>
      <c r="D38" s="121" t="s">
        <v>326</v>
      </c>
      <c r="E38" s="121" t="s">
        <v>327</v>
      </c>
      <c r="F38" s="121" t="s">
        <v>318</v>
      </c>
      <c r="G38" s="121" t="s">
        <v>319</v>
      </c>
      <c r="H38" s="121" t="s">
        <v>328</v>
      </c>
    </row>
    <row r="39" spans="1:8" ht="39.75" customHeight="1" x14ac:dyDescent="0.25">
      <c r="A39" s="273" t="s">
        <v>382</v>
      </c>
      <c r="B39" s="274"/>
      <c r="C39" s="125" t="s">
        <v>330</v>
      </c>
      <c r="D39" s="125">
        <v>8</v>
      </c>
      <c r="E39" s="125" t="s">
        <v>329</v>
      </c>
      <c r="F39" s="144">
        <f>ROUND((1/160)*D39*(1/1132.6),7)</f>
        <v>4.4100000000000001E-5</v>
      </c>
      <c r="G39" s="137">
        <f>'G2 CAC-MT Servente'!G112</f>
        <v>6345.5189880145917</v>
      </c>
      <c r="H39" s="137">
        <f>G39*F39</f>
        <v>0.27983738737144348</v>
      </c>
    </row>
    <row r="40" spans="1:8" ht="39.75" customHeight="1" x14ac:dyDescent="0.25">
      <c r="A40" s="254" t="s">
        <v>302</v>
      </c>
      <c r="B40" s="255"/>
      <c r="C40" s="255"/>
      <c r="D40" s="255"/>
      <c r="E40" s="255"/>
      <c r="F40" s="255"/>
      <c r="G40" s="256"/>
      <c r="H40" s="139">
        <f>SUM(H39:H39)</f>
        <v>0.27983738737144348</v>
      </c>
    </row>
    <row r="44" spans="1:8" x14ac:dyDescent="0.25">
      <c r="A44" s="261"/>
      <c r="B44" s="261"/>
      <c r="C44" s="261"/>
      <c r="D44" s="145"/>
      <c r="E44" s="145"/>
      <c r="F44" s="145"/>
      <c r="G44" s="145"/>
      <c r="H44" s="145"/>
    </row>
    <row r="45" spans="1:8" ht="43.5" customHeight="1" x14ac:dyDescent="0.25">
      <c r="A45" s="247"/>
      <c r="B45" s="247"/>
      <c r="C45" s="247"/>
      <c r="D45" s="247"/>
      <c r="E45" s="247"/>
      <c r="F45" s="247"/>
      <c r="G45" s="247"/>
      <c r="H45" s="247"/>
    </row>
  </sheetData>
  <mergeCells count="29">
    <mergeCell ref="A40:G40"/>
    <mergeCell ref="A44:C44"/>
    <mergeCell ref="A45:H45"/>
    <mergeCell ref="A33:H33"/>
    <mergeCell ref="A36:G36"/>
    <mergeCell ref="A37:H37"/>
    <mergeCell ref="A38:B38"/>
    <mergeCell ref="A39:B39"/>
    <mergeCell ref="A32:H32"/>
    <mergeCell ref="A18:D18"/>
    <mergeCell ref="A19:E19"/>
    <mergeCell ref="A23:E23"/>
    <mergeCell ref="A25:D25"/>
    <mergeCell ref="A26:E26"/>
    <mergeCell ref="A28:D28"/>
    <mergeCell ref="A29:E29"/>
    <mergeCell ref="A31:D31"/>
    <mergeCell ref="A20:B22"/>
    <mergeCell ref="A1:E1"/>
    <mergeCell ref="A2:E2"/>
    <mergeCell ref="A3:E3"/>
    <mergeCell ref="A16:E16"/>
    <mergeCell ref="A7:E7"/>
    <mergeCell ref="A9:D9"/>
    <mergeCell ref="A10:E10"/>
    <mergeCell ref="A12:D12"/>
    <mergeCell ref="A13:E13"/>
    <mergeCell ref="A15:D15"/>
    <mergeCell ref="A4:B6"/>
  </mergeCells>
  <pageMargins left="0.31496062992125984" right="0.31496062992125984" top="0.55118110236220474" bottom="0.59055118110236227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9D75-B240-4C8E-894F-43E3A82B553F}">
  <sheetPr>
    <pageSetUpPr fitToPage="1"/>
  </sheetPr>
  <dimension ref="A1:ALZ114"/>
  <sheetViews>
    <sheetView showGridLines="0" topLeftCell="A71" zoomScaleNormal="100" workbookViewId="0">
      <selection activeCell="E88" sqref="E88:F88"/>
    </sheetView>
  </sheetViews>
  <sheetFormatPr defaultColWidth="9.140625"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5" customWidth="1"/>
    <col min="1026" max="16384" width="9.140625" style="75"/>
  </cols>
  <sheetData>
    <row r="1" spans="1:7" ht="28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37" t="s">
        <v>108</v>
      </c>
      <c r="B3" s="237"/>
      <c r="C3" s="237"/>
      <c r="D3" s="237"/>
      <c r="E3" s="237"/>
      <c r="F3" s="237"/>
      <c r="G3" s="237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29" t="s">
        <v>1</v>
      </c>
      <c r="B5" s="229"/>
      <c r="C5" s="229"/>
      <c r="D5" s="229"/>
      <c r="E5" s="229"/>
      <c r="F5" s="229"/>
      <c r="G5" s="229"/>
    </row>
    <row r="6" spans="1:7" ht="21.75" customHeight="1" x14ac:dyDescent="0.2">
      <c r="A6" s="229" t="s">
        <v>2</v>
      </c>
      <c r="B6" s="229"/>
      <c r="C6" s="229"/>
      <c r="D6" s="229"/>
      <c r="E6" s="229"/>
      <c r="F6" s="229"/>
      <c r="G6" s="22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238" t="s">
        <v>3</v>
      </c>
      <c r="B8" s="238"/>
      <c r="C8" s="238"/>
      <c r="D8" s="238"/>
      <c r="E8" s="238"/>
      <c r="F8" s="238"/>
      <c r="G8" s="238"/>
    </row>
    <row r="9" spans="1:7" s="6" customFormat="1" ht="3.75" customHeight="1" x14ac:dyDescent="0.2">
      <c r="A9" s="239"/>
      <c r="B9" s="239"/>
      <c r="C9" s="239"/>
      <c r="D9" s="239"/>
      <c r="E9" s="239"/>
      <c r="F9" s="239"/>
      <c r="G9" s="239"/>
    </row>
    <row r="10" spans="1:7" s="6" customFormat="1" ht="21.75" customHeight="1" x14ac:dyDescent="0.25">
      <c r="A10" s="197" t="s">
        <v>4</v>
      </c>
      <c r="B10" s="197"/>
      <c r="C10" s="197"/>
      <c r="D10" s="197"/>
      <c r="E10" s="197"/>
      <c r="F10" s="197"/>
      <c r="G10" s="197"/>
    </row>
    <row r="11" spans="1:7" s="6" customForma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165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157</v>
      </c>
    </row>
    <row r="13" spans="1:7" s="6" customFormat="1" ht="34.5" customHeight="1" x14ac:dyDescent="0.25">
      <c r="A13" s="11" t="s">
        <v>9</v>
      </c>
      <c r="B13" s="233" t="s">
        <v>10</v>
      </c>
      <c r="C13" s="233"/>
      <c r="D13" s="233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33" t="s">
        <v>19</v>
      </c>
      <c r="C17" s="234"/>
      <c r="D17" s="235" t="s">
        <v>347</v>
      </c>
      <c r="E17" s="235"/>
      <c r="F17" s="22"/>
      <c r="G17" s="24">
        <v>1511.95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33" t="s">
        <v>26</v>
      </c>
      <c r="C20" s="233"/>
      <c r="D20" s="233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198" t="s">
        <v>27</v>
      </c>
      <c r="B22" s="198"/>
      <c r="C22" s="198"/>
      <c r="D22" s="198"/>
      <c r="E22" s="198"/>
      <c r="F22" s="198"/>
      <c r="G22" s="198"/>
    </row>
    <row r="23" spans="1:7" s="1" customFormat="1" ht="19.5" customHeight="1" x14ac:dyDescent="0.25">
      <c r="A23" s="240"/>
      <c r="B23" s="240"/>
      <c r="C23" s="240"/>
      <c r="D23" s="240"/>
      <c r="E23" s="240"/>
      <c r="F23" s="240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1511.95</v>
      </c>
    </row>
    <row r="25" spans="1:7" s="1" customFormat="1" ht="45" x14ac:dyDescent="0.25">
      <c r="A25" s="29" t="s">
        <v>7</v>
      </c>
      <c r="B25" s="33" t="s">
        <v>113</v>
      </c>
      <c r="C25" s="34"/>
      <c r="D25" s="174" t="s">
        <v>359</v>
      </c>
      <c r="E25" s="193">
        <v>0.4</v>
      </c>
      <c r="F25" s="193"/>
      <c r="G25" s="173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348</v>
      </c>
      <c r="C26" s="34"/>
      <c r="D26" s="235" t="s">
        <v>347</v>
      </c>
      <c r="E26" s="235"/>
      <c r="F26" s="22"/>
      <c r="G26" s="24">
        <v>58.49</v>
      </c>
    </row>
    <row r="27" spans="1:7" s="1" customFormat="1" ht="21.75" customHeight="1" x14ac:dyDescent="0.25">
      <c r="A27" s="197" t="s">
        <v>30</v>
      </c>
      <c r="B27" s="197"/>
      <c r="C27" s="197"/>
      <c r="D27" s="197"/>
      <c r="E27" s="197"/>
      <c r="F27" s="197"/>
      <c r="G27" s="35">
        <f>SUM(G24:G26)</f>
        <v>2135.2399999999998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198" t="s">
        <v>31</v>
      </c>
      <c r="B29" s="198"/>
      <c r="C29" s="198"/>
      <c r="D29" s="198"/>
      <c r="E29" s="198"/>
      <c r="F29" s="198"/>
      <c r="G29" s="198"/>
    </row>
    <row r="30" spans="1:7" s="1" customFormat="1" ht="19.5" customHeight="1" x14ac:dyDescent="0.25">
      <c r="A30" s="208" t="s">
        <v>32</v>
      </c>
      <c r="B30" s="208"/>
      <c r="C30" s="208"/>
      <c r="D30" s="208"/>
      <c r="E30" s="208"/>
      <c r="F30" s="208"/>
      <c r="G30" s="208"/>
    </row>
    <row r="31" spans="1:7" s="1" customFormat="1" ht="19.5" customHeight="1" x14ac:dyDescent="0.25">
      <c r="A31" s="196"/>
      <c r="B31" s="196"/>
      <c r="C31" s="196"/>
      <c r="D31" s="196"/>
      <c r="E31" s="232" t="s">
        <v>33</v>
      </c>
      <c r="F31" s="232"/>
      <c r="G31" s="28" t="s">
        <v>28</v>
      </c>
    </row>
    <row r="32" spans="1:7" ht="19.5" customHeight="1" x14ac:dyDescent="0.2">
      <c r="A32" s="36" t="s">
        <v>5</v>
      </c>
      <c r="B32" s="229" t="s">
        <v>34</v>
      </c>
      <c r="C32" s="229"/>
      <c r="D32" s="229"/>
      <c r="E32" s="193">
        <v>8.3299999999999999E-2</v>
      </c>
      <c r="F32" s="193"/>
      <c r="G32" s="37">
        <f>ROUND($E$32*$G$27,2)</f>
        <v>177.87</v>
      </c>
    </row>
    <row r="33" spans="1:7" ht="49.5" customHeight="1" x14ac:dyDescent="0.2">
      <c r="A33" s="36" t="s">
        <v>7</v>
      </c>
      <c r="B33" s="213" t="s">
        <v>35</v>
      </c>
      <c r="C33" s="229"/>
      <c r="D33" s="229"/>
      <c r="E33" s="230">
        <v>2.7799999999999998E-2</v>
      </c>
      <c r="F33" s="230"/>
      <c r="G33" s="37">
        <f>ROUND($E$33*$G$27,2)</f>
        <v>59.36</v>
      </c>
    </row>
    <row r="34" spans="1:7" ht="19.5" customHeight="1" x14ac:dyDescent="0.2">
      <c r="A34" s="208" t="s">
        <v>36</v>
      </c>
      <c r="B34" s="208"/>
      <c r="C34" s="208"/>
      <c r="D34" s="208"/>
      <c r="E34" s="231">
        <f>SUM(E32:E33)</f>
        <v>0.1111</v>
      </c>
      <c r="F34" s="231"/>
      <c r="G34" s="38">
        <f>SUM(G32:G33)</f>
        <v>237.23000000000002</v>
      </c>
    </row>
    <row r="35" spans="1:7" s="39" customFormat="1" ht="19.5" customHeight="1" x14ac:dyDescent="0.25">
      <c r="A35" s="208" t="s">
        <v>37</v>
      </c>
      <c r="B35" s="208"/>
      <c r="C35" s="208"/>
      <c r="D35" s="208"/>
      <c r="E35" s="208"/>
      <c r="F35" s="208"/>
      <c r="G35" s="208"/>
    </row>
    <row r="36" spans="1:7" s="39" customFormat="1" ht="39" customHeight="1" x14ac:dyDescent="0.25">
      <c r="A36" s="36" t="s">
        <v>5</v>
      </c>
      <c r="B36" s="33" t="s">
        <v>38</v>
      </c>
      <c r="C36" s="40"/>
      <c r="D36" s="224" t="s">
        <v>39</v>
      </c>
      <c r="E36" s="224"/>
      <c r="F36" s="41">
        <v>0.2</v>
      </c>
      <c r="G36" s="37">
        <f>ROUND(F36*($G$27+$G$34),2)</f>
        <v>474.49</v>
      </c>
    </row>
    <row r="37" spans="1:7" s="39" customFormat="1" ht="39" customHeight="1" x14ac:dyDescent="0.25">
      <c r="A37" s="36" t="s">
        <v>7</v>
      </c>
      <c r="B37" s="33" t="s">
        <v>40</v>
      </c>
      <c r="C37" s="40"/>
      <c r="D37" s="224" t="s">
        <v>41</v>
      </c>
      <c r="E37" s="224"/>
      <c r="F37" s="42">
        <v>2.5000000000000001E-2</v>
      </c>
      <c r="G37" s="37">
        <f t="shared" ref="G37:G43" si="0">ROUND(F37*($G$27+$G$34),2)</f>
        <v>59.31</v>
      </c>
    </row>
    <row r="38" spans="1:7" s="39" customFormat="1" ht="62.25" customHeight="1" x14ac:dyDescent="0.25">
      <c r="A38" s="36" t="s">
        <v>9</v>
      </c>
      <c r="B38" s="222" t="s">
        <v>42</v>
      </c>
      <c r="C38" s="228"/>
      <c r="D38" s="224" t="s">
        <v>43</v>
      </c>
      <c r="E38" s="224"/>
      <c r="F38" s="43">
        <v>0.06</v>
      </c>
      <c r="G38" s="37">
        <f t="shared" si="0"/>
        <v>142.35</v>
      </c>
    </row>
    <row r="39" spans="1:7" s="39" customFormat="1" ht="48" customHeight="1" x14ac:dyDescent="0.25">
      <c r="A39" s="36" t="s">
        <v>11</v>
      </c>
      <c r="B39" s="33" t="s">
        <v>44</v>
      </c>
      <c r="C39" s="40"/>
      <c r="D39" s="224" t="s">
        <v>41</v>
      </c>
      <c r="E39" s="224"/>
      <c r="F39" s="42">
        <v>1.4999999999999999E-2</v>
      </c>
      <c r="G39" s="37">
        <f t="shared" si="0"/>
        <v>35.590000000000003</v>
      </c>
    </row>
    <row r="40" spans="1:7" s="39" customFormat="1" ht="43.5" customHeight="1" x14ac:dyDescent="0.25">
      <c r="A40" s="36" t="s">
        <v>13</v>
      </c>
      <c r="B40" s="33" t="s">
        <v>45</v>
      </c>
      <c r="C40" s="40"/>
      <c r="D40" s="224" t="s">
        <v>41</v>
      </c>
      <c r="E40" s="224"/>
      <c r="F40" s="42">
        <v>0.01</v>
      </c>
      <c r="G40" s="37">
        <f t="shared" si="0"/>
        <v>23.72</v>
      </c>
    </row>
    <row r="41" spans="1:7" s="39" customFormat="1" ht="42.75" customHeight="1" x14ac:dyDescent="0.25">
      <c r="A41" s="36" t="s">
        <v>15</v>
      </c>
      <c r="B41" s="33" t="s">
        <v>46</v>
      </c>
      <c r="C41" s="40"/>
      <c r="D41" s="224" t="s">
        <v>41</v>
      </c>
      <c r="E41" s="224"/>
      <c r="F41" s="42">
        <v>6.0000000000000001E-3</v>
      </c>
      <c r="G41" s="37">
        <f t="shared" si="0"/>
        <v>14.23</v>
      </c>
    </row>
    <row r="42" spans="1:7" s="39" customFormat="1" ht="46.5" customHeight="1" x14ac:dyDescent="0.25">
      <c r="A42" s="36" t="s">
        <v>18</v>
      </c>
      <c r="B42" s="33" t="s">
        <v>47</v>
      </c>
      <c r="C42" s="40"/>
      <c r="D42" s="224" t="s">
        <v>41</v>
      </c>
      <c r="E42" s="224"/>
      <c r="F42" s="42">
        <v>2E-3</v>
      </c>
      <c r="G42" s="37">
        <f t="shared" si="0"/>
        <v>4.74</v>
      </c>
    </row>
    <row r="43" spans="1:7" s="39" customFormat="1" ht="48" customHeight="1" x14ac:dyDescent="0.25">
      <c r="A43" s="36" t="s">
        <v>20</v>
      </c>
      <c r="B43" s="33" t="s">
        <v>48</v>
      </c>
      <c r="C43" s="40"/>
      <c r="D43" s="224" t="s">
        <v>41</v>
      </c>
      <c r="E43" s="224"/>
      <c r="F43" s="42">
        <v>0.08</v>
      </c>
      <c r="G43" s="37">
        <f t="shared" si="0"/>
        <v>189.8</v>
      </c>
    </row>
    <row r="44" spans="1:7" s="39" customFormat="1" ht="19.5" customHeight="1" x14ac:dyDescent="0.25">
      <c r="A44" s="225" t="s">
        <v>49</v>
      </c>
      <c r="B44" s="226"/>
      <c r="C44" s="226"/>
      <c r="D44" s="226"/>
      <c r="E44" s="227"/>
      <c r="F44" s="44">
        <f>SUM(F36:F43)</f>
        <v>0.39800000000000008</v>
      </c>
      <c r="G44" s="45">
        <f>SUM(G36:G43)</f>
        <v>944.23</v>
      </c>
    </row>
    <row r="45" spans="1:7" ht="19.5" customHeight="1" x14ac:dyDescent="0.2">
      <c r="A45" s="208" t="s">
        <v>50</v>
      </c>
      <c r="B45" s="208"/>
      <c r="C45" s="208"/>
      <c r="D45" s="208"/>
      <c r="E45" s="208"/>
      <c r="F45" s="208"/>
      <c r="G45" s="208"/>
    </row>
    <row r="46" spans="1:7" ht="57.75" customHeight="1" x14ac:dyDescent="0.2">
      <c r="A46" s="46" t="s">
        <v>5</v>
      </c>
      <c r="B46" s="194" t="s">
        <v>51</v>
      </c>
      <c r="C46" s="195"/>
      <c r="D46" s="47" t="s">
        <v>349</v>
      </c>
      <c r="E46" s="37">
        <v>22</v>
      </c>
      <c r="F46" s="48">
        <v>0.05</v>
      </c>
      <c r="G46" s="37">
        <f>ROUND((E46*22)*(1-F46),2)</f>
        <v>459.8</v>
      </c>
    </row>
    <row r="47" spans="1:7" ht="70.5" customHeight="1" x14ac:dyDescent="0.2">
      <c r="A47" s="36" t="s">
        <v>7</v>
      </c>
      <c r="B47" s="194" t="s">
        <v>52</v>
      </c>
      <c r="C47" s="195"/>
      <c r="D47" s="47" t="s">
        <v>352</v>
      </c>
      <c r="E47" s="37"/>
      <c r="F47" s="48">
        <v>0</v>
      </c>
      <c r="G47" s="37">
        <v>60</v>
      </c>
    </row>
    <row r="48" spans="1:7" ht="70.5" customHeight="1" x14ac:dyDescent="0.2">
      <c r="A48" s="36" t="s">
        <v>9</v>
      </c>
      <c r="B48" s="199" t="s">
        <v>350</v>
      </c>
      <c r="C48" s="201"/>
      <c r="D48" s="47" t="s">
        <v>351</v>
      </c>
      <c r="E48" s="37"/>
      <c r="F48" s="49"/>
      <c r="G48" s="37">
        <v>152</v>
      </c>
    </row>
    <row r="49" spans="1:9" ht="40.5" customHeight="1" x14ac:dyDescent="0.2">
      <c r="A49" s="36" t="s">
        <v>11</v>
      </c>
      <c r="B49" s="199" t="s">
        <v>114</v>
      </c>
      <c r="C49" s="201"/>
      <c r="D49" s="47"/>
      <c r="E49" s="37"/>
      <c r="F49" s="49"/>
      <c r="G49" s="37">
        <f>E49</f>
        <v>0</v>
      </c>
    </row>
    <row r="50" spans="1:9" ht="31.5" customHeight="1" x14ac:dyDescent="0.2">
      <c r="A50" s="208" t="s">
        <v>53</v>
      </c>
      <c r="B50" s="208"/>
      <c r="C50" s="208"/>
      <c r="D50" s="208"/>
      <c r="E50" s="208"/>
      <c r="F50" s="208"/>
      <c r="G50" s="38">
        <f>SUM(G46:G49)</f>
        <v>671.8</v>
      </c>
    </row>
    <row r="51" spans="1:9" ht="31.5" customHeight="1" x14ac:dyDescent="0.2">
      <c r="A51" s="209" t="s">
        <v>54</v>
      </c>
      <c r="B51" s="209"/>
      <c r="C51" s="209"/>
      <c r="D51" s="209"/>
      <c r="E51" s="209"/>
      <c r="F51" s="209"/>
      <c r="G51" s="50">
        <f>SUM(G50,G44,G34)</f>
        <v>1853.26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198" t="s">
        <v>55</v>
      </c>
      <c r="B53" s="198"/>
      <c r="C53" s="198"/>
      <c r="D53" s="198"/>
      <c r="E53" s="198"/>
      <c r="F53" s="198"/>
      <c r="G53" s="198"/>
    </row>
    <row r="54" spans="1:9" ht="80.25" customHeight="1" x14ac:dyDescent="0.2">
      <c r="A54" s="204" t="s">
        <v>5</v>
      </c>
      <c r="B54" s="213" t="s">
        <v>56</v>
      </c>
      <c r="C54" s="213"/>
      <c r="D54" s="213"/>
      <c r="E54" s="193">
        <f>(1/12)*D55</f>
        <v>4.1666666666666666E-3</v>
      </c>
      <c r="F54" s="193"/>
      <c r="G54" s="218">
        <f>ROUND($G$27+$G$34,0)*E54</f>
        <v>9.8833333333333329</v>
      </c>
    </row>
    <row r="55" spans="1:9" ht="77.25" customHeight="1" x14ac:dyDescent="0.2">
      <c r="A55" s="204"/>
      <c r="B55" s="223" t="s">
        <v>57</v>
      </c>
      <c r="C55" s="223"/>
      <c r="D55" s="51">
        <v>0.05</v>
      </c>
      <c r="E55" s="193"/>
      <c r="F55" s="193"/>
      <c r="G55" s="218"/>
    </row>
    <row r="56" spans="1:9" ht="42.75" customHeight="1" x14ac:dyDescent="0.2">
      <c r="A56" s="36" t="s">
        <v>7</v>
      </c>
      <c r="B56" s="213" t="s">
        <v>58</v>
      </c>
      <c r="C56" s="213"/>
      <c r="D56" s="213"/>
      <c r="E56" s="193">
        <v>0.08</v>
      </c>
      <c r="F56" s="193"/>
      <c r="G56" s="37">
        <f>ROUND(G54*E56,2)</f>
        <v>0.79</v>
      </c>
      <c r="H56" s="52"/>
      <c r="I56" s="52"/>
    </row>
    <row r="57" spans="1:9" ht="53.25" customHeight="1" x14ac:dyDescent="0.2">
      <c r="A57" s="36" t="s">
        <v>9</v>
      </c>
      <c r="B57" s="194" t="s">
        <v>59</v>
      </c>
      <c r="C57" s="222"/>
      <c r="D57" s="195"/>
      <c r="E57" s="193">
        <f>(7/30)/12</f>
        <v>1.9444444444444445E-2</v>
      </c>
      <c r="F57" s="193"/>
      <c r="G57" s="37">
        <f>ROUND((($G$27+$G$34)*E57),2)</f>
        <v>46.13</v>
      </c>
    </row>
    <row r="58" spans="1:9" ht="37.5" customHeight="1" x14ac:dyDescent="0.2">
      <c r="A58" s="36" t="s">
        <v>11</v>
      </c>
      <c r="B58" s="213" t="s">
        <v>60</v>
      </c>
      <c r="C58" s="213"/>
      <c r="D58" s="213"/>
      <c r="E58" s="193">
        <f>F44</f>
        <v>0.39800000000000008</v>
      </c>
      <c r="F58" s="193"/>
      <c r="G58" s="37">
        <f>ROUND(E58*G57,2)</f>
        <v>18.36</v>
      </c>
    </row>
    <row r="59" spans="1:9" ht="64.5" customHeight="1" x14ac:dyDescent="0.2">
      <c r="A59" s="36" t="s">
        <v>13</v>
      </c>
      <c r="B59" s="213" t="s">
        <v>61</v>
      </c>
      <c r="C59" s="213"/>
      <c r="D59" s="213"/>
      <c r="E59" s="193">
        <v>0.04</v>
      </c>
      <c r="F59" s="193"/>
      <c r="G59" s="37">
        <f>ROUND(E59*($G$27+$G$34),2)</f>
        <v>94.9</v>
      </c>
    </row>
    <row r="60" spans="1:9" ht="21.75" customHeight="1" x14ac:dyDescent="0.2">
      <c r="A60" s="197" t="s">
        <v>62</v>
      </c>
      <c r="B60" s="197"/>
      <c r="C60" s="197"/>
      <c r="D60" s="197"/>
      <c r="E60" s="197"/>
      <c r="F60" s="197"/>
      <c r="G60" s="50">
        <f>ROUND(SUM(G54:G59),2)</f>
        <v>170.06</v>
      </c>
    </row>
    <row r="61" spans="1:9" ht="3.75" customHeight="1" x14ac:dyDescent="0.2">
      <c r="A61" s="53"/>
      <c r="B61" s="54"/>
      <c r="C61" s="54"/>
      <c r="D61" s="54"/>
      <c r="E61" s="54"/>
      <c r="F61" s="54"/>
      <c r="G61" s="54"/>
    </row>
    <row r="62" spans="1:9" ht="21.75" customHeight="1" x14ac:dyDescent="0.2">
      <c r="A62" s="198" t="s">
        <v>63</v>
      </c>
      <c r="B62" s="198"/>
      <c r="C62" s="198"/>
      <c r="D62" s="198"/>
      <c r="E62" s="198"/>
      <c r="F62" s="198"/>
      <c r="G62" s="198"/>
    </row>
    <row r="63" spans="1:9" ht="21.75" customHeight="1" x14ac:dyDescent="0.2">
      <c r="A63" s="208" t="s">
        <v>64</v>
      </c>
      <c r="B63" s="208"/>
      <c r="C63" s="208"/>
      <c r="D63" s="208"/>
      <c r="E63" s="208"/>
      <c r="F63" s="208"/>
      <c r="G63" s="208"/>
    </row>
    <row r="64" spans="1:9" ht="21.75" customHeight="1" x14ac:dyDescent="0.2">
      <c r="A64" s="204" t="s">
        <v>5</v>
      </c>
      <c r="B64" s="213" t="s">
        <v>65</v>
      </c>
      <c r="C64" s="213"/>
      <c r="D64" s="213"/>
      <c r="E64" s="214">
        <v>8.3299999999999999E-2</v>
      </c>
      <c r="F64" s="215"/>
      <c r="G64" s="218">
        <f>E64*($G$27+$G$51+$G$60)</f>
        <v>346.40804800000001</v>
      </c>
    </row>
    <row r="65" spans="1:7" ht="39.75" customHeight="1" x14ac:dyDescent="0.2">
      <c r="A65" s="204"/>
      <c r="B65" s="219" t="s">
        <v>66</v>
      </c>
      <c r="C65" s="220"/>
      <c r="D65" s="221"/>
      <c r="E65" s="216"/>
      <c r="F65" s="217"/>
      <c r="G65" s="218"/>
    </row>
    <row r="66" spans="1:7" x14ac:dyDescent="0.2">
      <c r="A66" s="204" t="s">
        <v>7</v>
      </c>
      <c r="B66" s="213" t="s">
        <v>67</v>
      </c>
      <c r="C66" s="213"/>
      <c r="D66" s="213"/>
      <c r="E66" s="214">
        <f>(6/360)</f>
        <v>1.6666666666666666E-2</v>
      </c>
      <c r="F66" s="215"/>
      <c r="G66" s="218">
        <f>E66*($G$27+$G$34+$G$44)</f>
        <v>55.278333333333329</v>
      </c>
    </row>
    <row r="67" spans="1:7" ht="78" customHeight="1" x14ac:dyDescent="0.2">
      <c r="A67" s="204"/>
      <c r="B67" s="219" t="s">
        <v>68</v>
      </c>
      <c r="C67" s="220"/>
      <c r="D67" s="221"/>
      <c r="E67" s="216"/>
      <c r="F67" s="217"/>
      <c r="G67" s="218"/>
    </row>
    <row r="68" spans="1:7" x14ac:dyDescent="0.2">
      <c r="A68" s="204" t="s">
        <v>9</v>
      </c>
      <c r="B68" s="213" t="s">
        <v>69</v>
      </c>
      <c r="C68" s="213"/>
      <c r="D68" s="213"/>
      <c r="E68" s="214">
        <f>((5/360)*(1.399%))</f>
        <v>1.9430555555555556E-4</v>
      </c>
      <c r="F68" s="215"/>
      <c r="G68" s="218">
        <f>E68*($G$27+$G$34+$G$44)</f>
        <v>0.64445323611111105</v>
      </c>
    </row>
    <row r="69" spans="1:7" ht="57" customHeight="1" x14ac:dyDescent="0.2">
      <c r="A69" s="204"/>
      <c r="B69" s="219" t="s">
        <v>70</v>
      </c>
      <c r="C69" s="220"/>
      <c r="D69" s="221"/>
      <c r="E69" s="216"/>
      <c r="F69" s="217"/>
      <c r="G69" s="218"/>
    </row>
    <row r="70" spans="1:7" x14ac:dyDescent="0.2">
      <c r="A70" s="204" t="s">
        <v>11</v>
      </c>
      <c r="B70" s="213" t="s">
        <v>71</v>
      </c>
      <c r="C70" s="213"/>
      <c r="D70" s="213"/>
      <c r="E70" s="214">
        <f>((15/360)*(2.16%))</f>
        <v>8.9999999999999998E-4</v>
      </c>
      <c r="F70" s="215"/>
      <c r="G70" s="218">
        <f>E70*($G$27+$G$34+$G$44)</f>
        <v>2.9850299999999996</v>
      </c>
    </row>
    <row r="71" spans="1:7" ht="63" customHeight="1" x14ac:dyDescent="0.2">
      <c r="A71" s="204"/>
      <c r="B71" s="219" t="s">
        <v>72</v>
      </c>
      <c r="C71" s="220"/>
      <c r="D71" s="221"/>
      <c r="E71" s="216"/>
      <c r="F71" s="217"/>
      <c r="G71" s="218"/>
    </row>
    <row r="72" spans="1:7" x14ac:dyDescent="0.2">
      <c r="A72" s="204" t="s">
        <v>13</v>
      </c>
      <c r="B72" s="213" t="s">
        <v>73</v>
      </c>
      <c r="C72" s="213"/>
      <c r="D72" s="213"/>
      <c r="E72" s="214">
        <f>((50%)*(1.99%)*(4/12)*(8.93%+8.93%+2.98%))</f>
        <v>6.9119333333333326E-4</v>
      </c>
      <c r="F72" s="215"/>
      <c r="G72" s="218">
        <f>(E72*G27)</f>
        <v>1.4758636530666664</v>
      </c>
    </row>
    <row r="73" spans="1:7" ht="54.75" customHeight="1" x14ac:dyDescent="0.2">
      <c r="A73" s="204"/>
      <c r="B73" s="219" t="s">
        <v>74</v>
      </c>
      <c r="C73" s="220"/>
      <c r="D73" s="221"/>
      <c r="E73" s="216"/>
      <c r="F73" s="217"/>
      <c r="G73" s="218"/>
    </row>
    <row r="74" spans="1:7" ht="19.5" customHeight="1" x14ac:dyDescent="0.2">
      <c r="A74" s="208" t="s">
        <v>75</v>
      </c>
      <c r="B74" s="208"/>
      <c r="C74" s="208"/>
      <c r="D74" s="208"/>
      <c r="E74" s="208"/>
      <c r="F74" s="208"/>
      <c r="G74" s="45">
        <f>SUM(G64:G73)</f>
        <v>406.7917282225111</v>
      </c>
    </row>
    <row r="75" spans="1:7" ht="3.75" customHeight="1" x14ac:dyDescent="0.2">
      <c r="A75" s="55"/>
      <c r="B75" s="56"/>
      <c r="C75" s="56"/>
      <c r="D75" s="56"/>
      <c r="E75" s="56"/>
      <c r="F75" s="56"/>
      <c r="G75" s="56"/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0.75" customHeight="1" x14ac:dyDescent="0.2">
      <c r="A77" s="209" t="s">
        <v>76</v>
      </c>
      <c r="B77" s="209"/>
      <c r="C77" s="209"/>
      <c r="D77" s="209"/>
      <c r="E77" s="209"/>
      <c r="F77" s="209"/>
      <c r="G77" s="59">
        <f>G74</f>
        <v>406.7917282225111</v>
      </c>
    </row>
    <row r="78" spans="1:7" ht="3.75" customHeight="1" x14ac:dyDescent="0.2">
      <c r="A78" s="210"/>
      <c r="B78" s="210"/>
      <c r="C78" s="210"/>
      <c r="D78" s="210"/>
      <c r="E78" s="210"/>
      <c r="F78" s="210"/>
      <c r="G78" s="210"/>
    </row>
    <row r="79" spans="1:7" ht="21.75" customHeight="1" x14ac:dyDescent="0.2">
      <c r="A79" s="198" t="s">
        <v>77</v>
      </c>
      <c r="B79" s="198"/>
      <c r="C79" s="198"/>
      <c r="D79" s="198"/>
      <c r="E79" s="198"/>
      <c r="F79" s="198"/>
      <c r="G79" s="198"/>
    </row>
    <row r="80" spans="1:7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7">
        <f>'Insumos Diversos'!J92</f>
        <v>47</v>
      </c>
    </row>
    <row r="81" spans="1:7" ht="19.5" customHeight="1" x14ac:dyDescent="0.2">
      <c r="A81" s="60" t="s">
        <v>7</v>
      </c>
      <c r="B81" s="30" t="s">
        <v>274</v>
      </c>
      <c r="C81" s="31"/>
      <c r="D81" s="31"/>
      <c r="E81" s="31"/>
      <c r="F81" s="31"/>
      <c r="G81" s="37">
        <f>'Insumos Diversos'!P48</f>
        <v>205</v>
      </c>
    </row>
    <row r="82" spans="1:7" ht="19.5" customHeight="1" x14ac:dyDescent="0.2">
      <c r="A82" s="61" t="s">
        <v>9</v>
      </c>
      <c r="B82" s="30" t="s">
        <v>79</v>
      </c>
      <c r="C82" s="31"/>
      <c r="D82" s="31"/>
      <c r="E82" s="31"/>
      <c r="F82" s="31"/>
      <c r="G82" s="37">
        <f>'Insumos Diversos'!P76</f>
        <v>6.55</v>
      </c>
    </row>
    <row r="83" spans="1:7" ht="21.75" customHeight="1" x14ac:dyDescent="0.2">
      <c r="A83" s="211" t="s">
        <v>80</v>
      </c>
      <c r="B83" s="211"/>
      <c r="C83" s="211"/>
      <c r="D83" s="211"/>
      <c r="E83" s="211"/>
      <c r="F83" s="211"/>
      <c r="G83" s="35">
        <f>SUM(G80:G82)</f>
        <v>258.55</v>
      </c>
    </row>
    <row r="84" spans="1:7" ht="3.75" customHeight="1" x14ac:dyDescent="0.2">
      <c r="A84" s="212"/>
      <c r="B84" s="212"/>
      <c r="C84" s="212"/>
      <c r="D84" s="212"/>
      <c r="E84" s="212"/>
      <c r="F84" s="212"/>
      <c r="G84" s="212"/>
    </row>
    <row r="85" spans="1:7" ht="23.25" customHeight="1" x14ac:dyDescent="0.2">
      <c r="A85" s="198" t="s">
        <v>81</v>
      </c>
      <c r="B85" s="198"/>
      <c r="C85" s="198"/>
      <c r="D85" s="198"/>
      <c r="E85" s="198"/>
      <c r="F85" s="198"/>
      <c r="G85" s="198"/>
    </row>
    <row r="86" spans="1:7" ht="19.5" customHeight="1" x14ac:dyDescent="0.2">
      <c r="A86" s="36" t="s">
        <v>5</v>
      </c>
      <c r="B86" s="199" t="s">
        <v>82</v>
      </c>
      <c r="C86" s="200"/>
      <c r="D86" s="201"/>
      <c r="E86" s="202">
        <v>0.03</v>
      </c>
      <c r="F86" s="203"/>
      <c r="G86" s="37">
        <f>ROUND((G103)*E86,2)</f>
        <v>144.72</v>
      </c>
    </row>
    <row r="87" spans="1:7" ht="19.5" customHeight="1" x14ac:dyDescent="0.2">
      <c r="A87" s="36" t="s">
        <v>7</v>
      </c>
      <c r="B87" s="199" t="s">
        <v>83</v>
      </c>
      <c r="C87" s="200"/>
      <c r="D87" s="201"/>
      <c r="E87" s="202">
        <v>6.7900000000000002E-2</v>
      </c>
      <c r="F87" s="203"/>
      <c r="G87" s="37">
        <f>ROUND((G103+$G$86)*E87,2)</f>
        <v>337.37</v>
      </c>
    </row>
    <row r="88" spans="1:7" ht="19.5" customHeight="1" x14ac:dyDescent="0.2">
      <c r="A88" s="204" t="s">
        <v>9</v>
      </c>
      <c r="B88" s="205" t="s">
        <v>84</v>
      </c>
      <c r="C88" s="62"/>
      <c r="D88" s="63"/>
      <c r="E88" s="206">
        <f>SUM(E89:F93)</f>
        <v>0.14250000000000002</v>
      </c>
      <c r="F88" s="207"/>
      <c r="G88" s="64"/>
    </row>
    <row r="89" spans="1:7" ht="19.5" customHeight="1" x14ac:dyDescent="0.2">
      <c r="A89" s="204"/>
      <c r="B89" s="205"/>
      <c r="C89" s="65" t="s">
        <v>85</v>
      </c>
      <c r="D89" s="66" t="s">
        <v>86</v>
      </c>
      <c r="E89" s="193">
        <v>1.6500000000000001E-2</v>
      </c>
      <c r="F89" s="193"/>
      <c r="G89" s="37">
        <f>ROUND((E89)*($G$105),2)</f>
        <v>102.1</v>
      </c>
    </row>
    <row r="90" spans="1:7" ht="19.5" customHeight="1" x14ac:dyDescent="0.2">
      <c r="A90" s="204"/>
      <c r="B90" s="205"/>
      <c r="C90" s="67"/>
      <c r="D90" s="66" t="s">
        <v>87</v>
      </c>
      <c r="E90" s="193">
        <v>7.5999999999999998E-2</v>
      </c>
      <c r="F90" s="193"/>
      <c r="G90" s="37">
        <f>ROUND((E90)*($G$105),2)</f>
        <v>470.27</v>
      </c>
    </row>
    <row r="91" spans="1:7" ht="19.5" customHeight="1" x14ac:dyDescent="0.2">
      <c r="A91" s="204"/>
      <c r="B91" s="205"/>
      <c r="C91" s="68"/>
      <c r="D91" s="66" t="s">
        <v>88</v>
      </c>
      <c r="E91" s="193"/>
      <c r="F91" s="193"/>
      <c r="G91" s="37">
        <f>ROUND((E91)*($G$105),2)</f>
        <v>0</v>
      </c>
    </row>
    <row r="92" spans="1:7" ht="77.25" customHeight="1" x14ac:dyDescent="0.2">
      <c r="A92" s="204"/>
      <c r="B92" s="205"/>
      <c r="C92" s="69" t="s">
        <v>170</v>
      </c>
      <c r="D92" s="66" t="s">
        <v>89</v>
      </c>
      <c r="E92" s="193">
        <v>0.05</v>
      </c>
      <c r="F92" s="193"/>
      <c r="G92" s="37">
        <f>ROUND((E92)*($G$105),2)</f>
        <v>309.39</v>
      </c>
    </row>
    <row r="93" spans="1:7" ht="41.25" customHeight="1" x14ac:dyDescent="0.2">
      <c r="A93" s="204"/>
      <c r="B93" s="205"/>
      <c r="C93" s="194" t="s">
        <v>90</v>
      </c>
      <c r="D93" s="195"/>
      <c r="E93" s="193"/>
      <c r="F93" s="193"/>
      <c r="G93" s="37">
        <f>ROUND((E93)*($G$105),2)</f>
        <v>0</v>
      </c>
    </row>
    <row r="94" spans="1:7" ht="19.5" customHeight="1" x14ac:dyDescent="0.2">
      <c r="A94" s="204"/>
      <c r="B94" s="196" t="s">
        <v>91</v>
      </c>
      <c r="C94" s="196"/>
      <c r="D94" s="196"/>
      <c r="E94" s="196"/>
      <c r="F94" s="196"/>
      <c r="G94" s="70">
        <f>SUM(G89,G90,G91,G92,G93)</f>
        <v>881.76</v>
      </c>
    </row>
    <row r="95" spans="1:7" ht="21.75" customHeight="1" x14ac:dyDescent="0.2">
      <c r="A95" s="197" t="s">
        <v>92</v>
      </c>
      <c r="B95" s="197"/>
      <c r="C95" s="197"/>
      <c r="D95" s="197"/>
      <c r="E95" s="197"/>
      <c r="F95" s="197"/>
      <c r="G95" s="71">
        <f>SUM(G94,G87,G86)</f>
        <v>1363.8500000000001</v>
      </c>
    </row>
    <row r="96" spans="1:7" ht="3.75" customHeight="1" x14ac:dyDescent="0.2">
      <c r="A96" s="189"/>
      <c r="B96" s="189"/>
      <c r="C96" s="189"/>
      <c r="D96" s="189"/>
      <c r="E96" s="189"/>
      <c r="F96" s="189"/>
      <c r="G96" s="189"/>
    </row>
    <row r="97" spans="1:7" ht="23.25" customHeight="1" x14ac:dyDescent="0.2">
      <c r="A97" s="190" t="s">
        <v>93</v>
      </c>
      <c r="B97" s="190"/>
      <c r="C97" s="190"/>
      <c r="D97" s="190"/>
      <c r="E97" s="190"/>
      <c r="F97" s="190"/>
      <c r="G97" s="190"/>
    </row>
    <row r="98" spans="1:7" ht="19.5" customHeight="1" x14ac:dyDescent="0.2">
      <c r="A98" s="36" t="s">
        <v>5</v>
      </c>
      <c r="B98" s="33" t="s">
        <v>94</v>
      </c>
      <c r="C98" s="40"/>
      <c r="D98" s="40"/>
      <c r="E98" s="40"/>
      <c r="F98" s="40"/>
      <c r="G98" s="32">
        <f>G27</f>
        <v>2135.2399999999998</v>
      </c>
    </row>
    <row r="99" spans="1:7" ht="19.5" customHeight="1" x14ac:dyDescent="0.2">
      <c r="A99" s="36" t="s">
        <v>7</v>
      </c>
      <c r="B99" s="33" t="s">
        <v>95</v>
      </c>
      <c r="C99" s="40"/>
      <c r="D99" s="40"/>
      <c r="E99" s="40"/>
      <c r="F99" s="40"/>
      <c r="G99" s="32">
        <f>G51</f>
        <v>1853.26</v>
      </c>
    </row>
    <row r="100" spans="1:7" ht="19.5" customHeight="1" x14ac:dyDescent="0.2">
      <c r="A100" s="36" t="s">
        <v>9</v>
      </c>
      <c r="B100" s="33" t="s">
        <v>96</v>
      </c>
      <c r="C100" s="40"/>
      <c r="D100" s="40"/>
      <c r="E100" s="40"/>
      <c r="F100" s="40"/>
      <c r="G100" s="32">
        <f>G60</f>
        <v>170.06</v>
      </c>
    </row>
    <row r="101" spans="1:7" ht="19.5" customHeight="1" x14ac:dyDescent="0.2">
      <c r="A101" s="36" t="s">
        <v>11</v>
      </c>
      <c r="B101" s="33" t="s">
        <v>97</v>
      </c>
      <c r="C101" s="40"/>
      <c r="D101" s="40"/>
      <c r="E101" s="40"/>
      <c r="F101" s="40"/>
      <c r="G101" s="32">
        <f>G77</f>
        <v>406.7917282225111</v>
      </c>
    </row>
    <row r="102" spans="1:7" ht="19.5" customHeight="1" x14ac:dyDescent="0.2">
      <c r="A102" s="36" t="s">
        <v>13</v>
      </c>
      <c r="B102" s="33" t="s">
        <v>98</v>
      </c>
      <c r="C102" s="40"/>
      <c r="D102" s="40"/>
      <c r="E102" s="40"/>
      <c r="F102" s="40"/>
      <c r="G102" s="32">
        <f>G83</f>
        <v>258.55</v>
      </c>
    </row>
    <row r="103" spans="1:7" ht="19.5" customHeight="1" x14ac:dyDescent="0.2">
      <c r="A103" s="191" t="s">
        <v>99</v>
      </c>
      <c r="B103" s="192"/>
      <c r="C103" s="192"/>
      <c r="D103" s="192"/>
      <c r="E103" s="192"/>
      <c r="F103" s="192"/>
      <c r="G103" s="72">
        <f>SUM(G98:G102)</f>
        <v>4823.9017282225113</v>
      </c>
    </row>
    <row r="104" spans="1:7" ht="19.5" customHeight="1" x14ac:dyDescent="0.2">
      <c r="A104" s="36" t="s">
        <v>15</v>
      </c>
      <c r="B104" s="33" t="s">
        <v>100</v>
      </c>
      <c r="C104" s="40"/>
      <c r="D104" s="40"/>
      <c r="E104" s="40"/>
      <c r="F104" s="40"/>
      <c r="G104" s="32">
        <f>G95</f>
        <v>1363.8500000000001</v>
      </c>
    </row>
    <row r="105" spans="1:7" ht="43.5" customHeight="1" x14ac:dyDescent="0.2">
      <c r="A105" s="185" t="s">
        <v>101</v>
      </c>
      <c r="B105" s="185"/>
      <c r="C105" s="185"/>
      <c r="D105" s="185"/>
      <c r="E105" s="185"/>
      <c r="F105" s="185"/>
      <c r="G105" s="73">
        <f>SUM(G103+G86+G87)/(1-E88)</f>
        <v>6187.7454556530747</v>
      </c>
    </row>
    <row r="106" spans="1:7" ht="3.75" customHeight="1" x14ac:dyDescent="0.2">
      <c r="A106" s="189"/>
      <c r="B106" s="189"/>
      <c r="C106" s="189"/>
      <c r="D106" s="189"/>
      <c r="E106" s="189"/>
      <c r="F106" s="189"/>
      <c r="G106" s="189"/>
    </row>
    <row r="107" spans="1:7" ht="22.5" customHeight="1" x14ac:dyDescent="0.2">
      <c r="A107" s="187" t="s">
        <v>102</v>
      </c>
      <c r="B107" s="187"/>
      <c r="C107" s="187"/>
      <c r="D107" s="187"/>
      <c r="E107" s="187"/>
      <c r="F107" s="187"/>
      <c r="G107" s="187"/>
    </row>
    <row r="108" spans="1:7" ht="21" customHeight="1" x14ac:dyDescent="0.2">
      <c r="A108" s="186" t="s">
        <v>103</v>
      </c>
      <c r="B108" s="186"/>
      <c r="C108" s="186"/>
      <c r="D108" s="186"/>
      <c r="E108" s="186"/>
      <c r="F108" s="186"/>
      <c r="G108" s="32">
        <f>G105</f>
        <v>6187.7454556530747</v>
      </c>
    </row>
    <row r="109" spans="1:7" ht="21" customHeight="1" x14ac:dyDescent="0.2">
      <c r="A109" s="186" t="s">
        <v>104</v>
      </c>
      <c r="B109" s="186"/>
      <c r="C109" s="186"/>
      <c r="D109" s="186"/>
      <c r="E109" s="186"/>
      <c r="F109" s="186"/>
      <c r="G109" s="11">
        <v>1</v>
      </c>
    </row>
    <row r="110" spans="1:7" ht="21" customHeight="1" x14ac:dyDescent="0.2">
      <c r="A110" s="186" t="s">
        <v>105</v>
      </c>
      <c r="B110" s="186"/>
      <c r="C110" s="186"/>
      <c r="D110" s="186"/>
      <c r="E110" s="186"/>
      <c r="F110" s="186"/>
      <c r="G110" s="32">
        <f>G109*G108</f>
        <v>6187.7454556530747</v>
      </c>
    </row>
    <row r="111" spans="1:7" ht="21" customHeight="1" x14ac:dyDescent="0.2">
      <c r="A111" s="186" t="s">
        <v>106</v>
      </c>
      <c r="B111" s="186"/>
      <c r="C111" s="186"/>
      <c r="D111" s="186"/>
      <c r="E111" s="186"/>
      <c r="F111" s="186"/>
      <c r="G111" s="11">
        <f>G20</f>
        <v>1</v>
      </c>
    </row>
    <row r="112" spans="1:7" ht="22.5" customHeight="1" x14ac:dyDescent="0.2">
      <c r="A112" s="187" t="s">
        <v>107</v>
      </c>
      <c r="B112" s="187"/>
      <c r="C112" s="187"/>
      <c r="D112" s="187"/>
      <c r="E112" s="187"/>
      <c r="F112" s="187"/>
      <c r="G112" s="74">
        <f>G111*G110</f>
        <v>6187.7454556530747</v>
      </c>
    </row>
    <row r="113" spans="1:7" ht="3.75" customHeight="1" x14ac:dyDescent="0.2">
      <c r="A113" s="188"/>
      <c r="B113" s="188"/>
      <c r="C113" s="188"/>
      <c r="D113" s="188"/>
      <c r="E113" s="188"/>
      <c r="F113" s="188"/>
      <c r="G113" s="188"/>
    </row>
    <row r="114" spans="1:7" ht="22.5" customHeight="1" x14ac:dyDescent="0.2">
      <c r="A114" s="270" t="s">
        <v>131</v>
      </c>
      <c r="B114" s="271"/>
      <c r="C114" s="271"/>
      <c r="D114" s="271"/>
      <c r="E114" s="271"/>
      <c r="F114" s="272"/>
      <c r="G114" s="73">
        <f>G112*G18</f>
        <v>123754.9091130615</v>
      </c>
    </row>
  </sheetData>
  <mergeCells count="121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D26:E26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C644-C5FC-499F-B896-ECFB86B617E4}">
  <dimension ref="A1:H39"/>
  <sheetViews>
    <sheetView showGridLines="0" topLeftCell="A23" zoomScaleNormal="100" workbookViewId="0">
      <selection activeCell="J29" sqref="J29"/>
    </sheetView>
  </sheetViews>
  <sheetFormatPr defaultRowHeight="12.75" x14ac:dyDescent="0.25"/>
  <cols>
    <col min="1" max="8" width="11.42578125" style="146" customWidth="1"/>
    <col min="9" max="9" width="12.42578125" style="135" customWidth="1"/>
    <col min="10" max="10" width="12.7109375" style="135" bestFit="1" customWidth="1"/>
    <col min="11" max="11" width="12.7109375" style="135" customWidth="1"/>
    <col min="12" max="12" width="10.28515625" style="135" bestFit="1" customWidth="1"/>
    <col min="13" max="257" width="9.140625" style="135"/>
    <col min="258" max="258" width="14.28515625" style="135" customWidth="1"/>
    <col min="259" max="259" width="19.28515625" style="135" customWidth="1"/>
    <col min="260" max="260" width="16" style="135" customWidth="1"/>
    <col min="261" max="261" width="17.140625" style="135" customWidth="1"/>
    <col min="262" max="262" width="10.140625" style="135" customWidth="1"/>
    <col min="263" max="263" width="10.5703125" style="135" customWidth="1"/>
    <col min="264" max="264" width="9.85546875" style="135" customWidth="1"/>
    <col min="265" max="266" width="12.7109375" style="135" bestFit="1" customWidth="1"/>
    <col min="267" max="267" width="9.140625" style="135"/>
    <col min="268" max="268" width="10.28515625" style="135" bestFit="1" customWidth="1"/>
    <col min="269" max="513" width="9.140625" style="135"/>
    <col min="514" max="514" width="14.28515625" style="135" customWidth="1"/>
    <col min="515" max="515" width="19.28515625" style="135" customWidth="1"/>
    <col min="516" max="516" width="16" style="135" customWidth="1"/>
    <col min="517" max="517" width="17.140625" style="135" customWidth="1"/>
    <col min="518" max="518" width="10.140625" style="135" customWidth="1"/>
    <col min="519" max="519" width="10.5703125" style="135" customWidth="1"/>
    <col min="520" max="520" width="9.85546875" style="135" customWidth="1"/>
    <col min="521" max="522" width="12.7109375" style="135" bestFit="1" customWidth="1"/>
    <col min="523" max="523" width="9.140625" style="135"/>
    <col min="524" max="524" width="10.28515625" style="135" bestFit="1" customWidth="1"/>
    <col min="525" max="769" width="9.140625" style="135"/>
    <col min="770" max="770" width="14.28515625" style="135" customWidth="1"/>
    <col min="771" max="771" width="19.28515625" style="135" customWidth="1"/>
    <col min="772" max="772" width="16" style="135" customWidth="1"/>
    <col min="773" max="773" width="17.140625" style="135" customWidth="1"/>
    <col min="774" max="774" width="10.140625" style="135" customWidth="1"/>
    <col min="775" max="775" width="10.5703125" style="135" customWidth="1"/>
    <col min="776" max="776" width="9.85546875" style="135" customWidth="1"/>
    <col min="777" max="778" width="12.7109375" style="135" bestFit="1" customWidth="1"/>
    <col min="779" max="779" width="9.140625" style="135"/>
    <col min="780" max="780" width="10.28515625" style="135" bestFit="1" customWidth="1"/>
    <col min="781" max="1025" width="9.140625" style="135"/>
    <col min="1026" max="1026" width="14.28515625" style="135" customWidth="1"/>
    <col min="1027" max="1027" width="19.28515625" style="135" customWidth="1"/>
    <col min="1028" max="1028" width="16" style="135" customWidth="1"/>
    <col min="1029" max="1029" width="17.140625" style="135" customWidth="1"/>
    <col min="1030" max="1030" width="10.140625" style="135" customWidth="1"/>
    <col min="1031" max="1031" width="10.5703125" style="135" customWidth="1"/>
    <col min="1032" max="1032" width="9.85546875" style="135" customWidth="1"/>
    <col min="1033" max="1034" width="12.7109375" style="135" bestFit="1" customWidth="1"/>
    <col min="1035" max="1035" width="9.140625" style="135"/>
    <col min="1036" max="1036" width="10.28515625" style="135" bestFit="1" customWidth="1"/>
    <col min="1037" max="1281" width="9.140625" style="135"/>
    <col min="1282" max="1282" width="14.28515625" style="135" customWidth="1"/>
    <col min="1283" max="1283" width="19.28515625" style="135" customWidth="1"/>
    <col min="1284" max="1284" width="16" style="135" customWidth="1"/>
    <col min="1285" max="1285" width="17.140625" style="135" customWidth="1"/>
    <col min="1286" max="1286" width="10.140625" style="135" customWidth="1"/>
    <col min="1287" max="1287" width="10.5703125" style="135" customWidth="1"/>
    <col min="1288" max="1288" width="9.85546875" style="135" customWidth="1"/>
    <col min="1289" max="1290" width="12.7109375" style="135" bestFit="1" customWidth="1"/>
    <col min="1291" max="1291" width="9.140625" style="135"/>
    <col min="1292" max="1292" width="10.28515625" style="135" bestFit="1" customWidth="1"/>
    <col min="1293" max="1537" width="9.140625" style="135"/>
    <col min="1538" max="1538" width="14.28515625" style="135" customWidth="1"/>
    <col min="1539" max="1539" width="19.28515625" style="135" customWidth="1"/>
    <col min="1540" max="1540" width="16" style="135" customWidth="1"/>
    <col min="1541" max="1541" width="17.140625" style="135" customWidth="1"/>
    <col min="1542" max="1542" width="10.140625" style="135" customWidth="1"/>
    <col min="1543" max="1543" width="10.5703125" style="135" customWidth="1"/>
    <col min="1544" max="1544" width="9.85546875" style="135" customWidth="1"/>
    <col min="1545" max="1546" width="12.7109375" style="135" bestFit="1" customWidth="1"/>
    <col min="1547" max="1547" width="9.140625" style="135"/>
    <col min="1548" max="1548" width="10.28515625" style="135" bestFit="1" customWidth="1"/>
    <col min="1549" max="1793" width="9.140625" style="135"/>
    <col min="1794" max="1794" width="14.28515625" style="135" customWidth="1"/>
    <col min="1795" max="1795" width="19.28515625" style="135" customWidth="1"/>
    <col min="1796" max="1796" width="16" style="135" customWidth="1"/>
    <col min="1797" max="1797" width="17.140625" style="135" customWidth="1"/>
    <col min="1798" max="1798" width="10.140625" style="135" customWidth="1"/>
    <col min="1799" max="1799" width="10.5703125" style="135" customWidth="1"/>
    <col min="1800" max="1800" width="9.85546875" style="135" customWidth="1"/>
    <col min="1801" max="1802" width="12.7109375" style="135" bestFit="1" customWidth="1"/>
    <col min="1803" max="1803" width="9.140625" style="135"/>
    <col min="1804" max="1804" width="10.28515625" style="135" bestFit="1" customWidth="1"/>
    <col min="1805" max="2049" width="9.140625" style="135"/>
    <col min="2050" max="2050" width="14.28515625" style="135" customWidth="1"/>
    <col min="2051" max="2051" width="19.28515625" style="135" customWidth="1"/>
    <col min="2052" max="2052" width="16" style="135" customWidth="1"/>
    <col min="2053" max="2053" width="17.140625" style="135" customWidth="1"/>
    <col min="2054" max="2054" width="10.140625" style="135" customWidth="1"/>
    <col min="2055" max="2055" width="10.5703125" style="135" customWidth="1"/>
    <col min="2056" max="2056" width="9.85546875" style="135" customWidth="1"/>
    <col min="2057" max="2058" width="12.7109375" style="135" bestFit="1" customWidth="1"/>
    <col min="2059" max="2059" width="9.140625" style="135"/>
    <col min="2060" max="2060" width="10.28515625" style="135" bestFit="1" customWidth="1"/>
    <col min="2061" max="2305" width="9.140625" style="135"/>
    <col min="2306" max="2306" width="14.28515625" style="135" customWidth="1"/>
    <col min="2307" max="2307" width="19.28515625" style="135" customWidth="1"/>
    <col min="2308" max="2308" width="16" style="135" customWidth="1"/>
    <col min="2309" max="2309" width="17.140625" style="135" customWidth="1"/>
    <col min="2310" max="2310" width="10.140625" style="135" customWidth="1"/>
    <col min="2311" max="2311" width="10.5703125" style="135" customWidth="1"/>
    <col min="2312" max="2312" width="9.85546875" style="135" customWidth="1"/>
    <col min="2313" max="2314" width="12.7109375" style="135" bestFit="1" customWidth="1"/>
    <col min="2315" max="2315" width="9.140625" style="135"/>
    <col min="2316" max="2316" width="10.28515625" style="135" bestFit="1" customWidth="1"/>
    <col min="2317" max="2561" width="9.140625" style="135"/>
    <col min="2562" max="2562" width="14.28515625" style="135" customWidth="1"/>
    <col min="2563" max="2563" width="19.28515625" style="135" customWidth="1"/>
    <col min="2564" max="2564" width="16" style="135" customWidth="1"/>
    <col min="2565" max="2565" width="17.140625" style="135" customWidth="1"/>
    <col min="2566" max="2566" width="10.140625" style="135" customWidth="1"/>
    <col min="2567" max="2567" width="10.5703125" style="135" customWidth="1"/>
    <col min="2568" max="2568" width="9.85546875" style="135" customWidth="1"/>
    <col min="2569" max="2570" width="12.7109375" style="135" bestFit="1" customWidth="1"/>
    <col min="2571" max="2571" width="9.140625" style="135"/>
    <col min="2572" max="2572" width="10.28515625" style="135" bestFit="1" customWidth="1"/>
    <col min="2573" max="2817" width="9.140625" style="135"/>
    <col min="2818" max="2818" width="14.28515625" style="135" customWidth="1"/>
    <col min="2819" max="2819" width="19.28515625" style="135" customWidth="1"/>
    <col min="2820" max="2820" width="16" style="135" customWidth="1"/>
    <col min="2821" max="2821" width="17.140625" style="135" customWidth="1"/>
    <col min="2822" max="2822" width="10.140625" style="135" customWidth="1"/>
    <col min="2823" max="2823" width="10.5703125" style="135" customWidth="1"/>
    <col min="2824" max="2824" width="9.85546875" style="135" customWidth="1"/>
    <col min="2825" max="2826" width="12.7109375" style="135" bestFit="1" customWidth="1"/>
    <col min="2827" max="2827" width="9.140625" style="135"/>
    <col min="2828" max="2828" width="10.28515625" style="135" bestFit="1" customWidth="1"/>
    <col min="2829" max="3073" width="9.140625" style="135"/>
    <col min="3074" max="3074" width="14.28515625" style="135" customWidth="1"/>
    <col min="3075" max="3075" width="19.28515625" style="135" customWidth="1"/>
    <col min="3076" max="3076" width="16" style="135" customWidth="1"/>
    <col min="3077" max="3077" width="17.140625" style="135" customWidth="1"/>
    <col min="3078" max="3078" width="10.140625" style="135" customWidth="1"/>
    <col min="3079" max="3079" width="10.5703125" style="135" customWidth="1"/>
    <col min="3080" max="3080" width="9.85546875" style="135" customWidth="1"/>
    <col min="3081" max="3082" width="12.7109375" style="135" bestFit="1" customWidth="1"/>
    <col min="3083" max="3083" width="9.140625" style="135"/>
    <col min="3084" max="3084" width="10.28515625" style="135" bestFit="1" customWidth="1"/>
    <col min="3085" max="3329" width="9.140625" style="135"/>
    <col min="3330" max="3330" width="14.28515625" style="135" customWidth="1"/>
    <col min="3331" max="3331" width="19.28515625" style="135" customWidth="1"/>
    <col min="3332" max="3332" width="16" style="135" customWidth="1"/>
    <col min="3333" max="3333" width="17.140625" style="135" customWidth="1"/>
    <col min="3334" max="3334" width="10.140625" style="135" customWidth="1"/>
    <col min="3335" max="3335" width="10.5703125" style="135" customWidth="1"/>
    <col min="3336" max="3336" width="9.85546875" style="135" customWidth="1"/>
    <col min="3337" max="3338" width="12.7109375" style="135" bestFit="1" customWidth="1"/>
    <col min="3339" max="3339" width="9.140625" style="135"/>
    <col min="3340" max="3340" width="10.28515625" style="135" bestFit="1" customWidth="1"/>
    <col min="3341" max="3585" width="9.140625" style="135"/>
    <col min="3586" max="3586" width="14.28515625" style="135" customWidth="1"/>
    <col min="3587" max="3587" width="19.28515625" style="135" customWidth="1"/>
    <col min="3588" max="3588" width="16" style="135" customWidth="1"/>
    <col min="3589" max="3589" width="17.140625" style="135" customWidth="1"/>
    <col min="3590" max="3590" width="10.140625" style="135" customWidth="1"/>
    <col min="3591" max="3591" width="10.5703125" style="135" customWidth="1"/>
    <col min="3592" max="3592" width="9.85546875" style="135" customWidth="1"/>
    <col min="3593" max="3594" width="12.7109375" style="135" bestFit="1" customWidth="1"/>
    <col min="3595" max="3595" width="9.140625" style="135"/>
    <col min="3596" max="3596" width="10.28515625" style="135" bestFit="1" customWidth="1"/>
    <col min="3597" max="3841" width="9.140625" style="135"/>
    <col min="3842" max="3842" width="14.28515625" style="135" customWidth="1"/>
    <col min="3843" max="3843" width="19.28515625" style="135" customWidth="1"/>
    <col min="3844" max="3844" width="16" style="135" customWidth="1"/>
    <col min="3845" max="3845" width="17.140625" style="135" customWidth="1"/>
    <col min="3846" max="3846" width="10.140625" style="135" customWidth="1"/>
    <col min="3847" max="3847" width="10.5703125" style="135" customWidth="1"/>
    <col min="3848" max="3848" width="9.85546875" style="135" customWidth="1"/>
    <col min="3849" max="3850" width="12.7109375" style="135" bestFit="1" customWidth="1"/>
    <col min="3851" max="3851" width="9.140625" style="135"/>
    <col min="3852" max="3852" width="10.28515625" style="135" bestFit="1" customWidth="1"/>
    <col min="3853" max="4097" width="9.140625" style="135"/>
    <col min="4098" max="4098" width="14.28515625" style="135" customWidth="1"/>
    <col min="4099" max="4099" width="19.28515625" style="135" customWidth="1"/>
    <col min="4100" max="4100" width="16" style="135" customWidth="1"/>
    <col min="4101" max="4101" width="17.140625" style="135" customWidth="1"/>
    <col min="4102" max="4102" width="10.140625" style="135" customWidth="1"/>
    <col min="4103" max="4103" width="10.5703125" style="135" customWidth="1"/>
    <col min="4104" max="4104" width="9.85546875" style="135" customWidth="1"/>
    <col min="4105" max="4106" width="12.7109375" style="135" bestFit="1" customWidth="1"/>
    <col min="4107" max="4107" width="9.140625" style="135"/>
    <col min="4108" max="4108" width="10.28515625" style="135" bestFit="1" customWidth="1"/>
    <col min="4109" max="4353" width="9.140625" style="135"/>
    <col min="4354" max="4354" width="14.28515625" style="135" customWidth="1"/>
    <col min="4355" max="4355" width="19.28515625" style="135" customWidth="1"/>
    <col min="4356" max="4356" width="16" style="135" customWidth="1"/>
    <col min="4357" max="4357" width="17.140625" style="135" customWidth="1"/>
    <col min="4358" max="4358" width="10.140625" style="135" customWidth="1"/>
    <col min="4359" max="4359" width="10.5703125" style="135" customWidth="1"/>
    <col min="4360" max="4360" width="9.85546875" style="135" customWidth="1"/>
    <col min="4361" max="4362" width="12.7109375" style="135" bestFit="1" customWidth="1"/>
    <col min="4363" max="4363" width="9.140625" style="135"/>
    <col min="4364" max="4364" width="10.28515625" style="135" bestFit="1" customWidth="1"/>
    <col min="4365" max="4609" width="9.140625" style="135"/>
    <col min="4610" max="4610" width="14.28515625" style="135" customWidth="1"/>
    <col min="4611" max="4611" width="19.28515625" style="135" customWidth="1"/>
    <col min="4612" max="4612" width="16" style="135" customWidth="1"/>
    <col min="4613" max="4613" width="17.140625" style="135" customWidth="1"/>
    <col min="4614" max="4614" width="10.140625" style="135" customWidth="1"/>
    <col min="4615" max="4615" width="10.5703125" style="135" customWidth="1"/>
    <col min="4616" max="4616" width="9.85546875" style="135" customWidth="1"/>
    <col min="4617" max="4618" width="12.7109375" style="135" bestFit="1" customWidth="1"/>
    <col min="4619" max="4619" width="9.140625" style="135"/>
    <col min="4620" max="4620" width="10.28515625" style="135" bestFit="1" customWidth="1"/>
    <col min="4621" max="4865" width="9.140625" style="135"/>
    <col min="4866" max="4866" width="14.28515625" style="135" customWidth="1"/>
    <col min="4867" max="4867" width="19.28515625" style="135" customWidth="1"/>
    <col min="4868" max="4868" width="16" style="135" customWidth="1"/>
    <col min="4869" max="4869" width="17.140625" style="135" customWidth="1"/>
    <col min="4870" max="4870" width="10.140625" style="135" customWidth="1"/>
    <col min="4871" max="4871" width="10.5703125" style="135" customWidth="1"/>
    <col min="4872" max="4872" width="9.85546875" style="135" customWidth="1"/>
    <col min="4873" max="4874" width="12.7109375" style="135" bestFit="1" customWidth="1"/>
    <col min="4875" max="4875" width="9.140625" style="135"/>
    <col min="4876" max="4876" width="10.28515625" style="135" bestFit="1" customWidth="1"/>
    <col min="4877" max="5121" width="9.140625" style="135"/>
    <col min="5122" max="5122" width="14.28515625" style="135" customWidth="1"/>
    <col min="5123" max="5123" width="19.28515625" style="135" customWidth="1"/>
    <col min="5124" max="5124" width="16" style="135" customWidth="1"/>
    <col min="5125" max="5125" width="17.140625" style="135" customWidth="1"/>
    <col min="5126" max="5126" width="10.140625" style="135" customWidth="1"/>
    <col min="5127" max="5127" width="10.5703125" style="135" customWidth="1"/>
    <col min="5128" max="5128" width="9.85546875" style="135" customWidth="1"/>
    <col min="5129" max="5130" width="12.7109375" style="135" bestFit="1" customWidth="1"/>
    <col min="5131" max="5131" width="9.140625" style="135"/>
    <col min="5132" max="5132" width="10.28515625" style="135" bestFit="1" customWidth="1"/>
    <col min="5133" max="5377" width="9.140625" style="135"/>
    <col min="5378" max="5378" width="14.28515625" style="135" customWidth="1"/>
    <col min="5379" max="5379" width="19.28515625" style="135" customWidth="1"/>
    <col min="5380" max="5380" width="16" style="135" customWidth="1"/>
    <col min="5381" max="5381" width="17.140625" style="135" customWidth="1"/>
    <col min="5382" max="5382" width="10.140625" style="135" customWidth="1"/>
    <col min="5383" max="5383" width="10.5703125" style="135" customWidth="1"/>
    <col min="5384" max="5384" width="9.85546875" style="135" customWidth="1"/>
    <col min="5385" max="5386" width="12.7109375" style="135" bestFit="1" customWidth="1"/>
    <col min="5387" max="5387" width="9.140625" style="135"/>
    <col min="5388" max="5388" width="10.28515625" style="135" bestFit="1" customWidth="1"/>
    <col min="5389" max="5633" width="9.140625" style="135"/>
    <col min="5634" max="5634" width="14.28515625" style="135" customWidth="1"/>
    <col min="5635" max="5635" width="19.28515625" style="135" customWidth="1"/>
    <col min="5636" max="5636" width="16" style="135" customWidth="1"/>
    <col min="5637" max="5637" width="17.140625" style="135" customWidth="1"/>
    <col min="5638" max="5638" width="10.140625" style="135" customWidth="1"/>
    <col min="5639" max="5639" width="10.5703125" style="135" customWidth="1"/>
    <col min="5640" max="5640" width="9.85546875" style="135" customWidth="1"/>
    <col min="5641" max="5642" width="12.7109375" style="135" bestFit="1" customWidth="1"/>
    <col min="5643" max="5643" width="9.140625" style="135"/>
    <col min="5644" max="5644" width="10.28515625" style="135" bestFit="1" customWidth="1"/>
    <col min="5645" max="5889" width="9.140625" style="135"/>
    <col min="5890" max="5890" width="14.28515625" style="135" customWidth="1"/>
    <col min="5891" max="5891" width="19.28515625" style="135" customWidth="1"/>
    <col min="5892" max="5892" width="16" style="135" customWidth="1"/>
    <col min="5893" max="5893" width="17.140625" style="135" customWidth="1"/>
    <col min="5894" max="5894" width="10.140625" style="135" customWidth="1"/>
    <col min="5895" max="5895" width="10.5703125" style="135" customWidth="1"/>
    <col min="5896" max="5896" width="9.85546875" style="135" customWidth="1"/>
    <col min="5897" max="5898" width="12.7109375" style="135" bestFit="1" customWidth="1"/>
    <col min="5899" max="5899" width="9.140625" style="135"/>
    <col min="5900" max="5900" width="10.28515625" style="135" bestFit="1" customWidth="1"/>
    <col min="5901" max="6145" width="9.140625" style="135"/>
    <col min="6146" max="6146" width="14.28515625" style="135" customWidth="1"/>
    <col min="6147" max="6147" width="19.28515625" style="135" customWidth="1"/>
    <col min="6148" max="6148" width="16" style="135" customWidth="1"/>
    <col min="6149" max="6149" width="17.140625" style="135" customWidth="1"/>
    <col min="6150" max="6150" width="10.140625" style="135" customWidth="1"/>
    <col min="6151" max="6151" width="10.5703125" style="135" customWidth="1"/>
    <col min="6152" max="6152" width="9.85546875" style="135" customWidth="1"/>
    <col min="6153" max="6154" width="12.7109375" style="135" bestFit="1" customWidth="1"/>
    <col min="6155" max="6155" width="9.140625" style="135"/>
    <col min="6156" max="6156" width="10.28515625" style="135" bestFit="1" customWidth="1"/>
    <col min="6157" max="6401" width="9.140625" style="135"/>
    <col min="6402" max="6402" width="14.28515625" style="135" customWidth="1"/>
    <col min="6403" max="6403" width="19.28515625" style="135" customWidth="1"/>
    <col min="6404" max="6404" width="16" style="135" customWidth="1"/>
    <col min="6405" max="6405" width="17.140625" style="135" customWidth="1"/>
    <col min="6406" max="6406" width="10.140625" style="135" customWidth="1"/>
    <col min="6407" max="6407" width="10.5703125" style="135" customWidth="1"/>
    <col min="6408" max="6408" width="9.85546875" style="135" customWidth="1"/>
    <col min="6409" max="6410" width="12.7109375" style="135" bestFit="1" customWidth="1"/>
    <col min="6411" max="6411" width="9.140625" style="135"/>
    <col min="6412" max="6412" width="10.28515625" style="135" bestFit="1" customWidth="1"/>
    <col min="6413" max="6657" width="9.140625" style="135"/>
    <col min="6658" max="6658" width="14.28515625" style="135" customWidth="1"/>
    <col min="6659" max="6659" width="19.28515625" style="135" customWidth="1"/>
    <col min="6660" max="6660" width="16" style="135" customWidth="1"/>
    <col min="6661" max="6661" width="17.140625" style="135" customWidth="1"/>
    <col min="6662" max="6662" width="10.140625" style="135" customWidth="1"/>
    <col min="6663" max="6663" width="10.5703125" style="135" customWidth="1"/>
    <col min="6664" max="6664" width="9.85546875" style="135" customWidth="1"/>
    <col min="6665" max="6666" width="12.7109375" style="135" bestFit="1" customWidth="1"/>
    <col min="6667" max="6667" width="9.140625" style="135"/>
    <col min="6668" max="6668" width="10.28515625" style="135" bestFit="1" customWidth="1"/>
    <col min="6669" max="6913" width="9.140625" style="135"/>
    <col min="6914" max="6914" width="14.28515625" style="135" customWidth="1"/>
    <col min="6915" max="6915" width="19.28515625" style="135" customWidth="1"/>
    <col min="6916" max="6916" width="16" style="135" customWidth="1"/>
    <col min="6917" max="6917" width="17.140625" style="135" customWidth="1"/>
    <col min="6918" max="6918" width="10.140625" style="135" customWidth="1"/>
    <col min="6919" max="6919" width="10.5703125" style="135" customWidth="1"/>
    <col min="6920" max="6920" width="9.85546875" style="135" customWidth="1"/>
    <col min="6921" max="6922" width="12.7109375" style="135" bestFit="1" customWidth="1"/>
    <col min="6923" max="6923" width="9.140625" style="135"/>
    <col min="6924" max="6924" width="10.28515625" style="135" bestFit="1" customWidth="1"/>
    <col min="6925" max="7169" width="9.140625" style="135"/>
    <col min="7170" max="7170" width="14.28515625" style="135" customWidth="1"/>
    <col min="7171" max="7171" width="19.28515625" style="135" customWidth="1"/>
    <col min="7172" max="7172" width="16" style="135" customWidth="1"/>
    <col min="7173" max="7173" width="17.140625" style="135" customWidth="1"/>
    <col min="7174" max="7174" width="10.140625" style="135" customWidth="1"/>
    <col min="7175" max="7175" width="10.5703125" style="135" customWidth="1"/>
    <col min="7176" max="7176" width="9.85546875" style="135" customWidth="1"/>
    <col min="7177" max="7178" width="12.7109375" style="135" bestFit="1" customWidth="1"/>
    <col min="7179" max="7179" width="9.140625" style="135"/>
    <col min="7180" max="7180" width="10.28515625" style="135" bestFit="1" customWidth="1"/>
    <col min="7181" max="7425" width="9.140625" style="135"/>
    <col min="7426" max="7426" width="14.28515625" style="135" customWidth="1"/>
    <col min="7427" max="7427" width="19.28515625" style="135" customWidth="1"/>
    <col min="7428" max="7428" width="16" style="135" customWidth="1"/>
    <col min="7429" max="7429" width="17.140625" style="135" customWidth="1"/>
    <col min="7430" max="7430" width="10.140625" style="135" customWidth="1"/>
    <col min="7431" max="7431" width="10.5703125" style="135" customWidth="1"/>
    <col min="7432" max="7432" width="9.85546875" style="135" customWidth="1"/>
    <col min="7433" max="7434" width="12.7109375" style="135" bestFit="1" customWidth="1"/>
    <col min="7435" max="7435" width="9.140625" style="135"/>
    <col min="7436" max="7436" width="10.28515625" style="135" bestFit="1" customWidth="1"/>
    <col min="7437" max="7681" width="9.140625" style="135"/>
    <col min="7682" max="7682" width="14.28515625" style="135" customWidth="1"/>
    <col min="7683" max="7683" width="19.28515625" style="135" customWidth="1"/>
    <col min="7684" max="7684" width="16" style="135" customWidth="1"/>
    <col min="7685" max="7685" width="17.140625" style="135" customWidth="1"/>
    <col min="7686" max="7686" width="10.140625" style="135" customWidth="1"/>
    <col min="7687" max="7687" width="10.5703125" style="135" customWidth="1"/>
    <col min="7688" max="7688" width="9.85546875" style="135" customWidth="1"/>
    <col min="7689" max="7690" width="12.7109375" style="135" bestFit="1" customWidth="1"/>
    <col min="7691" max="7691" width="9.140625" style="135"/>
    <col min="7692" max="7692" width="10.28515625" style="135" bestFit="1" customWidth="1"/>
    <col min="7693" max="7937" width="9.140625" style="135"/>
    <col min="7938" max="7938" width="14.28515625" style="135" customWidth="1"/>
    <col min="7939" max="7939" width="19.28515625" style="135" customWidth="1"/>
    <col min="7940" max="7940" width="16" style="135" customWidth="1"/>
    <col min="7941" max="7941" width="17.140625" style="135" customWidth="1"/>
    <col min="7942" max="7942" width="10.140625" style="135" customWidth="1"/>
    <col min="7943" max="7943" width="10.5703125" style="135" customWidth="1"/>
    <col min="7944" max="7944" width="9.85546875" style="135" customWidth="1"/>
    <col min="7945" max="7946" width="12.7109375" style="135" bestFit="1" customWidth="1"/>
    <col min="7947" max="7947" width="9.140625" style="135"/>
    <col min="7948" max="7948" width="10.28515625" style="135" bestFit="1" customWidth="1"/>
    <col min="7949" max="8193" width="9.140625" style="135"/>
    <col min="8194" max="8194" width="14.28515625" style="135" customWidth="1"/>
    <col min="8195" max="8195" width="19.28515625" style="135" customWidth="1"/>
    <col min="8196" max="8196" width="16" style="135" customWidth="1"/>
    <col min="8197" max="8197" width="17.140625" style="135" customWidth="1"/>
    <col min="8198" max="8198" width="10.140625" style="135" customWidth="1"/>
    <col min="8199" max="8199" width="10.5703125" style="135" customWidth="1"/>
    <col min="8200" max="8200" width="9.85546875" style="135" customWidth="1"/>
    <col min="8201" max="8202" width="12.7109375" style="135" bestFit="1" customWidth="1"/>
    <col min="8203" max="8203" width="9.140625" style="135"/>
    <col min="8204" max="8204" width="10.28515625" style="135" bestFit="1" customWidth="1"/>
    <col min="8205" max="8449" width="9.140625" style="135"/>
    <col min="8450" max="8450" width="14.28515625" style="135" customWidth="1"/>
    <col min="8451" max="8451" width="19.28515625" style="135" customWidth="1"/>
    <col min="8452" max="8452" width="16" style="135" customWidth="1"/>
    <col min="8453" max="8453" width="17.140625" style="135" customWidth="1"/>
    <col min="8454" max="8454" width="10.140625" style="135" customWidth="1"/>
    <col min="8455" max="8455" width="10.5703125" style="135" customWidth="1"/>
    <col min="8456" max="8456" width="9.85546875" style="135" customWidth="1"/>
    <col min="8457" max="8458" width="12.7109375" style="135" bestFit="1" customWidth="1"/>
    <col min="8459" max="8459" width="9.140625" style="135"/>
    <col min="8460" max="8460" width="10.28515625" style="135" bestFit="1" customWidth="1"/>
    <col min="8461" max="8705" width="9.140625" style="135"/>
    <col min="8706" max="8706" width="14.28515625" style="135" customWidth="1"/>
    <col min="8707" max="8707" width="19.28515625" style="135" customWidth="1"/>
    <col min="8708" max="8708" width="16" style="135" customWidth="1"/>
    <col min="8709" max="8709" width="17.140625" style="135" customWidth="1"/>
    <col min="8710" max="8710" width="10.140625" style="135" customWidth="1"/>
    <col min="8711" max="8711" width="10.5703125" style="135" customWidth="1"/>
    <col min="8712" max="8712" width="9.85546875" style="135" customWidth="1"/>
    <col min="8713" max="8714" width="12.7109375" style="135" bestFit="1" customWidth="1"/>
    <col min="8715" max="8715" width="9.140625" style="135"/>
    <col min="8716" max="8716" width="10.28515625" style="135" bestFit="1" customWidth="1"/>
    <col min="8717" max="8961" width="9.140625" style="135"/>
    <col min="8962" max="8962" width="14.28515625" style="135" customWidth="1"/>
    <col min="8963" max="8963" width="19.28515625" style="135" customWidth="1"/>
    <col min="8964" max="8964" width="16" style="135" customWidth="1"/>
    <col min="8965" max="8965" width="17.140625" style="135" customWidth="1"/>
    <col min="8966" max="8966" width="10.140625" style="135" customWidth="1"/>
    <col min="8967" max="8967" width="10.5703125" style="135" customWidth="1"/>
    <col min="8968" max="8968" width="9.85546875" style="135" customWidth="1"/>
    <col min="8969" max="8970" width="12.7109375" style="135" bestFit="1" customWidth="1"/>
    <col min="8971" max="8971" width="9.140625" style="135"/>
    <col min="8972" max="8972" width="10.28515625" style="135" bestFit="1" customWidth="1"/>
    <col min="8973" max="9217" width="9.140625" style="135"/>
    <col min="9218" max="9218" width="14.28515625" style="135" customWidth="1"/>
    <col min="9219" max="9219" width="19.28515625" style="135" customWidth="1"/>
    <col min="9220" max="9220" width="16" style="135" customWidth="1"/>
    <col min="9221" max="9221" width="17.140625" style="135" customWidth="1"/>
    <col min="9222" max="9222" width="10.140625" style="135" customWidth="1"/>
    <col min="9223" max="9223" width="10.5703125" style="135" customWidth="1"/>
    <col min="9224" max="9224" width="9.85546875" style="135" customWidth="1"/>
    <col min="9225" max="9226" width="12.7109375" style="135" bestFit="1" customWidth="1"/>
    <col min="9227" max="9227" width="9.140625" style="135"/>
    <col min="9228" max="9228" width="10.28515625" style="135" bestFit="1" customWidth="1"/>
    <col min="9229" max="9473" width="9.140625" style="135"/>
    <col min="9474" max="9474" width="14.28515625" style="135" customWidth="1"/>
    <col min="9475" max="9475" width="19.28515625" style="135" customWidth="1"/>
    <col min="9476" max="9476" width="16" style="135" customWidth="1"/>
    <col min="9477" max="9477" width="17.140625" style="135" customWidth="1"/>
    <col min="9478" max="9478" width="10.140625" style="135" customWidth="1"/>
    <col min="9479" max="9479" width="10.5703125" style="135" customWidth="1"/>
    <col min="9480" max="9480" width="9.85546875" style="135" customWidth="1"/>
    <col min="9481" max="9482" width="12.7109375" style="135" bestFit="1" customWidth="1"/>
    <col min="9483" max="9483" width="9.140625" style="135"/>
    <col min="9484" max="9484" width="10.28515625" style="135" bestFit="1" customWidth="1"/>
    <col min="9485" max="9729" width="9.140625" style="135"/>
    <col min="9730" max="9730" width="14.28515625" style="135" customWidth="1"/>
    <col min="9731" max="9731" width="19.28515625" style="135" customWidth="1"/>
    <col min="9732" max="9732" width="16" style="135" customWidth="1"/>
    <col min="9733" max="9733" width="17.140625" style="135" customWidth="1"/>
    <col min="9734" max="9734" width="10.140625" style="135" customWidth="1"/>
    <col min="9735" max="9735" width="10.5703125" style="135" customWidth="1"/>
    <col min="9736" max="9736" width="9.85546875" style="135" customWidth="1"/>
    <col min="9737" max="9738" width="12.7109375" style="135" bestFit="1" customWidth="1"/>
    <col min="9739" max="9739" width="9.140625" style="135"/>
    <col min="9740" max="9740" width="10.28515625" style="135" bestFit="1" customWidth="1"/>
    <col min="9741" max="9985" width="9.140625" style="135"/>
    <col min="9986" max="9986" width="14.28515625" style="135" customWidth="1"/>
    <col min="9987" max="9987" width="19.28515625" style="135" customWidth="1"/>
    <col min="9988" max="9988" width="16" style="135" customWidth="1"/>
    <col min="9989" max="9989" width="17.140625" style="135" customWidth="1"/>
    <col min="9990" max="9990" width="10.140625" style="135" customWidth="1"/>
    <col min="9991" max="9991" width="10.5703125" style="135" customWidth="1"/>
    <col min="9992" max="9992" width="9.85546875" style="135" customWidth="1"/>
    <col min="9993" max="9994" width="12.7109375" style="135" bestFit="1" customWidth="1"/>
    <col min="9995" max="9995" width="9.140625" style="135"/>
    <col min="9996" max="9996" width="10.28515625" style="135" bestFit="1" customWidth="1"/>
    <col min="9997" max="10241" width="9.140625" style="135"/>
    <col min="10242" max="10242" width="14.28515625" style="135" customWidth="1"/>
    <col min="10243" max="10243" width="19.28515625" style="135" customWidth="1"/>
    <col min="10244" max="10244" width="16" style="135" customWidth="1"/>
    <col min="10245" max="10245" width="17.140625" style="135" customWidth="1"/>
    <col min="10246" max="10246" width="10.140625" style="135" customWidth="1"/>
    <col min="10247" max="10247" width="10.5703125" style="135" customWidth="1"/>
    <col min="10248" max="10248" width="9.85546875" style="135" customWidth="1"/>
    <col min="10249" max="10250" width="12.7109375" style="135" bestFit="1" customWidth="1"/>
    <col min="10251" max="10251" width="9.140625" style="135"/>
    <col min="10252" max="10252" width="10.28515625" style="135" bestFit="1" customWidth="1"/>
    <col min="10253" max="10497" width="9.140625" style="135"/>
    <col min="10498" max="10498" width="14.28515625" style="135" customWidth="1"/>
    <col min="10499" max="10499" width="19.28515625" style="135" customWidth="1"/>
    <col min="10500" max="10500" width="16" style="135" customWidth="1"/>
    <col min="10501" max="10501" width="17.140625" style="135" customWidth="1"/>
    <col min="10502" max="10502" width="10.140625" style="135" customWidth="1"/>
    <col min="10503" max="10503" width="10.5703125" style="135" customWidth="1"/>
    <col min="10504" max="10504" width="9.85546875" style="135" customWidth="1"/>
    <col min="10505" max="10506" width="12.7109375" style="135" bestFit="1" customWidth="1"/>
    <col min="10507" max="10507" width="9.140625" style="135"/>
    <col min="10508" max="10508" width="10.28515625" style="135" bestFit="1" customWidth="1"/>
    <col min="10509" max="10753" width="9.140625" style="135"/>
    <col min="10754" max="10754" width="14.28515625" style="135" customWidth="1"/>
    <col min="10755" max="10755" width="19.28515625" style="135" customWidth="1"/>
    <col min="10756" max="10756" width="16" style="135" customWidth="1"/>
    <col min="10757" max="10757" width="17.140625" style="135" customWidth="1"/>
    <col min="10758" max="10758" width="10.140625" style="135" customWidth="1"/>
    <col min="10759" max="10759" width="10.5703125" style="135" customWidth="1"/>
    <col min="10760" max="10760" width="9.85546875" style="135" customWidth="1"/>
    <col min="10761" max="10762" width="12.7109375" style="135" bestFit="1" customWidth="1"/>
    <col min="10763" max="10763" width="9.140625" style="135"/>
    <col min="10764" max="10764" width="10.28515625" style="135" bestFit="1" customWidth="1"/>
    <col min="10765" max="11009" width="9.140625" style="135"/>
    <col min="11010" max="11010" width="14.28515625" style="135" customWidth="1"/>
    <col min="11011" max="11011" width="19.28515625" style="135" customWidth="1"/>
    <col min="11012" max="11012" width="16" style="135" customWidth="1"/>
    <col min="11013" max="11013" width="17.140625" style="135" customWidth="1"/>
    <col min="11014" max="11014" width="10.140625" style="135" customWidth="1"/>
    <col min="11015" max="11015" width="10.5703125" style="135" customWidth="1"/>
    <col min="11016" max="11016" width="9.85546875" style="135" customWidth="1"/>
    <col min="11017" max="11018" width="12.7109375" style="135" bestFit="1" customWidth="1"/>
    <col min="11019" max="11019" width="9.140625" style="135"/>
    <col min="11020" max="11020" width="10.28515625" style="135" bestFit="1" customWidth="1"/>
    <col min="11021" max="11265" width="9.140625" style="135"/>
    <col min="11266" max="11266" width="14.28515625" style="135" customWidth="1"/>
    <col min="11267" max="11267" width="19.28515625" style="135" customWidth="1"/>
    <col min="11268" max="11268" width="16" style="135" customWidth="1"/>
    <col min="11269" max="11269" width="17.140625" style="135" customWidth="1"/>
    <col min="11270" max="11270" width="10.140625" style="135" customWidth="1"/>
    <col min="11271" max="11271" width="10.5703125" style="135" customWidth="1"/>
    <col min="11272" max="11272" width="9.85546875" style="135" customWidth="1"/>
    <col min="11273" max="11274" width="12.7109375" style="135" bestFit="1" customWidth="1"/>
    <col min="11275" max="11275" width="9.140625" style="135"/>
    <col min="11276" max="11276" width="10.28515625" style="135" bestFit="1" customWidth="1"/>
    <col min="11277" max="11521" width="9.140625" style="135"/>
    <col min="11522" max="11522" width="14.28515625" style="135" customWidth="1"/>
    <col min="11523" max="11523" width="19.28515625" style="135" customWidth="1"/>
    <col min="11524" max="11524" width="16" style="135" customWidth="1"/>
    <col min="11525" max="11525" width="17.140625" style="135" customWidth="1"/>
    <col min="11526" max="11526" width="10.140625" style="135" customWidth="1"/>
    <col min="11527" max="11527" width="10.5703125" style="135" customWidth="1"/>
    <col min="11528" max="11528" width="9.85546875" style="135" customWidth="1"/>
    <col min="11529" max="11530" width="12.7109375" style="135" bestFit="1" customWidth="1"/>
    <col min="11531" max="11531" width="9.140625" style="135"/>
    <col min="11532" max="11532" width="10.28515625" style="135" bestFit="1" customWidth="1"/>
    <col min="11533" max="11777" width="9.140625" style="135"/>
    <col min="11778" max="11778" width="14.28515625" style="135" customWidth="1"/>
    <col min="11779" max="11779" width="19.28515625" style="135" customWidth="1"/>
    <col min="11780" max="11780" width="16" style="135" customWidth="1"/>
    <col min="11781" max="11781" width="17.140625" style="135" customWidth="1"/>
    <col min="11782" max="11782" width="10.140625" style="135" customWidth="1"/>
    <col min="11783" max="11783" width="10.5703125" style="135" customWidth="1"/>
    <col min="11784" max="11784" width="9.85546875" style="135" customWidth="1"/>
    <col min="11785" max="11786" width="12.7109375" style="135" bestFit="1" customWidth="1"/>
    <col min="11787" max="11787" width="9.140625" style="135"/>
    <col min="11788" max="11788" width="10.28515625" style="135" bestFit="1" customWidth="1"/>
    <col min="11789" max="12033" width="9.140625" style="135"/>
    <col min="12034" max="12034" width="14.28515625" style="135" customWidth="1"/>
    <col min="12035" max="12035" width="19.28515625" style="135" customWidth="1"/>
    <col min="12036" max="12036" width="16" style="135" customWidth="1"/>
    <col min="12037" max="12037" width="17.140625" style="135" customWidth="1"/>
    <col min="12038" max="12038" width="10.140625" style="135" customWidth="1"/>
    <col min="12039" max="12039" width="10.5703125" style="135" customWidth="1"/>
    <col min="12040" max="12040" width="9.85546875" style="135" customWidth="1"/>
    <col min="12041" max="12042" width="12.7109375" style="135" bestFit="1" customWidth="1"/>
    <col min="12043" max="12043" width="9.140625" style="135"/>
    <col min="12044" max="12044" width="10.28515625" style="135" bestFit="1" customWidth="1"/>
    <col min="12045" max="12289" width="9.140625" style="135"/>
    <col min="12290" max="12290" width="14.28515625" style="135" customWidth="1"/>
    <col min="12291" max="12291" width="19.28515625" style="135" customWidth="1"/>
    <col min="12292" max="12292" width="16" style="135" customWidth="1"/>
    <col min="12293" max="12293" width="17.140625" style="135" customWidth="1"/>
    <col min="12294" max="12294" width="10.140625" style="135" customWidth="1"/>
    <col min="12295" max="12295" width="10.5703125" style="135" customWidth="1"/>
    <col min="12296" max="12296" width="9.85546875" style="135" customWidth="1"/>
    <col min="12297" max="12298" width="12.7109375" style="135" bestFit="1" customWidth="1"/>
    <col min="12299" max="12299" width="9.140625" style="135"/>
    <col min="12300" max="12300" width="10.28515625" style="135" bestFit="1" customWidth="1"/>
    <col min="12301" max="12545" width="9.140625" style="135"/>
    <col min="12546" max="12546" width="14.28515625" style="135" customWidth="1"/>
    <col min="12547" max="12547" width="19.28515625" style="135" customWidth="1"/>
    <col min="12548" max="12548" width="16" style="135" customWidth="1"/>
    <col min="12549" max="12549" width="17.140625" style="135" customWidth="1"/>
    <col min="12550" max="12550" width="10.140625" style="135" customWidth="1"/>
    <col min="12551" max="12551" width="10.5703125" style="135" customWidth="1"/>
    <col min="12552" max="12552" width="9.85546875" style="135" customWidth="1"/>
    <col min="12553" max="12554" width="12.7109375" style="135" bestFit="1" customWidth="1"/>
    <col min="12555" max="12555" width="9.140625" style="135"/>
    <col min="12556" max="12556" width="10.28515625" style="135" bestFit="1" customWidth="1"/>
    <col min="12557" max="12801" width="9.140625" style="135"/>
    <col min="12802" max="12802" width="14.28515625" style="135" customWidth="1"/>
    <col min="12803" max="12803" width="19.28515625" style="135" customWidth="1"/>
    <col min="12804" max="12804" width="16" style="135" customWidth="1"/>
    <col min="12805" max="12805" width="17.140625" style="135" customWidth="1"/>
    <col min="12806" max="12806" width="10.140625" style="135" customWidth="1"/>
    <col min="12807" max="12807" width="10.5703125" style="135" customWidth="1"/>
    <col min="12808" max="12808" width="9.85546875" style="135" customWidth="1"/>
    <col min="12809" max="12810" width="12.7109375" style="135" bestFit="1" customWidth="1"/>
    <col min="12811" max="12811" width="9.140625" style="135"/>
    <col min="12812" max="12812" width="10.28515625" style="135" bestFit="1" customWidth="1"/>
    <col min="12813" max="13057" width="9.140625" style="135"/>
    <col min="13058" max="13058" width="14.28515625" style="135" customWidth="1"/>
    <col min="13059" max="13059" width="19.28515625" style="135" customWidth="1"/>
    <col min="13060" max="13060" width="16" style="135" customWidth="1"/>
    <col min="13061" max="13061" width="17.140625" style="135" customWidth="1"/>
    <col min="13062" max="13062" width="10.140625" style="135" customWidth="1"/>
    <col min="13063" max="13063" width="10.5703125" style="135" customWidth="1"/>
    <col min="13064" max="13064" width="9.85546875" style="135" customWidth="1"/>
    <col min="13065" max="13066" width="12.7109375" style="135" bestFit="1" customWidth="1"/>
    <col min="13067" max="13067" width="9.140625" style="135"/>
    <col min="13068" max="13068" width="10.28515625" style="135" bestFit="1" customWidth="1"/>
    <col min="13069" max="13313" width="9.140625" style="135"/>
    <col min="13314" max="13314" width="14.28515625" style="135" customWidth="1"/>
    <col min="13315" max="13315" width="19.28515625" style="135" customWidth="1"/>
    <col min="13316" max="13316" width="16" style="135" customWidth="1"/>
    <col min="13317" max="13317" width="17.140625" style="135" customWidth="1"/>
    <col min="13318" max="13318" width="10.140625" style="135" customWidth="1"/>
    <col min="13319" max="13319" width="10.5703125" style="135" customWidth="1"/>
    <col min="13320" max="13320" width="9.85546875" style="135" customWidth="1"/>
    <col min="13321" max="13322" width="12.7109375" style="135" bestFit="1" customWidth="1"/>
    <col min="13323" max="13323" width="9.140625" style="135"/>
    <col min="13324" max="13324" width="10.28515625" style="135" bestFit="1" customWidth="1"/>
    <col min="13325" max="13569" width="9.140625" style="135"/>
    <col min="13570" max="13570" width="14.28515625" style="135" customWidth="1"/>
    <col min="13571" max="13571" width="19.28515625" style="135" customWidth="1"/>
    <col min="13572" max="13572" width="16" style="135" customWidth="1"/>
    <col min="13573" max="13573" width="17.140625" style="135" customWidth="1"/>
    <col min="13574" max="13574" width="10.140625" style="135" customWidth="1"/>
    <col min="13575" max="13575" width="10.5703125" style="135" customWidth="1"/>
    <col min="13576" max="13576" width="9.85546875" style="135" customWidth="1"/>
    <col min="13577" max="13578" width="12.7109375" style="135" bestFit="1" customWidth="1"/>
    <col min="13579" max="13579" width="9.140625" style="135"/>
    <col min="13580" max="13580" width="10.28515625" style="135" bestFit="1" customWidth="1"/>
    <col min="13581" max="13825" width="9.140625" style="135"/>
    <col min="13826" max="13826" width="14.28515625" style="135" customWidth="1"/>
    <col min="13827" max="13827" width="19.28515625" style="135" customWidth="1"/>
    <col min="13828" max="13828" width="16" style="135" customWidth="1"/>
    <col min="13829" max="13829" width="17.140625" style="135" customWidth="1"/>
    <col min="13830" max="13830" width="10.140625" style="135" customWidth="1"/>
    <col min="13831" max="13831" width="10.5703125" style="135" customWidth="1"/>
    <col min="13832" max="13832" width="9.85546875" style="135" customWidth="1"/>
    <col min="13833" max="13834" width="12.7109375" style="135" bestFit="1" customWidth="1"/>
    <col min="13835" max="13835" width="9.140625" style="135"/>
    <col min="13836" max="13836" width="10.28515625" style="135" bestFit="1" customWidth="1"/>
    <col min="13837" max="14081" width="9.140625" style="135"/>
    <col min="14082" max="14082" width="14.28515625" style="135" customWidth="1"/>
    <col min="14083" max="14083" width="19.28515625" style="135" customWidth="1"/>
    <col min="14084" max="14084" width="16" style="135" customWidth="1"/>
    <col min="14085" max="14085" width="17.140625" style="135" customWidth="1"/>
    <col min="14086" max="14086" width="10.140625" style="135" customWidth="1"/>
    <col min="14087" max="14087" width="10.5703125" style="135" customWidth="1"/>
    <col min="14088" max="14088" width="9.85546875" style="135" customWidth="1"/>
    <col min="14089" max="14090" width="12.7109375" style="135" bestFit="1" customWidth="1"/>
    <col min="14091" max="14091" width="9.140625" style="135"/>
    <col min="14092" max="14092" width="10.28515625" style="135" bestFit="1" customWidth="1"/>
    <col min="14093" max="14337" width="9.140625" style="135"/>
    <col min="14338" max="14338" width="14.28515625" style="135" customWidth="1"/>
    <col min="14339" max="14339" width="19.28515625" style="135" customWidth="1"/>
    <col min="14340" max="14340" width="16" style="135" customWidth="1"/>
    <col min="14341" max="14341" width="17.140625" style="135" customWidth="1"/>
    <col min="14342" max="14342" width="10.140625" style="135" customWidth="1"/>
    <col min="14343" max="14343" width="10.5703125" style="135" customWidth="1"/>
    <col min="14344" max="14344" width="9.85546875" style="135" customWidth="1"/>
    <col min="14345" max="14346" width="12.7109375" style="135" bestFit="1" customWidth="1"/>
    <col min="14347" max="14347" width="9.140625" style="135"/>
    <col min="14348" max="14348" width="10.28515625" style="135" bestFit="1" customWidth="1"/>
    <col min="14349" max="14593" width="9.140625" style="135"/>
    <col min="14594" max="14594" width="14.28515625" style="135" customWidth="1"/>
    <col min="14595" max="14595" width="19.28515625" style="135" customWidth="1"/>
    <col min="14596" max="14596" width="16" style="135" customWidth="1"/>
    <col min="14597" max="14597" width="17.140625" style="135" customWidth="1"/>
    <col min="14598" max="14598" width="10.140625" style="135" customWidth="1"/>
    <col min="14599" max="14599" width="10.5703125" style="135" customWidth="1"/>
    <col min="14600" max="14600" width="9.85546875" style="135" customWidth="1"/>
    <col min="14601" max="14602" width="12.7109375" style="135" bestFit="1" customWidth="1"/>
    <col min="14603" max="14603" width="9.140625" style="135"/>
    <col min="14604" max="14604" width="10.28515625" style="135" bestFit="1" customWidth="1"/>
    <col min="14605" max="14849" width="9.140625" style="135"/>
    <col min="14850" max="14850" width="14.28515625" style="135" customWidth="1"/>
    <col min="14851" max="14851" width="19.28515625" style="135" customWidth="1"/>
    <col min="14852" max="14852" width="16" style="135" customWidth="1"/>
    <col min="14853" max="14853" width="17.140625" style="135" customWidth="1"/>
    <col min="14854" max="14854" width="10.140625" style="135" customWidth="1"/>
    <col min="14855" max="14855" width="10.5703125" style="135" customWidth="1"/>
    <col min="14856" max="14856" width="9.85546875" style="135" customWidth="1"/>
    <col min="14857" max="14858" width="12.7109375" style="135" bestFit="1" customWidth="1"/>
    <col min="14859" max="14859" width="9.140625" style="135"/>
    <col min="14860" max="14860" width="10.28515625" style="135" bestFit="1" customWidth="1"/>
    <col min="14861" max="15105" width="9.140625" style="135"/>
    <col min="15106" max="15106" width="14.28515625" style="135" customWidth="1"/>
    <col min="15107" max="15107" width="19.28515625" style="135" customWidth="1"/>
    <col min="15108" max="15108" width="16" style="135" customWidth="1"/>
    <col min="15109" max="15109" width="17.140625" style="135" customWidth="1"/>
    <col min="15110" max="15110" width="10.140625" style="135" customWidth="1"/>
    <col min="15111" max="15111" width="10.5703125" style="135" customWidth="1"/>
    <col min="15112" max="15112" width="9.85546875" style="135" customWidth="1"/>
    <col min="15113" max="15114" width="12.7109375" style="135" bestFit="1" customWidth="1"/>
    <col min="15115" max="15115" width="9.140625" style="135"/>
    <col min="15116" max="15116" width="10.28515625" style="135" bestFit="1" customWidth="1"/>
    <col min="15117" max="15361" width="9.140625" style="135"/>
    <col min="15362" max="15362" width="14.28515625" style="135" customWidth="1"/>
    <col min="15363" max="15363" width="19.28515625" style="135" customWidth="1"/>
    <col min="15364" max="15364" width="16" style="135" customWidth="1"/>
    <col min="15365" max="15365" width="17.140625" style="135" customWidth="1"/>
    <col min="15366" max="15366" width="10.140625" style="135" customWidth="1"/>
    <col min="15367" max="15367" width="10.5703125" style="135" customWidth="1"/>
    <col min="15368" max="15368" width="9.85546875" style="135" customWidth="1"/>
    <col min="15369" max="15370" width="12.7109375" style="135" bestFit="1" customWidth="1"/>
    <col min="15371" max="15371" width="9.140625" style="135"/>
    <col min="15372" max="15372" width="10.28515625" style="135" bestFit="1" customWidth="1"/>
    <col min="15373" max="15617" width="9.140625" style="135"/>
    <col min="15618" max="15618" width="14.28515625" style="135" customWidth="1"/>
    <col min="15619" max="15619" width="19.28515625" style="135" customWidth="1"/>
    <col min="15620" max="15620" width="16" style="135" customWidth="1"/>
    <col min="15621" max="15621" width="17.140625" style="135" customWidth="1"/>
    <col min="15622" max="15622" width="10.140625" style="135" customWidth="1"/>
    <col min="15623" max="15623" width="10.5703125" style="135" customWidth="1"/>
    <col min="15624" max="15624" width="9.85546875" style="135" customWidth="1"/>
    <col min="15625" max="15626" width="12.7109375" style="135" bestFit="1" customWidth="1"/>
    <col min="15627" max="15627" width="9.140625" style="135"/>
    <col min="15628" max="15628" width="10.28515625" style="135" bestFit="1" customWidth="1"/>
    <col min="15629" max="15873" width="9.140625" style="135"/>
    <col min="15874" max="15874" width="14.28515625" style="135" customWidth="1"/>
    <col min="15875" max="15875" width="19.28515625" style="135" customWidth="1"/>
    <col min="15876" max="15876" width="16" style="135" customWidth="1"/>
    <col min="15877" max="15877" width="17.140625" style="135" customWidth="1"/>
    <col min="15878" max="15878" width="10.140625" style="135" customWidth="1"/>
    <col min="15879" max="15879" width="10.5703125" style="135" customWidth="1"/>
    <col min="15880" max="15880" width="9.85546875" style="135" customWidth="1"/>
    <col min="15881" max="15882" width="12.7109375" style="135" bestFit="1" customWidth="1"/>
    <col min="15883" max="15883" width="9.140625" style="135"/>
    <col min="15884" max="15884" width="10.28515625" style="135" bestFit="1" customWidth="1"/>
    <col min="15885" max="16129" width="9.140625" style="135"/>
    <col min="16130" max="16130" width="14.28515625" style="135" customWidth="1"/>
    <col min="16131" max="16131" width="19.28515625" style="135" customWidth="1"/>
    <col min="16132" max="16132" width="16" style="135" customWidth="1"/>
    <col min="16133" max="16133" width="17.140625" style="135" customWidth="1"/>
    <col min="16134" max="16134" width="10.140625" style="135" customWidth="1"/>
    <col min="16135" max="16135" width="10.5703125" style="135" customWidth="1"/>
    <col min="16136" max="16136" width="9.85546875" style="135" customWidth="1"/>
    <col min="16137" max="16138" width="12.7109375" style="135" bestFit="1" customWidth="1"/>
    <col min="16139" max="16139" width="9.140625" style="135"/>
    <col min="16140" max="16140" width="10.28515625" style="135" bestFit="1" customWidth="1"/>
    <col min="16141" max="16384" width="9.140625" style="135"/>
  </cols>
  <sheetData>
    <row r="1" spans="1:8" ht="28.5" customHeight="1" x14ac:dyDescent="0.25">
      <c r="A1" s="275" t="s">
        <v>343</v>
      </c>
      <c r="B1" s="275"/>
      <c r="C1" s="275"/>
      <c r="D1" s="275"/>
      <c r="E1" s="275"/>
    </row>
    <row r="2" spans="1:8" ht="28.5" customHeight="1" x14ac:dyDescent="0.25">
      <c r="A2" s="351" t="s">
        <v>291</v>
      </c>
      <c r="B2" s="352"/>
      <c r="C2" s="352"/>
      <c r="D2" s="352"/>
      <c r="E2" s="353"/>
    </row>
    <row r="3" spans="1:8" ht="28.5" customHeight="1" x14ac:dyDescent="0.25">
      <c r="A3" s="327" t="s">
        <v>292</v>
      </c>
      <c r="B3" s="327"/>
      <c r="C3" s="327"/>
      <c r="D3" s="327"/>
      <c r="E3" s="327"/>
    </row>
    <row r="4" spans="1:8" s="136" customFormat="1" ht="28.5" customHeight="1" x14ac:dyDescent="0.25">
      <c r="A4" s="264" t="s">
        <v>293</v>
      </c>
      <c r="B4" s="265"/>
      <c r="C4" s="176">
        <v>1</v>
      </c>
      <c r="D4" s="176">
        <v>2</v>
      </c>
      <c r="E4" s="176" t="s">
        <v>294</v>
      </c>
      <c r="F4" s="329"/>
      <c r="G4" s="329"/>
      <c r="H4" s="329"/>
    </row>
    <row r="5" spans="1:8" s="136" customFormat="1" ht="28.5" customHeight="1" x14ac:dyDescent="0.25">
      <c r="A5" s="266"/>
      <c r="B5" s="267"/>
      <c r="C5" s="176" t="s">
        <v>295</v>
      </c>
      <c r="D5" s="176" t="s">
        <v>296</v>
      </c>
      <c r="E5" s="176" t="s">
        <v>297</v>
      </c>
      <c r="F5" s="329"/>
      <c r="G5" s="329"/>
      <c r="H5" s="329"/>
    </row>
    <row r="6" spans="1:8" s="136" customFormat="1" ht="28.5" customHeight="1" x14ac:dyDescent="0.25">
      <c r="A6" s="268"/>
      <c r="B6" s="269"/>
      <c r="C6" s="176" t="s">
        <v>298</v>
      </c>
      <c r="D6" s="176" t="s">
        <v>299</v>
      </c>
      <c r="E6" s="176" t="s">
        <v>300</v>
      </c>
      <c r="F6" s="329"/>
      <c r="G6" s="329"/>
      <c r="H6" s="329"/>
    </row>
    <row r="7" spans="1:8" ht="28.5" customHeight="1" x14ac:dyDescent="0.25">
      <c r="A7" s="330" t="s">
        <v>301</v>
      </c>
      <c r="B7" s="330"/>
      <c r="C7" s="330"/>
      <c r="D7" s="330"/>
      <c r="E7" s="330"/>
    </row>
    <row r="8" spans="1:8" ht="28.5" customHeight="1" x14ac:dyDescent="0.25">
      <c r="A8" s="143" t="s">
        <v>383</v>
      </c>
      <c r="B8" s="120">
        <v>1</v>
      </c>
      <c r="C8" s="120">
        <v>1200</v>
      </c>
      <c r="D8" s="331">
        <f>'G2 CORIXA-MT Servente'!G112</f>
        <v>6187.7454556530747</v>
      </c>
      <c r="E8" s="331">
        <f>(B8/C8)*D8</f>
        <v>5.1564545463775628</v>
      </c>
      <c r="F8" s="332"/>
    </row>
    <row r="9" spans="1:8" ht="28.5" customHeight="1" x14ac:dyDescent="0.25">
      <c r="A9" s="333" t="s">
        <v>302</v>
      </c>
      <c r="B9" s="333"/>
      <c r="C9" s="333"/>
      <c r="D9" s="333"/>
      <c r="E9" s="334">
        <f>SUM(E8:E8)</f>
        <v>5.1564545463775628</v>
      </c>
      <c r="F9" s="332"/>
    </row>
    <row r="10" spans="1:8" ht="28.5" customHeight="1" x14ac:dyDescent="0.25">
      <c r="A10" s="330" t="s">
        <v>305</v>
      </c>
      <c r="B10" s="330"/>
      <c r="C10" s="330"/>
      <c r="D10" s="330"/>
      <c r="E10" s="330"/>
      <c r="F10" s="335"/>
    </row>
    <row r="11" spans="1:8" ht="28.5" customHeight="1" x14ac:dyDescent="0.25">
      <c r="A11" s="143" t="s">
        <v>383</v>
      </c>
      <c r="B11" s="120">
        <v>1</v>
      </c>
      <c r="C11" s="120">
        <v>300</v>
      </c>
      <c r="D11" s="331">
        <f>'G2 CORIXA-MT Servente'!G112</f>
        <v>6187.7454556530747</v>
      </c>
      <c r="E11" s="331">
        <f>(B11/C11)*D11</f>
        <v>20.625818185510251</v>
      </c>
      <c r="F11" s="332"/>
    </row>
    <row r="12" spans="1:8" ht="28.5" customHeight="1" x14ac:dyDescent="0.25">
      <c r="A12" s="333" t="s">
        <v>302</v>
      </c>
      <c r="B12" s="333"/>
      <c r="C12" s="333"/>
      <c r="D12" s="333"/>
      <c r="E12" s="334">
        <f>SUM(E11:E11)</f>
        <v>20.625818185510251</v>
      </c>
      <c r="F12" s="332"/>
    </row>
    <row r="13" spans="1:8" ht="28.5" customHeight="1" x14ac:dyDescent="0.25">
      <c r="A13" s="327" t="s">
        <v>306</v>
      </c>
      <c r="B13" s="327"/>
      <c r="C13" s="327"/>
      <c r="D13" s="327"/>
      <c r="E13" s="327"/>
      <c r="F13" s="329"/>
    </row>
    <row r="14" spans="1:8" s="136" customFormat="1" ht="28.5" customHeight="1" x14ac:dyDescent="0.25">
      <c r="A14" s="264" t="s">
        <v>293</v>
      </c>
      <c r="B14" s="265"/>
      <c r="C14" s="176">
        <v>1</v>
      </c>
      <c r="D14" s="176">
        <v>2</v>
      </c>
      <c r="E14" s="176" t="s">
        <v>294</v>
      </c>
      <c r="F14" s="339"/>
      <c r="G14" s="329"/>
      <c r="H14" s="329"/>
    </row>
    <row r="15" spans="1:8" s="136" customFormat="1" ht="28.5" customHeight="1" x14ac:dyDescent="0.25">
      <c r="A15" s="266"/>
      <c r="B15" s="267"/>
      <c r="C15" s="176" t="s">
        <v>295</v>
      </c>
      <c r="D15" s="176" t="s">
        <v>307</v>
      </c>
      <c r="E15" s="176" t="s">
        <v>297</v>
      </c>
      <c r="F15" s="329"/>
      <c r="G15" s="357"/>
      <c r="H15" s="357"/>
    </row>
    <row r="16" spans="1:8" s="136" customFormat="1" ht="28.5" customHeight="1" x14ac:dyDescent="0.25">
      <c r="A16" s="268"/>
      <c r="B16" s="269"/>
      <c r="C16" s="176" t="s">
        <v>308</v>
      </c>
      <c r="D16" s="176" t="s">
        <v>299</v>
      </c>
      <c r="E16" s="176" t="s">
        <v>309</v>
      </c>
      <c r="F16" s="329"/>
      <c r="G16" s="357"/>
      <c r="H16" s="357"/>
    </row>
    <row r="17" spans="1:8" ht="28.5" customHeight="1" x14ac:dyDescent="0.25">
      <c r="A17" s="330" t="s">
        <v>310</v>
      </c>
      <c r="B17" s="330"/>
      <c r="C17" s="330"/>
      <c r="D17" s="330"/>
      <c r="E17" s="330"/>
    </row>
    <row r="18" spans="1:8" ht="28.5" customHeight="1" x14ac:dyDescent="0.25">
      <c r="A18" s="143" t="s">
        <v>383</v>
      </c>
      <c r="B18" s="120">
        <v>1</v>
      </c>
      <c r="C18" s="336">
        <v>2700</v>
      </c>
      <c r="D18" s="331">
        <f>'G2 CORIXA-MT Servente'!G112</f>
        <v>6187.7454556530747</v>
      </c>
      <c r="E18" s="331">
        <f>(B18/C18)*D18</f>
        <v>2.2917575761678055</v>
      </c>
    </row>
    <row r="19" spans="1:8" s="136" customFormat="1" ht="28.5" customHeight="1" x14ac:dyDescent="0.25">
      <c r="A19" s="333" t="s">
        <v>302</v>
      </c>
      <c r="B19" s="333"/>
      <c r="C19" s="333"/>
      <c r="D19" s="333"/>
      <c r="E19" s="334">
        <f>SUM(E18:E18)</f>
        <v>2.2917575761678055</v>
      </c>
      <c r="F19" s="329"/>
      <c r="G19" s="329"/>
      <c r="H19" s="329"/>
    </row>
    <row r="20" spans="1:8" s="136" customFormat="1" ht="28.5" customHeight="1" x14ac:dyDescent="0.25">
      <c r="A20" s="330" t="s">
        <v>311</v>
      </c>
      <c r="B20" s="330"/>
      <c r="C20" s="330"/>
      <c r="D20" s="330"/>
      <c r="E20" s="330"/>
      <c r="F20" s="329"/>
      <c r="G20" s="329"/>
      <c r="H20" s="329"/>
    </row>
    <row r="21" spans="1:8" s="136" customFormat="1" ht="28.5" customHeight="1" x14ac:dyDescent="0.25">
      <c r="A21" s="143" t="s">
        <v>383</v>
      </c>
      <c r="B21" s="120">
        <v>1</v>
      </c>
      <c r="C21" s="336">
        <v>9000</v>
      </c>
      <c r="D21" s="331">
        <f>'G2 CORIXA-MT Servente'!G112</f>
        <v>6187.7454556530747</v>
      </c>
      <c r="E21" s="331">
        <f>(B21/C21)*D21</f>
        <v>0.68752727285034165</v>
      </c>
      <c r="F21" s="329"/>
      <c r="G21" s="329"/>
      <c r="H21" s="329"/>
    </row>
    <row r="22" spans="1:8" s="136" customFormat="1" ht="28.5" customHeight="1" x14ac:dyDescent="0.25">
      <c r="A22" s="333" t="s">
        <v>302</v>
      </c>
      <c r="B22" s="333"/>
      <c r="C22" s="333"/>
      <c r="D22" s="333"/>
      <c r="E22" s="334">
        <f>SUM(E21:E21)</f>
        <v>0.68752727285034165</v>
      </c>
      <c r="F22" s="329"/>
      <c r="G22" s="329"/>
      <c r="H22" s="329"/>
    </row>
    <row r="23" spans="1:8" ht="28.5" customHeight="1" x14ac:dyDescent="0.25">
      <c r="A23" s="330" t="s">
        <v>361</v>
      </c>
      <c r="B23" s="330"/>
      <c r="C23" s="330"/>
      <c r="D23" s="330"/>
      <c r="E23" s="330"/>
    </row>
    <row r="24" spans="1:8" ht="28.5" customHeight="1" x14ac:dyDescent="0.25">
      <c r="A24" s="143" t="s">
        <v>383</v>
      </c>
      <c r="B24" s="120">
        <v>1</v>
      </c>
      <c r="C24" s="336">
        <v>2700</v>
      </c>
      <c r="D24" s="331">
        <f>'G2 CORIXA-MT Servente'!G112</f>
        <v>6187.7454556530747</v>
      </c>
      <c r="E24" s="331">
        <f>(B24/C24)*D24</f>
        <v>2.2917575761678055</v>
      </c>
    </row>
    <row r="25" spans="1:8" s="136" customFormat="1" ht="28.5" customHeight="1" x14ac:dyDescent="0.25">
      <c r="A25" s="333" t="s">
        <v>302</v>
      </c>
      <c r="B25" s="333"/>
      <c r="C25" s="333"/>
      <c r="D25" s="333"/>
      <c r="E25" s="334">
        <f>SUM(E24:E24)</f>
        <v>2.2917575761678055</v>
      </c>
      <c r="F25" s="329"/>
      <c r="G25" s="329"/>
      <c r="H25" s="329"/>
    </row>
    <row r="26" spans="1:8" ht="28.5" customHeight="1" x14ac:dyDescent="0.25">
      <c r="A26" s="330" t="s">
        <v>313</v>
      </c>
      <c r="B26" s="330"/>
      <c r="C26" s="330"/>
      <c r="D26" s="330"/>
      <c r="E26" s="330"/>
      <c r="F26" s="330"/>
      <c r="G26" s="330"/>
      <c r="H26" s="330"/>
    </row>
    <row r="27" spans="1:8" ht="28.5" customHeight="1" x14ac:dyDescent="0.25">
      <c r="A27" s="330" t="s">
        <v>314</v>
      </c>
      <c r="B27" s="330"/>
      <c r="C27" s="330"/>
      <c r="D27" s="330"/>
      <c r="E27" s="330"/>
      <c r="F27" s="330"/>
      <c r="G27" s="330"/>
      <c r="H27" s="330"/>
    </row>
    <row r="28" spans="1:8" ht="67.5" customHeight="1" x14ac:dyDescent="0.25">
      <c r="A28" s="248" t="s">
        <v>293</v>
      </c>
      <c r="B28" s="250"/>
      <c r="C28" s="176" t="s">
        <v>315</v>
      </c>
      <c r="D28" s="176" t="s">
        <v>316</v>
      </c>
      <c r="E28" s="176" t="s">
        <v>317</v>
      </c>
      <c r="F28" s="176" t="s">
        <v>318</v>
      </c>
      <c r="G28" s="176" t="s">
        <v>319</v>
      </c>
      <c r="H28" s="176" t="s">
        <v>320</v>
      </c>
    </row>
    <row r="29" spans="1:8" ht="39.75" customHeight="1" x14ac:dyDescent="0.25">
      <c r="A29" s="143" t="s">
        <v>383</v>
      </c>
      <c r="B29" s="120">
        <v>1</v>
      </c>
      <c r="C29" s="120">
        <v>380</v>
      </c>
      <c r="D29" s="120">
        <v>16</v>
      </c>
      <c r="E29" s="120" t="s">
        <v>321</v>
      </c>
      <c r="F29" s="340">
        <f>(B29/C29)*16*(1/188.76)</f>
        <v>2.2306242401936183E-4</v>
      </c>
      <c r="G29" s="331">
        <f>'G2 CORIXA-MT Servente'!G112</f>
        <v>6187.7454556530747</v>
      </c>
      <c r="H29" s="331">
        <f>G29*F29</f>
        <v>1.3802535005527654</v>
      </c>
    </row>
    <row r="30" spans="1:8" s="136" customFormat="1" ht="39.75" customHeight="1" x14ac:dyDescent="0.25">
      <c r="A30" s="341" t="s">
        <v>302</v>
      </c>
      <c r="B30" s="342"/>
      <c r="C30" s="342"/>
      <c r="D30" s="342"/>
      <c r="E30" s="342"/>
      <c r="F30" s="342"/>
      <c r="G30" s="343"/>
      <c r="H30" s="334">
        <f>SUM(H29:H29)</f>
        <v>1.3802535005527654</v>
      </c>
    </row>
    <row r="31" spans="1:8" ht="39.75" customHeight="1" x14ac:dyDescent="0.25">
      <c r="A31" s="358" t="s">
        <v>322</v>
      </c>
      <c r="B31" s="359"/>
      <c r="C31" s="359"/>
      <c r="D31" s="359"/>
      <c r="E31" s="359"/>
      <c r="F31" s="359"/>
      <c r="G31" s="359"/>
      <c r="H31" s="360"/>
    </row>
    <row r="32" spans="1:8" ht="39.75" customHeight="1" thickBot="1" x14ac:dyDescent="0.3">
      <c r="A32" s="361" t="s">
        <v>323</v>
      </c>
      <c r="B32" s="362"/>
      <c r="C32" s="362"/>
      <c r="D32" s="362"/>
      <c r="E32" s="362"/>
      <c r="F32" s="362"/>
      <c r="G32" s="362"/>
      <c r="H32" s="362"/>
    </row>
    <row r="33" spans="1:8" ht="66" customHeight="1" x14ac:dyDescent="0.25">
      <c r="A33" s="262" t="s">
        <v>293</v>
      </c>
      <c r="B33" s="263"/>
      <c r="C33" s="176" t="s">
        <v>315</v>
      </c>
      <c r="D33" s="176" t="s">
        <v>316</v>
      </c>
      <c r="E33" s="176" t="s">
        <v>317</v>
      </c>
      <c r="F33" s="176" t="s">
        <v>318</v>
      </c>
      <c r="G33" s="176" t="s">
        <v>319</v>
      </c>
      <c r="H33" s="176" t="s">
        <v>320</v>
      </c>
    </row>
    <row r="34" spans="1:8" ht="39.75" customHeight="1" x14ac:dyDescent="0.25">
      <c r="A34" s="143" t="s">
        <v>383</v>
      </c>
      <c r="B34" s="120">
        <v>1</v>
      </c>
      <c r="C34" s="120">
        <v>380</v>
      </c>
      <c r="D34" s="120">
        <v>16</v>
      </c>
      <c r="E34" s="120" t="s">
        <v>321</v>
      </c>
      <c r="F34" s="340">
        <f>(B34/C34)*16*(1/188.76)</f>
        <v>2.2306242401936183E-4</v>
      </c>
      <c r="G34" s="331">
        <f>'G2 CORIXA-MT Servente'!G112</f>
        <v>6187.7454556530747</v>
      </c>
      <c r="H34" s="331">
        <f>G34*F34</f>
        <v>1.3802535005527654</v>
      </c>
    </row>
    <row r="35" spans="1:8" s="136" customFormat="1" ht="39.75" customHeight="1" x14ac:dyDescent="0.25">
      <c r="A35" s="341" t="s">
        <v>302</v>
      </c>
      <c r="B35" s="342"/>
      <c r="C35" s="342"/>
      <c r="D35" s="342"/>
      <c r="E35" s="342"/>
      <c r="F35" s="342"/>
      <c r="G35" s="343"/>
      <c r="H35" s="334">
        <f>SUM(H34:H34)</f>
        <v>1.3802535005527654</v>
      </c>
    </row>
    <row r="38" spans="1:8" x14ac:dyDescent="0.25">
      <c r="A38" s="346"/>
      <c r="B38" s="346"/>
      <c r="C38" s="346"/>
      <c r="D38" s="347"/>
      <c r="E38" s="347"/>
      <c r="F38" s="347"/>
      <c r="G38" s="347"/>
      <c r="H38" s="347"/>
    </row>
    <row r="39" spans="1:8" ht="43.5" customHeight="1" x14ac:dyDescent="0.25">
      <c r="A39" s="348"/>
      <c r="B39" s="348"/>
      <c r="C39" s="348"/>
      <c r="D39" s="348"/>
      <c r="E39" s="348"/>
      <c r="F39" s="348"/>
      <c r="G39" s="348"/>
      <c r="H39" s="348"/>
    </row>
  </sheetData>
  <mergeCells count="26">
    <mergeCell ref="A4:B6"/>
    <mergeCell ref="A28:B28"/>
    <mergeCell ref="A14:B16"/>
    <mergeCell ref="A1:E1"/>
    <mergeCell ref="A2:E2"/>
    <mergeCell ref="A3:E3"/>
    <mergeCell ref="A10:E10"/>
    <mergeCell ref="A7:E7"/>
    <mergeCell ref="A9:D9"/>
    <mergeCell ref="A26:H26"/>
    <mergeCell ref="A12:D12"/>
    <mergeCell ref="A13:E13"/>
    <mergeCell ref="A17:E17"/>
    <mergeCell ref="A19:D19"/>
    <mergeCell ref="A20:E20"/>
    <mergeCell ref="A22:D22"/>
    <mergeCell ref="A23:E23"/>
    <mergeCell ref="A25:D25"/>
    <mergeCell ref="A38:C38"/>
    <mergeCell ref="A39:H39"/>
    <mergeCell ref="A27:H27"/>
    <mergeCell ref="A30:G30"/>
    <mergeCell ref="A31:H31"/>
    <mergeCell ref="A32:H32"/>
    <mergeCell ref="A35:G35"/>
    <mergeCell ref="A33:B33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861F-828C-429B-891B-F8C9EE21E705}">
  <sheetPr>
    <pageSetUpPr fitToPage="1"/>
  </sheetPr>
  <dimension ref="A1:ALZ114"/>
  <sheetViews>
    <sheetView showGridLines="0" zoomScaleNormal="100" workbookViewId="0">
      <selection activeCell="E88" sqref="E88:F88"/>
    </sheetView>
  </sheetViews>
  <sheetFormatPr defaultColWidth="9.140625"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5" customWidth="1"/>
    <col min="1026" max="16384" width="9.140625" style="75"/>
  </cols>
  <sheetData>
    <row r="1" spans="1:7" ht="28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37" t="s">
        <v>108</v>
      </c>
      <c r="B3" s="237"/>
      <c r="C3" s="237"/>
      <c r="D3" s="237"/>
      <c r="E3" s="237"/>
      <c r="F3" s="237"/>
      <c r="G3" s="237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29" t="s">
        <v>1</v>
      </c>
      <c r="B5" s="229"/>
      <c r="C5" s="229"/>
      <c r="D5" s="229"/>
      <c r="E5" s="229"/>
      <c r="F5" s="229"/>
      <c r="G5" s="229"/>
    </row>
    <row r="6" spans="1:7" ht="21.75" customHeight="1" x14ac:dyDescent="0.2">
      <c r="A6" s="229" t="s">
        <v>2</v>
      </c>
      <c r="B6" s="229"/>
      <c r="C6" s="229"/>
      <c r="D6" s="229"/>
      <c r="E6" s="229"/>
      <c r="F6" s="229"/>
      <c r="G6" s="22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238" t="s">
        <v>3</v>
      </c>
      <c r="B8" s="238"/>
      <c r="C8" s="238"/>
      <c r="D8" s="238"/>
      <c r="E8" s="238"/>
      <c r="F8" s="238"/>
      <c r="G8" s="238"/>
    </row>
    <row r="9" spans="1:7" s="6" customFormat="1" ht="3.75" customHeight="1" x14ac:dyDescent="0.2">
      <c r="A9" s="239"/>
      <c r="B9" s="239"/>
      <c r="C9" s="239"/>
      <c r="D9" s="239"/>
      <c r="E9" s="239"/>
      <c r="F9" s="239"/>
      <c r="G9" s="239"/>
    </row>
    <row r="10" spans="1:7" s="6" customFormat="1" ht="21.75" customHeight="1" x14ac:dyDescent="0.25">
      <c r="A10" s="197" t="s">
        <v>4</v>
      </c>
      <c r="B10" s="197"/>
      <c r="C10" s="197"/>
      <c r="D10" s="197"/>
      <c r="E10" s="197"/>
      <c r="F10" s="197"/>
      <c r="G10" s="197"/>
    </row>
    <row r="11" spans="1:7" s="6" customForma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166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157</v>
      </c>
    </row>
    <row r="13" spans="1:7" s="6" customFormat="1" ht="34.5" customHeight="1" x14ac:dyDescent="0.25">
      <c r="A13" s="11" t="s">
        <v>9</v>
      </c>
      <c r="B13" s="233" t="s">
        <v>10</v>
      </c>
      <c r="C13" s="233"/>
      <c r="D13" s="233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33" t="s">
        <v>19</v>
      </c>
      <c r="C17" s="234"/>
      <c r="D17" s="235" t="s">
        <v>347</v>
      </c>
      <c r="E17" s="235"/>
      <c r="F17" s="22"/>
      <c r="G17" s="24">
        <v>1511.95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33" t="s">
        <v>26</v>
      </c>
      <c r="C20" s="233"/>
      <c r="D20" s="233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198" t="s">
        <v>27</v>
      </c>
      <c r="B22" s="198"/>
      <c r="C22" s="198"/>
      <c r="D22" s="198"/>
      <c r="E22" s="198"/>
      <c r="F22" s="198"/>
      <c r="G22" s="198"/>
    </row>
    <row r="23" spans="1:7" s="1" customFormat="1" ht="19.5" customHeight="1" x14ac:dyDescent="0.25">
      <c r="A23" s="240"/>
      <c r="B23" s="240"/>
      <c r="C23" s="240"/>
      <c r="D23" s="240"/>
      <c r="E23" s="240"/>
      <c r="F23" s="240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1511.95</v>
      </c>
    </row>
    <row r="25" spans="1:7" s="1" customFormat="1" ht="45" x14ac:dyDescent="0.25">
      <c r="A25" s="29" t="s">
        <v>7</v>
      </c>
      <c r="B25" s="33" t="s">
        <v>113</v>
      </c>
      <c r="C25" s="34"/>
      <c r="D25" s="174" t="s">
        <v>359</v>
      </c>
      <c r="E25" s="193">
        <v>0.4</v>
      </c>
      <c r="F25" s="193"/>
      <c r="G25" s="173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348</v>
      </c>
      <c r="C26" s="34"/>
      <c r="D26" s="235" t="s">
        <v>347</v>
      </c>
      <c r="E26" s="235"/>
      <c r="F26" s="22"/>
      <c r="G26" s="24">
        <v>58.49</v>
      </c>
    </row>
    <row r="27" spans="1:7" s="1" customFormat="1" ht="21.75" customHeight="1" x14ac:dyDescent="0.25">
      <c r="A27" s="197" t="s">
        <v>30</v>
      </c>
      <c r="B27" s="197"/>
      <c r="C27" s="197"/>
      <c r="D27" s="197"/>
      <c r="E27" s="197"/>
      <c r="F27" s="197"/>
      <c r="G27" s="35">
        <f>SUM(G24:G26)</f>
        <v>2135.2399999999998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198" t="s">
        <v>31</v>
      </c>
      <c r="B29" s="198"/>
      <c r="C29" s="198"/>
      <c r="D29" s="198"/>
      <c r="E29" s="198"/>
      <c r="F29" s="198"/>
      <c r="G29" s="198"/>
    </row>
    <row r="30" spans="1:7" s="1" customFormat="1" ht="19.5" customHeight="1" x14ac:dyDescent="0.25">
      <c r="A30" s="208" t="s">
        <v>32</v>
      </c>
      <c r="B30" s="208"/>
      <c r="C30" s="208"/>
      <c r="D30" s="208"/>
      <c r="E30" s="208"/>
      <c r="F30" s="208"/>
      <c r="G30" s="208"/>
    </row>
    <row r="31" spans="1:7" s="1" customFormat="1" ht="19.5" customHeight="1" x14ac:dyDescent="0.25">
      <c r="A31" s="196"/>
      <c r="B31" s="196"/>
      <c r="C31" s="196"/>
      <c r="D31" s="196"/>
      <c r="E31" s="232" t="s">
        <v>33</v>
      </c>
      <c r="F31" s="232"/>
      <c r="G31" s="28" t="s">
        <v>28</v>
      </c>
    </row>
    <row r="32" spans="1:7" ht="19.5" customHeight="1" x14ac:dyDescent="0.2">
      <c r="A32" s="36" t="s">
        <v>5</v>
      </c>
      <c r="B32" s="229" t="s">
        <v>34</v>
      </c>
      <c r="C32" s="229"/>
      <c r="D32" s="229"/>
      <c r="E32" s="193">
        <v>8.3299999999999999E-2</v>
      </c>
      <c r="F32" s="193"/>
      <c r="G32" s="37">
        <f>ROUND($E$32*$G$27,2)</f>
        <v>177.87</v>
      </c>
    </row>
    <row r="33" spans="1:7" ht="49.5" customHeight="1" x14ac:dyDescent="0.2">
      <c r="A33" s="36" t="s">
        <v>7</v>
      </c>
      <c r="B33" s="213" t="s">
        <v>35</v>
      </c>
      <c r="C33" s="229"/>
      <c r="D33" s="229"/>
      <c r="E33" s="230">
        <v>2.7799999999999998E-2</v>
      </c>
      <c r="F33" s="230"/>
      <c r="G33" s="37">
        <f>ROUND($E$33*$G$27,2)</f>
        <v>59.36</v>
      </c>
    </row>
    <row r="34" spans="1:7" ht="19.5" customHeight="1" x14ac:dyDescent="0.2">
      <c r="A34" s="208" t="s">
        <v>36</v>
      </c>
      <c r="B34" s="208"/>
      <c r="C34" s="208"/>
      <c r="D34" s="208"/>
      <c r="E34" s="231">
        <f>SUM(E32:E33)</f>
        <v>0.1111</v>
      </c>
      <c r="F34" s="231"/>
      <c r="G34" s="38">
        <f>SUM(G32:G33)</f>
        <v>237.23000000000002</v>
      </c>
    </row>
    <row r="35" spans="1:7" s="39" customFormat="1" ht="19.5" customHeight="1" x14ac:dyDescent="0.25">
      <c r="A35" s="208" t="s">
        <v>37</v>
      </c>
      <c r="B35" s="208"/>
      <c r="C35" s="208"/>
      <c r="D35" s="208"/>
      <c r="E35" s="208"/>
      <c r="F35" s="208"/>
      <c r="G35" s="208"/>
    </row>
    <row r="36" spans="1:7" s="39" customFormat="1" ht="39" customHeight="1" x14ac:dyDescent="0.25">
      <c r="A36" s="36" t="s">
        <v>5</v>
      </c>
      <c r="B36" s="33" t="s">
        <v>38</v>
      </c>
      <c r="C36" s="40"/>
      <c r="D36" s="224" t="s">
        <v>39</v>
      </c>
      <c r="E36" s="224"/>
      <c r="F36" s="41">
        <v>0.2</v>
      </c>
      <c r="G36" s="37">
        <f>ROUND(F36*($G$27+$G$34),2)</f>
        <v>474.49</v>
      </c>
    </row>
    <row r="37" spans="1:7" s="39" customFormat="1" ht="39" customHeight="1" x14ac:dyDescent="0.25">
      <c r="A37" s="36" t="s">
        <v>7</v>
      </c>
      <c r="B37" s="33" t="s">
        <v>40</v>
      </c>
      <c r="C37" s="40"/>
      <c r="D37" s="224" t="s">
        <v>41</v>
      </c>
      <c r="E37" s="224"/>
      <c r="F37" s="42">
        <v>2.5000000000000001E-2</v>
      </c>
      <c r="G37" s="37">
        <f t="shared" ref="G37:G43" si="0">ROUND(F37*($G$27+$G$34),2)</f>
        <v>59.31</v>
      </c>
    </row>
    <row r="38" spans="1:7" s="39" customFormat="1" ht="62.25" customHeight="1" x14ac:dyDescent="0.25">
      <c r="A38" s="36" t="s">
        <v>9</v>
      </c>
      <c r="B38" s="222" t="s">
        <v>42</v>
      </c>
      <c r="C38" s="228"/>
      <c r="D38" s="224" t="s">
        <v>43</v>
      </c>
      <c r="E38" s="224"/>
      <c r="F38" s="43">
        <v>0.06</v>
      </c>
      <c r="G38" s="37">
        <f t="shared" si="0"/>
        <v>142.35</v>
      </c>
    </row>
    <row r="39" spans="1:7" s="39" customFormat="1" ht="48" customHeight="1" x14ac:dyDescent="0.25">
      <c r="A39" s="36" t="s">
        <v>11</v>
      </c>
      <c r="B39" s="33" t="s">
        <v>44</v>
      </c>
      <c r="C39" s="40"/>
      <c r="D39" s="224" t="s">
        <v>41</v>
      </c>
      <c r="E39" s="224"/>
      <c r="F39" s="42">
        <v>1.4999999999999999E-2</v>
      </c>
      <c r="G39" s="37">
        <f t="shared" si="0"/>
        <v>35.590000000000003</v>
      </c>
    </row>
    <row r="40" spans="1:7" s="39" customFormat="1" ht="43.5" customHeight="1" x14ac:dyDescent="0.25">
      <c r="A40" s="36" t="s">
        <v>13</v>
      </c>
      <c r="B40" s="33" t="s">
        <v>45</v>
      </c>
      <c r="C40" s="40"/>
      <c r="D40" s="224" t="s">
        <v>41</v>
      </c>
      <c r="E40" s="224"/>
      <c r="F40" s="42">
        <v>0.01</v>
      </c>
      <c r="G40" s="37">
        <f t="shared" si="0"/>
        <v>23.72</v>
      </c>
    </row>
    <row r="41" spans="1:7" s="39" customFormat="1" ht="42.75" customHeight="1" x14ac:dyDescent="0.25">
      <c r="A41" s="36" t="s">
        <v>15</v>
      </c>
      <c r="B41" s="33" t="s">
        <v>46</v>
      </c>
      <c r="C41" s="40"/>
      <c r="D41" s="224" t="s">
        <v>41</v>
      </c>
      <c r="E41" s="224"/>
      <c r="F41" s="42">
        <v>6.0000000000000001E-3</v>
      </c>
      <c r="G41" s="37">
        <f t="shared" si="0"/>
        <v>14.23</v>
      </c>
    </row>
    <row r="42" spans="1:7" s="39" customFormat="1" ht="46.5" customHeight="1" x14ac:dyDescent="0.25">
      <c r="A42" s="36" t="s">
        <v>18</v>
      </c>
      <c r="B42" s="33" t="s">
        <v>47</v>
      </c>
      <c r="C42" s="40"/>
      <c r="D42" s="224" t="s">
        <v>41</v>
      </c>
      <c r="E42" s="224"/>
      <c r="F42" s="42">
        <v>2E-3</v>
      </c>
      <c r="G42" s="37">
        <f t="shared" si="0"/>
        <v>4.74</v>
      </c>
    </row>
    <row r="43" spans="1:7" s="39" customFormat="1" ht="48" customHeight="1" x14ac:dyDescent="0.25">
      <c r="A43" s="36" t="s">
        <v>20</v>
      </c>
      <c r="B43" s="33" t="s">
        <v>48</v>
      </c>
      <c r="C43" s="40"/>
      <c r="D43" s="224" t="s">
        <v>41</v>
      </c>
      <c r="E43" s="224"/>
      <c r="F43" s="42">
        <v>0.08</v>
      </c>
      <c r="G43" s="37">
        <f t="shared" si="0"/>
        <v>189.8</v>
      </c>
    </row>
    <row r="44" spans="1:7" s="39" customFormat="1" ht="19.5" customHeight="1" x14ac:dyDescent="0.25">
      <c r="A44" s="225" t="s">
        <v>49</v>
      </c>
      <c r="B44" s="226"/>
      <c r="C44" s="226"/>
      <c r="D44" s="226"/>
      <c r="E44" s="227"/>
      <c r="F44" s="44">
        <f>SUM(F36:F43)</f>
        <v>0.39800000000000008</v>
      </c>
      <c r="G44" s="45">
        <f>SUM(G36:G43)</f>
        <v>944.23</v>
      </c>
    </row>
    <row r="45" spans="1:7" ht="19.5" customHeight="1" x14ac:dyDescent="0.2">
      <c r="A45" s="208" t="s">
        <v>50</v>
      </c>
      <c r="B45" s="208"/>
      <c r="C45" s="208"/>
      <c r="D45" s="208"/>
      <c r="E45" s="208"/>
      <c r="F45" s="208"/>
      <c r="G45" s="208"/>
    </row>
    <row r="46" spans="1:7" ht="57.75" customHeight="1" x14ac:dyDescent="0.2">
      <c r="A46" s="46" t="s">
        <v>5</v>
      </c>
      <c r="B46" s="194" t="s">
        <v>51</v>
      </c>
      <c r="C46" s="195"/>
      <c r="D46" s="47" t="s">
        <v>349</v>
      </c>
      <c r="E46" s="37">
        <v>22</v>
      </c>
      <c r="F46" s="48">
        <v>0.05</v>
      </c>
      <c r="G46" s="37">
        <f>ROUND((E46*22)*(1-F46),2)</f>
        <v>459.8</v>
      </c>
    </row>
    <row r="47" spans="1:7" ht="70.5" customHeight="1" x14ac:dyDescent="0.2">
      <c r="A47" s="36" t="s">
        <v>7</v>
      </c>
      <c r="B47" s="194" t="s">
        <v>52</v>
      </c>
      <c r="C47" s="195"/>
      <c r="D47" s="47" t="s">
        <v>168</v>
      </c>
      <c r="E47" s="37">
        <v>4.95</v>
      </c>
      <c r="F47" s="48">
        <v>0.06</v>
      </c>
      <c r="G47" s="37">
        <f>ROUND((E47*2*22)-(0.06*$G$24),2)</f>
        <v>127.08</v>
      </c>
    </row>
    <row r="48" spans="1:7" ht="70.5" customHeight="1" x14ac:dyDescent="0.2">
      <c r="A48" s="36" t="s">
        <v>9</v>
      </c>
      <c r="B48" s="199" t="s">
        <v>350</v>
      </c>
      <c r="C48" s="201"/>
      <c r="D48" s="47" t="s">
        <v>351</v>
      </c>
      <c r="E48" s="37"/>
      <c r="F48" s="49"/>
      <c r="G48" s="37">
        <v>152</v>
      </c>
    </row>
    <row r="49" spans="1:9" ht="40.5" customHeight="1" x14ac:dyDescent="0.2">
      <c r="A49" s="36" t="s">
        <v>11</v>
      </c>
      <c r="B49" s="199" t="s">
        <v>114</v>
      </c>
      <c r="C49" s="201"/>
      <c r="D49" s="47"/>
      <c r="E49" s="37"/>
      <c r="F49" s="49"/>
      <c r="G49" s="37">
        <f>E49</f>
        <v>0</v>
      </c>
    </row>
    <row r="50" spans="1:9" ht="31.5" customHeight="1" x14ac:dyDescent="0.2">
      <c r="A50" s="208" t="s">
        <v>53</v>
      </c>
      <c r="B50" s="208"/>
      <c r="C50" s="208"/>
      <c r="D50" s="208"/>
      <c r="E50" s="208"/>
      <c r="F50" s="208"/>
      <c r="G50" s="38">
        <f>SUM(G46:G49)</f>
        <v>738.88</v>
      </c>
    </row>
    <row r="51" spans="1:9" ht="31.5" customHeight="1" x14ac:dyDescent="0.2">
      <c r="A51" s="209" t="s">
        <v>54</v>
      </c>
      <c r="B51" s="209"/>
      <c r="C51" s="209"/>
      <c r="D51" s="209"/>
      <c r="E51" s="209"/>
      <c r="F51" s="209"/>
      <c r="G51" s="50">
        <f>SUM(G50,G44,G34)</f>
        <v>1920.3400000000001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198" t="s">
        <v>55</v>
      </c>
      <c r="B53" s="198"/>
      <c r="C53" s="198"/>
      <c r="D53" s="198"/>
      <c r="E53" s="198"/>
      <c r="F53" s="198"/>
      <c r="G53" s="198"/>
    </row>
    <row r="54" spans="1:9" ht="80.25" customHeight="1" x14ac:dyDescent="0.2">
      <c r="A54" s="204" t="s">
        <v>5</v>
      </c>
      <c r="B54" s="213" t="s">
        <v>56</v>
      </c>
      <c r="C54" s="213"/>
      <c r="D54" s="213"/>
      <c r="E54" s="193">
        <f>(1/12)*D55</f>
        <v>4.1666666666666666E-3</v>
      </c>
      <c r="F54" s="193"/>
      <c r="G54" s="218">
        <f>ROUND($G$27+$G$34,0)*E54</f>
        <v>9.8833333333333329</v>
      </c>
    </row>
    <row r="55" spans="1:9" ht="77.25" customHeight="1" x14ac:dyDescent="0.2">
      <c r="A55" s="204"/>
      <c r="B55" s="223" t="s">
        <v>57</v>
      </c>
      <c r="C55" s="223"/>
      <c r="D55" s="51">
        <v>0.05</v>
      </c>
      <c r="E55" s="193"/>
      <c r="F55" s="193"/>
      <c r="G55" s="218"/>
    </row>
    <row r="56" spans="1:9" ht="42.75" customHeight="1" x14ac:dyDescent="0.2">
      <c r="A56" s="36" t="s">
        <v>7</v>
      </c>
      <c r="B56" s="213" t="s">
        <v>58</v>
      </c>
      <c r="C56" s="213"/>
      <c r="D56" s="213"/>
      <c r="E56" s="193">
        <v>0.08</v>
      </c>
      <c r="F56" s="193"/>
      <c r="G56" s="37">
        <f>ROUND(G54*E56,2)</f>
        <v>0.79</v>
      </c>
      <c r="H56" s="52"/>
      <c r="I56" s="52"/>
    </row>
    <row r="57" spans="1:9" ht="53.25" customHeight="1" x14ac:dyDescent="0.2">
      <c r="A57" s="36" t="s">
        <v>9</v>
      </c>
      <c r="B57" s="194" t="s">
        <v>59</v>
      </c>
      <c r="C57" s="222"/>
      <c r="D57" s="195"/>
      <c r="E57" s="193">
        <f>(7/30)/12</f>
        <v>1.9444444444444445E-2</v>
      </c>
      <c r="F57" s="193"/>
      <c r="G57" s="37">
        <f>ROUND((($G$27+$G$34)*E57),2)</f>
        <v>46.13</v>
      </c>
    </row>
    <row r="58" spans="1:9" ht="37.5" customHeight="1" x14ac:dyDescent="0.2">
      <c r="A58" s="36" t="s">
        <v>11</v>
      </c>
      <c r="B58" s="213" t="s">
        <v>60</v>
      </c>
      <c r="C58" s="213"/>
      <c r="D58" s="213"/>
      <c r="E58" s="193">
        <f>F44</f>
        <v>0.39800000000000008</v>
      </c>
      <c r="F58" s="193"/>
      <c r="G58" s="37">
        <f>ROUND(E58*G57,2)</f>
        <v>18.36</v>
      </c>
    </row>
    <row r="59" spans="1:9" ht="64.5" customHeight="1" x14ac:dyDescent="0.2">
      <c r="A59" s="36" t="s">
        <v>13</v>
      </c>
      <c r="B59" s="213" t="s">
        <v>61</v>
      </c>
      <c r="C59" s="213"/>
      <c r="D59" s="213"/>
      <c r="E59" s="193">
        <v>0.04</v>
      </c>
      <c r="F59" s="193"/>
      <c r="G59" s="37">
        <f>ROUND(E59*($G$27+$G$34),2)</f>
        <v>94.9</v>
      </c>
    </row>
    <row r="60" spans="1:9" ht="21.75" customHeight="1" x14ac:dyDescent="0.2">
      <c r="A60" s="197" t="s">
        <v>62</v>
      </c>
      <c r="B60" s="197"/>
      <c r="C60" s="197"/>
      <c r="D60" s="197"/>
      <c r="E60" s="197"/>
      <c r="F60" s="197"/>
      <c r="G60" s="50">
        <f>ROUND(SUM(G54:G59),2)</f>
        <v>170.06</v>
      </c>
    </row>
    <row r="61" spans="1:9" ht="3.75" customHeight="1" x14ac:dyDescent="0.2">
      <c r="A61" s="53"/>
      <c r="B61" s="54"/>
      <c r="C61" s="54"/>
      <c r="D61" s="54"/>
      <c r="E61" s="54"/>
      <c r="F61" s="54"/>
      <c r="G61" s="54"/>
    </row>
    <row r="62" spans="1:9" ht="21.75" customHeight="1" x14ac:dyDescent="0.2">
      <c r="A62" s="198" t="s">
        <v>63</v>
      </c>
      <c r="B62" s="198"/>
      <c r="C62" s="198"/>
      <c r="D62" s="198"/>
      <c r="E62" s="198"/>
      <c r="F62" s="198"/>
      <c r="G62" s="198"/>
    </row>
    <row r="63" spans="1:9" ht="21.75" customHeight="1" x14ac:dyDescent="0.2">
      <c r="A63" s="208" t="s">
        <v>64</v>
      </c>
      <c r="B63" s="208"/>
      <c r="C63" s="208"/>
      <c r="D63" s="208"/>
      <c r="E63" s="208"/>
      <c r="F63" s="208"/>
      <c r="G63" s="208"/>
    </row>
    <row r="64" spans="1:9" ht="21.75" customHeight="1" x14ac:dyDescent="0.2">
      <c r="A64" s="204" t="s">
        <v>5</v>
      </c>
      <c r="B64" s="213" t="s">
        <v>65</v>
      </c>
      <c r="C64" s="213"/>
      <c r="D64" s="213"/>
      <c r="E64" s="214">
        <v>8.3299999999999999E-2</v>
      </c>
      <c r="F64" s="215"/>
      <c r="G64" s="218">
        <f>E64*($G$27+$G$51+$G$60)</f>
        <v>351.995812</v>
      </c>
    </row>
    <row r="65" spans="1:8" ht="39.75" customHeight="1" x14ac:dyDescent="0.2">
      <c r="A65" s="204"/>
      <c r="B65" s="219" t="s">
        <v>66</v>
      </c>
      <c r="C65" s="220"/>
      <c r="D65" s="221"/>
      <c r="E65" s="216"/>
      <c r="F65" s="217"/>
      <c r="G65" s="218"/>
    </row>
    <row r="66" spans="1:8" x14ac:dyDescent="0.2">
      <c r="A66" s="204" t="s">
        <v>7</v>
      </c>
      <c r="B66" s="213" t="s">
        <v>67</v>
      </c>
      <c r="C66" s="213"/>
      <c r="D66" s="213"/>
      <c r="E66" s="214">
        <f>(6/360)</f>
        <v>1.6666666666666666E-2</v>
      </c>
      <c r="F66" s="215"/>
      <c r="G66" s="218">
        <f>E66*($G$27+$G$34+$G$44)</f>
        <v>55.278333333333329</v>
      </c>
    </row>
    <row r="67" spans="1:8" ht="78" customHeight="1" x14ac:dyDescent="0.2">
      <c r="A67" s="204"/>
      <c r="B67" s="219" t="s">
        <v>68</v>
      </c>
      <c r="C67" s="220"/>
      <c r="D67" s="221"/>
      <c r="E67" s="216"/>
      <c r="F67" s="217"/>
      <c r="G67" s="218"/>
    </row>
    <row r="68" spans="1:8" x14ac:dyDescent="0.2">
      <c r="A68" s="204" t="s">
        <v>9</v>
      </c>
      <c r="B68" s="213" t="s">
        <v>69</v>
      </c>
      <c r="C68" s="213"/>
      <c r="D68" s="213"/>
      <c r="E68" s="214">
        <f>((5/360)*(1.399%))</f>
        <v>1.9430555555555556E-4</v>
      </c>
      <c r="F68" s="215"/>
      <c r="G68" s="218">
        <f>E68*($G$27+$G$34+$G$44)</f>
        <v>0.64445323611111105</v>
      </c>
    </row>
    <row r="69" spans="1:8" ht="57" customHeight="1" x14ac:dyDescent="0.2">
      <c r="A69" s="204"/>
      <c r="B69" s="219" t="s">
        <v>70</v>
      </c>
      <c r="C69" s="220"/>
      <c r="D69" s="221"/>
      <c r="E69" s="216"/>
      <c r="F69" s="217"/>
      <c r="G69" s="218"/>
    </row>
    <row r="70" spans="1:8" x14ac:dyDescent="0.2">
      <c r="A70" s="204" t="s">
        <v>11</v>
      </c>
      <c r="B70" s="213" t="s">
        <v>71</v>
      </c>
      <c r="C70" s="213"/>
      <c r="D70" s="213"/>
      <c r="E70" s="214">
        <f>((15/360)*(2.16%))</f>
        <v>8.9999999999999998E-4</v>
      </c>
      <c r="F70" s="215"/>
      <c r="G70" s="218">
        <f>E70*($G$27+$G$34+$G$44)</f>
        <v>2.9850299999999996</v>
      </c>
    </row>
    <row r="71" spans="1:8" ht="63" customHeight="1" x14ac:dyDescent="0.2">
      <c r="A71" s="204"/>
      <c r="B71" s="219" t="s">
        <v>72</v>
      </c>
      <c r="C71" s="220"/>
      <c r="D71" s="221"/>
      <c r="E71" s="216"/>
      <c r="F71" s="217"/>
      <c r="G71" s="218"/>
    </row>
    <row r="72" spans="1:8" x14ac:dyDescent="0.2">
      <c r="A72" s="204" t="s">
        <v>13</v>
      </c>
      <c r="B72" s="213" t="s">
        <v>73</v>
      </c>
      <c r="C72" s="213"/>
      <c r="D72" s="213"/>
      <c r="E72" s="214">
        <f>((50%)*(1.99%)*(4/12)*(8.93%+8.93%+2.98%))</f>
        <v>6.9119333333333326E-4</v>
      </c>
      <c r="F72" s="215"/>
      <c r="G72" s="218">
        <f>(E72*G27)</f>
        <v>1.4758636530666664</v>
      </c>
    </row>
    <row r="73" spans="1:8" ht="54.75" customHeight="1" x14ac:dyDescent="0.2">
      <c r="A73" s="204"/>
      <c r="B73" s="219" t="s">
        <v>74</v>
      </c>
      <c r="C73" s="220"/>
      <c r="D73" s="221"/>
      <c r="E73" s="216"/>
      <c r="F73" s="217"/>
      <c r="G73" s="218"/>
    </row>
    <row r="74" spans="1:8" ht="19.5" customHeight="1" x14ac:dyDescent="0.2">
      <c r="A74" s="208" t="s">
        <v>75</v>
      </c>
      <c r="B74" s="208"/>
      <c r="C74" s="208"/>
      <c r="D74" s="208"/>
      <c r="E74" s="208"/>
      <c r="F74" s="208"/>
      <c r="G74" s="45">
        <f>SUM(G64:G73)</f>
        <v>412.37949222251109</v>
      </c>
    </row>
    <row r="75" spans="1:8" ht="3.75" customHeight="1" x14ac:dyDescent="0.2">
      <c r="A75" s="55"/>
      <c r="B75" s="56"/>
      <c r="C75" s="56"/>
      <c r="D75" s="56"/>
      <c r="E75" s="56"/>
      <c r="F75" s="56"/>
      <c r="G75" s="56"/>
    </row>
    <row r="76" spans="1:8" ht="3.75" customHeight="1" x14ac:dyDescent="0.2">
      <c r="A76" s="57"/>
      <c r="B76" s="58"/>
      <c r="C76" s="58"/>
      <c r="D76" s="58"/>
      <c r="E76" s="58"/>
      <c r="F76" s="58"/>
      <c r="G76" s="58"/>
    </row>
    <row r="77" spans="1:8" ht="30.75" customHeight="1" x14ac:dyDescent="0.2">
      <c r="A77" s="209" t="s">
        <v>76</v>
      </c>
      <c r="B77" s="209"/>
      <c r="C77" s="209"/>
      <c r="D77" s="209"/>
      <c r="E77" s="209"/>
      <c r="F77" s="209"/>
      <c r="G77" s="59">
        <f>G74</f>
        <v>412.37949222251109</v>
      </c>
    </row>
    <row r="78" spans="1:8" ht="3.75" customHeight="1" x14ac:dyDescent="0.2">
      <c r="A78" s="210"/>
      <c r="B78" s="210"/>
      <c r="C78" s="210"/>
      <c r="D78" s="210"/>
      <c r="E78" s="210"/>
      <c r="F78" s="210"/>
      <c r="G78" s="210"/>
    </row>
    <row r="79" spans="1:8" ht="21.75" customHeight="1" x14ac:dyDescent="0.2">
      <c r="A79" s="198" t="s">
        <v>77</v>
      </c>
      <c r="B79" s="198"/>
      <c r="C79" s="198"/>
      <c r="D79" s="198"/>
      <c r="E79" s="198"/>
      <c r="F79" s="198"/>
      <c r="G79" s="198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7" cm="1">
        <f t="array" ref="G80:H80">'Insumos Diversos'!J92:K92</f>
        <v>47</v>
      </c>
      <c r="H80" s="1">
        <v>0</v>
      </c>
    </row>
    <row r="81" spans="1:7" ht="19.5" customHeight="1" x14ac:dyDescent="0.2">
      <c r="A81" s="60" t="s">
        <v>7</v>
      </c>
      <c r="B81" s="30" t="s">
        <v>274</v>
      </c>
      <c r="C81" s="31"/>
      <c r="D81" s="31"/>
      <c r="E81" s="31"/>
      <c r="F81" s="31"/>
      <c r="G81" s="37">
        <f>'Insumos Diversos'!Q48</f>
        <v>328</v>
      </c>
    </row>
    <row r="82" spans="1:7" ht="19.5" customHeight="1" x14ac:dyDescent="0.2">
      <c r="A82" s="61" t="s">
        <v>9</v>
      </c>
      <c r="B82" s="30" t="s">
        <v>79</v>
      </c>
      <c r="C82" s="31"/>
      <c r="D82" s="31"/>
      <c r="E82" s="31"/>
      <c r="F82" s="31"/>
      <c r="G82" s="37">
        <f>'Insumos Diversos'!Q76</f>
        <v>12.26</v>
      </c>
    </row>
    <row r="83" spans="1:7" ht="21.75" customHeight="1" x14ac:dyDescent="0.2">
      <c r="A83" s="211" t="s">
        <v>80</v>
      </c>
      <c r="B83" s="211"/>
      <c r="C83" s="211"/>
      <c r="D83" s="211"/>
      <c r="E83" s="211"/>
      <c r="F83" s="211"/>
      <c r="G83" s="35">
        <f>SUM(G80:G82)</f>
        <v>387.26</v>
      </c>
    </row>
    <row r="84" spans="1:7" ht="3.75" customHeight="1" x14ac:dyDescent="0.2">
      <c r="A84" s="212"/>
      <c r="B84" s="212"/>
      <c r="C84" s="212"/>
      <c r="D84" s="212"/>
      <c r="E84" s="212"/>
      <c r="F84" s="212"/>
      <c r="G84" s="212"/>
    </row>
    <row r="85" spans="1:7" ht="23.25" customHeight="1" x14ac:dyDescent="0.2">
      <c r="A85" s="198" t="s">
        <v>81</v>
      </c>
      <c r="B85" s="198"/>
      <c r="C85" s="198"/>
      <c r="D85" s="198"/>
      <c r="E85" s="198"/>
      <c r="F85" s="198"/>
      <c r="G85" s="198"/>
    </row>
    <row r="86" spans="1:7" ht="19.5" customHeight="1" x14ac:dyDescent="0.2">
      <c r="A86" s="36" t="s">
        <v>5</v>
      </c>
      <c r="B86" s="199" t="s">
        <v>82</v>
      </c>
      <c r="C86" s="200"/>
      <c r="D86" s="201"/>
      <c r="E86" s="202">
        <v>0.03</v>
      </c>
      <c r="F86" s="203"/>
      <c r="G86" s="37">
        <f>ROUND((G103)*E86,2)</f>
        <v>150.76</v>
      </c>
    </row>
    <row r="87" spans="1:7" ht="19.5" customHeight="1" x14ac:dyDescent="0.2">
      <c r="A87" s="36" t="s">
        <v>7</v>
      </c>
      <c r="B87" s="199" t="s">
        <v>83</v>
      </c>
      <c r="C87" s="200"/>
      <c r="D87" s="201"/>
      <c r="E87" s="202">
        <v>6.7900000000000002E-2</v>
      </c>
      <c r="F87" s="203"/>
      <c r="G87" s="37">
        <f>ROUND((G103+$G$86)*E87,2)</f>
        <v>351.45</v>
      </c>
    </row>
    <row r="88" spans="1:7" ht="19.5" customHeight="1" x14ac:dyDescent="0.2">
      <c r="A88" s="204" t="s">
        <v>9</v>
      </c>
      <c r="B88" s="205" t="s">
        <v>84</v>
      </c>
      <c r="C88" s="62"/>
      <c r="D88" s="63"/>
      <c r="E88" s="206">
        <f>SUM(E89:F93)</f>
        <v>0.14250000000000002</v>
      </c>
      <c r="F88" s="207"/>
      <c r="G88" s="64"/>
    </row>
    <row r="89" spans="1:7" ht="19.5" customHeight="1" x14ac:dyDescent="0.2">
      <c r="A89" s="204"/>
      <c r="B89" s="205"/>
      <c r="C89" s="65" t="s">
        <v>85</v>
      </c>
      <c r="D89" s="66" t="s">
        <v>86</v>
      </c>
      <c r="E89" s="193">
        <v>1.6500000000000001E-2</v>
      </c>
      <c r="F89" s="193"/>
      <c r="G89" s="37">
        <f>ROUND((E89)*($G$105),2)</f>
        <v>106.36</v>
      </c>
    </row>
    <row r="90" spans="1:7" ht="19.5" customHeight="1" x14ac:dyDescent="0.2">
      <c r="A90" s="204"/>
      <c r="B90" s="205"/>
      <c r="C90" s="67"/>
      <c r="D90" s="66" t="s">
        <v>87</v>
      </c>
      <c r="E90" s="193">
        <v>7.5999999999999998E-2</v>
      </c>
      <c r="F90" s="193"/>
      <c r="G90" s="37">
        <f>ROUND((E90)*($G$105),2)</f>
        <v>489.9</v>
      </c>
    </row>
    <row r="91" spans="1:7" ht="19.5" customHeight="1" x14ac:dyDescent="0.2">
      <c r="A91" s="204"/>
      <c r="B91" s="205"/>
      <c r="C91" s="68"/>
      <c r="D91" s="66" t="s">
        <v>88</v>
      </c>
      <c r="E91" s="193"/>
      <c r="F91" s="193"/>
      <c r="G91" s="37">
        <f>ROUND((E91)*($G$105),2)</f>
        <v>0</v>
      </c>
    </row>
    <row r="92" spans="1:7" ht="77.25" customHeight="1" x14ac:dyDescent="0.2">
      <c r="A92" s="204"/>
      <c r="B92" s="205"/>
      <c r="C92" s="69" t="s">
        <v>169</v>
      </c>
      <c r="D92" s="66" t="s">
        <v>89</v>
      </c>
      <c r="E92" s="193">
        <v>0.05</v>
      </c>
      <c r="F92" s="193"/>
      <c r="G92" s="37">
        <f>ROUND((E92)*($G$105),2)</f>
        <v>322.3</v>
      </c>
    </row>
    <row r="93" spans="1:7" ht="41.25" customHeight="1" x14ac:dyDescent="0.2">
      <c r="A93" s="204"/>
      <c r="B93" s="205"/>
      <c r="C93" s="194" t="s">
        <v>90</v>
      </c>
      <c r="D93" s="195"/>
      <c r="E93" s="193"/>
      <c r="F93" s="193"/>
      <c r="G93" s="37">
        <f>ROUND((E93)*($G$105),2)</f>
        <v>0</v>
      </c>
    </row>
    <row r="94" spans="1:7" ht="19.5" customHeight="1" x14ac:dyDescent="0.2">
      <c r="A94" s="204"/>
      <c r="B94" s="196" t="s">
        <v>91</v>
      </c>
      <c r="C94" s="196"/>
      <c r="D94" s="196"/>
      <c r="E94" s="196"/>
      <c r="F94" s="196"/>
      <c r="G94" s="70">
        <f>SUM(G89,G90,G91,G92,G93)</f>
        <v>918.56</v>
      </c>
    </row>
    <row r="95" spans="1:7" ht="21.75" customHeight="1" x14ac:dyDescent="0.2">
      <c r="A95" s="197" t="s">
        <v>92</v>
      </c>
      <c r="B95" s="197"/>
      <c r="C95" s="197"/>
      <c r="D95" s="197"/>
      <c r="E95" s="197"/>
      <c r="F95" s="197"/>
      <c r="G95" s="71">
        <f>SUM(G94,G87,G86)</f>
        <v>1420.77</v>
      </c>
    </row>
    <row r="96" spans="1:7" ht="3.75" customHeight="1" x14ac:dyDescent="0.2">
      <c r="A96" s="189"/>
      <c r="B96" s="189"/>
      <c r="C96" s="189"/>
      <c r="D96" s="189"/>
      <c r="E96" s="189"/>
      <c r="F96" s="189"/>
      <c r="G96" s="189"/>
    </row>
    <row r="97" spans="1:7" ht="23.25" customHeight="1" x14ac:dyDescent="0.2">
      <c r="A97" s="190" t="s">
        <v>93</v>
      </c>
      <c r="B97" s="190"/>
      <c r="C97" s="190"/>
      <c r="D97" s="190"/>
      <c r="E97" s="190"/>
      <c r="F97" s="190"/>
      <c r="G97" s="190"/>
    </row>
    <row r="98" spans="1:7" ht="19.5" customHeight="1" x14ac:dyDescent="0.2">
      <c r="A98" s="36" t="s">
        <v>5</v>
      </c>
      <c r="B98" s="33" t="s">
        <v>94</v>
      </c>
      <c r="C98" s="40"/>
      <c r="D98" s="40"/>
      <c r="E98" s="40"/>
      <c r="F98" s="40"/>
      <c r="G98" s="32">
        <f>G27</f>
        <v>2135.2399999999998</v>
      </c>
    </row>
    <row r="99" spans="1:7" ht="19.5" customHeight="1" x14ac:dyDescent="0.2">
      <c r="A99" s="36" t="s">
        <v>7</v>
      </c>
      <c r="B99" s="33" t="s">
        <v>95</v>
      </c>
      <c r="C99" s="40"/>
      <c r="D99" s="40"/>
      <c r="E99" s="40"/>
      <c r="F99" s="40"/>
      <c r="G99" s="32">
        <f>G51</f>
        <v>1920.3400000000001</v>
      </c>
    </row>
    <row r="100" spans="1:7" ht="19.5" customHeight="1" x14ac:dyDescent="0.2">
      <c r="A100" s="36" t="s">
        <v>9</v>
      </c>
      <c r="B100" s="33" t="s">
        <v>96</v>
      </c>
      <c r="C100" s="40"/>
      <c r="D100" s="40"/>
      <c r="E100" s="40"/>
      <c r="F100" s="40"/>
      <c r="G100" s="32">
        <f>G60</f>
        <v>170.06</v>
      </c>
    </row>
    <row r="101" spans="1:7" ht="19.5" customHeight="1" x14ac:dyDescent="0.2">
      <c r="A101" s="36" t="s">
        <v>11</v>
      </c>
      <c r="B101" s="33" t="s">
        <v>97</v>
      </c>
      <c r="C101" s="40"/>
      <c r="D101" s="40"/>
      <c r="E101" s="40"/>
      <c r="F101" s="40"/>
      <c r="G101" s="32">
        <f>G77</f>
        <v>412.37949222251109</v>
      </c>
    </row>
    <row r="102" spans="1:7" ht="19.5" customHeight="1" x14ac:dyDescent="0.2">
      <c r="A102" s="36" t="s">
        <v>13</v>
      </c>
      <c r="B102" s="33" t="s">
        <v>98</v>
      </c>
      <c r="C102" s="40"/>
      <c r="D102" s="40"/>
      <c r="E102" s="40"/>
      <c r="F102" s="40"/>
      <c r="G102" s="32">
        <f>G83</f>
        <v>387.26</v>
      </c>
    </row>
    <row r="103" spans="1:7" ht="19.5" customHeight="1" x14ac:dyDescent="0.2">
      <c r="A103" s="191" t="s">
        <v>99</v>
      </c>
      <c r="B103" s="192"/>
      <c r="C103" s="192"/>
      <c r="D103" s="192"/>
      <c r="E103" s="192"/>
      <c r="F103" s="192"/>
      <c r="G103" s="72">
        <f>SUM(G98:G102)</f>
        <v>5025.2794922225112</v>
      </c>
    </row>
    <row r="104" spans="1:7" ht="19.5" customHeight="1" x14ac:dyDescent="0.2">
      <c r="A104" s="36" t="s">
        <v>15</v>
      </c>
      <c r="B104" s="33" t="s">
        <v>100</v>
      </c>
      <c r="C104" s="40"/>
      <c r="D104" s="40"/>
      <c r="E104" s="40"/>
      <c r="F104" s="40"/>
      <c r="G104" s="32">
        <f>G95</f>
        <v>1420.77</v>
      </c>
    </row>
    <row r="105" spans="1:7" ht="43.5" customHeight="1" x14ac:dyDescent="0.2">
      <c r="A105" s="185" t="s">
        <v>101</v>
      </c>
      <c r="B105" s="185"/>
      <c r="C105" s="185"/>
      <c r="D105" s="185"/>
      <c r="E105" s="185"/>
      <c r="F105" s="185"/>
      <c r="G105" s="73">
        <f>SUM(G103+G86+G87)/(1-E88)</f>
        <v>6446.0518859737749</v>
      </c>
    </row>
    <row r="106" spans="1:7" ht="3.75" customHeight="1" x14ac:dyDescent="0.2">
      <c r="A106" s="189"/>
      <c r="B106" s="189"/>
      <c r="C106" s="189"/>
      <c r="D106" s="189"/>
      <c r="E106" s="189"/>
      <c r="F106" s="189"/>
      <c r="G106" s="189"/>
    </row>
    <row r="107" spans="1:7" ht="22.5" customHeight="1" x14ac:dyDescent="0.2">
      <c r="A107" s="187" t="s">
        <v>102</v>
      </c>
      <c r="B107" s="187"/>
      <c r="C107" s="187"/>
      <c r="D107" s="187"/>
      <c r="E107" s="187"/>
      <c r="F107" s="187"/>
      <c r="G107" s="187"/>
    </row>
    <row r="108" spans="1:7" ht="21" customHeight="1" x14ac:dyDescent="0.2">
      <c r="A108" s="186" t="s">
        <v>103</v>
      </c>
      <c r="B108" s="186"/>
      <c r="C108" s="186"/>
      <c r="D108" s="186"/>
      <c r="E108" s="186"/>
      <c r="F108" s="186"/>
      <c r="G108" s="32">
        <f>G105</f>
        <v>6446.0518859737749</v>
      </c>
    </row>
    <row r="109" spans="1:7" ht="21" customHeight="1" x14ac:dyDescent="0.2">
      <c r="A109" s="186" t="s">
        <v>104</v>
      </c>
      <c r="B109" s="186"/>
      <c r="C109" s="186"/>
      <c r="D109" s="186"/>
      <c r="E109" s="186"/>
      <c r="F109" s="186"/>
      <c r="G109" s="11">
        <v>1</v>
      </c>
    </row>
    <row r="110" spans="1:7" ht="21" customHeight="1" x14ac:dyDescent="0.2">
      <c r="A110" s="186" t="s">
        <v>105</v>
      </c>
      <c r="B110" s="186"/>
      <c r="C110" s="186"/>
      <c r="D110" s="186"/>
      <c r="E110" s="186"/>
      <c r="F110" s="186"/>
      <c r="G110" s="32">
        <f>G109*G108</f>
        <v>6446.0518859737749</v>
      </c>
    </row>
    <row r="111" spans="1:7" ht="21" customHeight="1" x14ac:dyDescent="0.2">
      <c r="A111" s="186" t="s">
        <v>106</v>
      </c>
      <c r="B111" s="186"/>
      <c r="C111" s="186"/>
      <c r="D111" s="186"/>
      <c r="E111" s="186"/>
      <c r="F111" s="186"/>
      <c r="G111" s="11">
        <v>1</v>
      </c>
    </row>
    <row r="112" spans="1:7" ht="22.5" customHeight="1" x14ac:dyDescent="0.2">
      <c r="A112" s="187" t="s">
        <v>107</v>
      </c>
      <c r="B112" s="187"/>
      <c r="C112" s="187"/>
      <c r="D112" s="187"/>
      <c r="E112" s="187"/>
      <c r="F112" s="187"/>
      <c r="G112" s="74">
        <f>G111*G110</f>
        <v>6446.0518859737749</v>
      </c>
    </row>
    <row r="113" spans="1:7" ht="3.75" customHeight="1" x14ac:dyDescent="0.2">
      <c r="A113" s="188"/>
      <c r="B113" s="188"/>
      <c r="C113" s="188"/>
      <c r="D113" s="188"/>
      <c r="E113" s="188"/>
      <c r="F113" s="188"/>
      <c r="G113" s="188"/>
    </row>
    <row r="114" spans="1:7" ht="22.5" customHeight="1" x14ac:dyDescent="0.2">
      <c r="A114" s="270" t="s">
        <v>131</v>
      </c>
      <c r="B114" s="271"/>
      <c r="C114" s="271"/>
      <c r="D114" s="271"/>
      <c r="E114" s="271"/>
      <c r="F114" s="272"/>
      <c r="G114" s="73">
        <f>G112*G18</f>
        <v>128921.0377194755</v>
      </c>
    </row>
  </sheetData>
  <mergeCells count="121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D26:E26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8F85-8070-4B88-A7D8-ABD11A09B3D2}">
  <dimension ref="A1:H21"/>
  <sheetViews>
    <sheetView showGridLines="0" zoomScaleNormal="100" workbookViewId="0">
      <selection activeCell="I11" sqref="I11"/>
    </sheetView>
  </sheetViews>
  <sheetFormatPr defaultRowHeight="12" x14ac:dyDescent="0.25"/>
  <cols>
    <col min="1" max="5" width="11.42578125" style="146" customWidth="1"/>
    <col min="6" max="6" width="13.7109375" style="146" customWidth="1"/>
    <col min="7" max="9" width="12.42578125" style="146" customWidth="1"/>
    <col min="10" max="10" width="12.7109375" style="146" bestFit="1" customWidth="1"/>
    <col min="11" max="11" width="12.7109375" style="146" customWidth="1"/>
    <col min="12" max="12" width="10.28515625" style="146" bestFit="1" customWidth="1"/>
    <col min="13" max="257" width="9.140625" style="146"/>
    <col min="258" max="258" width="14.28515625" style="146" customWidth="1"/>
    <col min="259" max="259" width="19.28515625" style="146" customWidth="1"/>
    <col min="260" max="260" width="16" style="146" customWidth="1"/>
    <col min="261" max="261" width="17.140625" style="146" customWidth="1"/>
    <col min="262" max="262" width="10.140625" style="146" customWidth="1"/>
    <col min="263" max="263" width="10.5703125" style="146" customWidth="1"/>
    <col min="264" max="264" width="9.85546875" style="146" customWidth="1"/>
    <col min="265" max="266" width="12.7109375" style="146" bestFit="1" customWidth="1"/>
    <col min="267" max="267" width="9.140625" style="146"/>
    <col min="268" max="268" width="10.28515625" style="146" bestFit="1" customWidth="1"/>
    <col min="269" max="513" width="9.140625" style="146"/>
    <col min="514" max="514" width="14.28515625" style="146" customWidth="1"/>
    <col min="515" max="515" width="19.28515625" style="146" customWidth="1"/>
    <col min="516" max="516" width="16" style="146" customWidth="1"/>
    <col min="517" max="517" width="17.140625" style="146" customWidth="1"/>
    <col min="518" max="518" width="10.140625" style="146" customWidth="1"/>
    <col min="519" max="519" width="10.5703125" style="146" customWidth="1"/>
    <col min="520" max="520" width="9.85546875" style="146" customWidth="1"/>
    <col min="521" max="522" width="12.7109375" style="146" bestFit="1" customWidth="1"/>
    <col min="523" max="523" width="9.140625" style="146"/>
    <col min="524" max="524" width="10.28515625" style="146" bestFit="1" customWidth="1"/>
    <col min="525" max="769" width="9.140625" style="146"/>
    <col min="770" max="770" width="14.28515625" style="146" customWidth="1"/>
    <col min="771" max="771" width="19.28515625" style="146" customWidth="1"/>
    <col min="772" max="772" width="16" style="146" customWidth="1"/>
    <col min="773" max="773" width="17.140625" style="146" customWidth="1"/>
    <col min="774" max="774" width="10.140625" style="146" customWidth="1"/>
    <col min="775" max="775" width="10.5703125" style="146" customWidth="1"/>
    <col min="776" max="776" width="9.85546875" style="146" customWidth="1"/>
    <col min="777" max="778" width="12.7109375" style="146" bestFit="1" customWidth="1"/>
    <col min="779" max="779" width="9.140625" style="146"/>
    <col min="780" max="780" width="10.28515625" style="146" bestFit="1" customWidth="1"/>
    <col min="781" max="1025" width="9.140625" style="146"/>
    <col min="1026" max="1026" width="14.28515625" style="146" customWidth="1"/>
    <col min="1027" max="1027" width="19.28515625" style="146" customWidth="1"/>
    <col min="1028" max="1028" width="16" style="146" customWidth="1"/>
    <col min="1029" max="1029" width="17.140625" style="146" customWidth="1"/>
    <col min="1030" max="1030" width="10.140625" style="146" customWidth="1"/>
    <col min="1031" max="1031" width="10.5703125" style="146" customWidth="1"/>
    <col min="1032" max="1032" width="9.85546875" style="146" customWidth="1"/>
    <col min="1033" max="1034" width="12.7109375" style="146" bestFit="1" customWidth="1"/>
    <col min="1035" max="1035" width="9.140625" style="146"/>
    <col min="1036" max="1036" width="10.28515625" style="146" bestFit="1" customWidth="1"/>
    <col min="1037" max="1281" width="9.140625" style="146"/>
    <col min="1282" max="1282" width="14.28515625" style="146" customWidth="1"/>
    <col min="1283" max="1283" width="19.28515625" style="146" customWidth="1"/>
    <col min="1284" max="1284" width="16" style="146" customWidth="1"/>
    <col min="1285" max="1285" width="17.140625" style="146" customWidth="1"/>
    <col min="1286" max="1286" width="10.140625" style="146" customWidth="1"/>
    <col min="1287" max="1287" width="10.5703125" style="146" customWidth="1"/>
    <col min="1288" max="1288" width="9.85546875" style="146" customWidth="1"/>
    <col min="1289" max="1290" width="12.7109375" style="146" bestFit="1" customWidth="1"/>
    <col min="1291" max="1291" width="9.140625" style="146"/>
    <col min="1292" max="1292" width="10.28515625" style="146" bestFit="1" customWidth="1"/>
    <col min="1293" max="1537" width="9.140625" style="146"/>
    <col min="1538" max="1538" width="14.28515625" style="146" customWidth="1"/>
    <col min="1539" max="1539" width="19.28515625" style="146" customWidth="1"/>
    <col min="1540" max="1540" width="16" style="146" customWidth="1"/>
    <col min="1541" max="1541" width="17.140625" style="146" customWidth="1"/>
    <col min="1542" max="1542" width="10.140625" style="146" customWidth="1"/>
    <col min="1543" max="1543" width="10.5703125" style="146" customWidth="1"/>
    <col min="1544" max="1544" width="9.85546875" style="146" customWidth="1"/>
    <col min="1545" max="1546" width="12.7109375" style="146" bestFit="1" customWidth="1"/>
    <col min="1547" max="1547" width="9.140625" style="146"/>
    <col min="1548" max="1548" width="10.28515625" style="146" bestFit="1" customWidth="1"/>
    <col min="1549" max="1793" width="9.140625" style="146"/>
    <col min="1794" max="1794" width="14.28515625" style="146" customWidth="1"/>
    <col min="1795" max="1795" width="19.28515625" style="146" customWidth="1"/>
    <col min="1796" max="1796" width="16" style="146" customWidth="1"/>
    <col min="1797" max="1797" width="17.140625" style="146" customWidth="1"/>
    <col min="1798" max="1798" width="10.140625" style="146" customWidth="1"/>
    <col min="1799" max="1799" width="10.5703125" style="146" customWidth="1"/>
    <col min="1800" max="1800" width="9.85546875" style="146" customWidth="1"/>
    <col min="1801" max="1802" width="12.7109375" style="146" bestFit="1" customWidth="1"/>
    <col min="1803" max="1803" width="9.140625" style="146"/>
    <col min="1804" max="1804" width="10.28515625" style="146" bestFit="1" customWidth="1"/>
    <col min="1805" max="2049" width="9.140625" style="146"/>
    <col min="2050" max="2050" width="14.28515625" style="146" customWidth="1"/>
    <col min="2051" max="2051" width="19.28515625" style="146" customWidth="1"/>
    <col min="2052" max="2052" width="16" style="146" customWidth="1"/>
    <col min="2053" max="2053" width="17.140625" style="146" customWidth="1"/>
    <col min="2054" max="2054" width="10.140625" style="146" customWidth="1"/>
    <col min="2055" max="2055" width="10.5703125" style="146" customWidth="1"/>
    <col min="2056" max="2056" width="9.85546875" style="146" customWidth="1"/>
    <col min="2057" max="2058" width="12.7109375" style="146" bestFit="1" customWidth="1"/>
    <col min="2059" max="2059" width="9.140625" style="146"/>
    <col min="2060" max="2060" width="10.28515625" style="146" bestFit="1" customWidth="1"/>
    <col min="2061" max="2305" width="9.140625" style="146"/>
    <col min="2306" max="2306" width="14.28515625" style="146" customWidth="1"/>
    <col min="2307" max="2307" width="19.28515625" style="146" customWidth="1"/>
    <col min="2308" max="2308" width="16" style="146" customWidth="1"/>
    <col min="2309" max="2309" width="17.140625" style="146" customWidth="1"/>
    <col min="2310" max="2310" width="10.140625" style="146" customWidth="1"/>
    <col min="2311" max="2311" width="10.5703125" style="146" customWidth="1"/>
    <col min="2312" max="2312" width="9.85546875" style="146" customWidth="1"/>
    <col min="2313" max="2314" width="12.7109375" style="146" bestFit="1" customWidth="1"/>
    <col min="2315" max="2315" width="9.140625" style="146"/>
    <col min="2316" max="2316" width="10.28515625" style="146" bestFit="1" customWidth="1"/>
    <col min="2317" max="2561" width="9.140625" style="146"/>
    <col min="2562" max="2562" width="14.28515625" style="146" customWidth="1"/>
    <col min="2563" max="2563" width="19.28515625" style="146" customWidth="1"/>
    <col min="2564" max="2564" width="16" style="146" customWidth="1"/>
    <col min="2565" max="2565" width="17.140625" style="146" customWidth="1"/>
    <col min="2566" max="2566" width="10.140625" style="146" customWidth="1"/>
    <col min="2567" max="2567" width="10.5703125" style="146" customWidth="1"/>
    <col min="2568" max="2568" width="9.85546875" style="146" customWidth="1"/>
    <col min="2569" max="2570" width="12.7109375" style="146" bestFit="1" customWidth="1"/>
    <col min="2571" max="2571" width="9.140625" style="146"/>
    <col min="2572" max="2572" width="10.28515625" style="146" bestFit="1" customWidth="1"/>
    <col min="2573" max="2817" width="9.140625" style="146"/>
    <col min="2818" max="2818" width="14.28515625" style="146" customWidth="1"/>
    <col min="2819" max="2819" width="19.28515625" style="146" customWidth="1"/>
    <col min="2820" max="2820" width="16" style="146" customWidth="1"/>
    <col min="2821" max="2821" width="17.140625" style="146" customWidth="1"/>
    <col min="2822" max="2822" width="10.140625" style="146" customWidth="1"/>
    <col min="2823" max="2823" width="10.5703125" style="146" customWidth="1"/>
    <col min="2824" max="2824" width="9.85546875" style="146" customWidth="1"/>
    <col min="2825" max="2826" width="12.7109375" style="146" bestFit="1" customWidth="1"/>
    <col min="2827" max="2827" width="9.140625" style="146"/>
    <col min="2828" max="2828" width="10.28515625" style="146" bestFit="1" customWidth="1"/>
    <col min="2829" max="3073" width="9.140625" style="146"/>
    <col min="3074" max="3074" width="14.28515625" style="146" customWidth="1"/>
    <col min="3075" max="3075" width="19.28515625" style="146" customWidth="1"/>
    <col min="3076" max="3076" width="16" style="146" customWidth="1"/>
    <col min="3077" max="3077" width="17.140625" style="146" customWidth="1"/>
    <col min="3078" max="3078" width="10.140625" style="146" customWidth="1"/>
    <col min="3079" max="3079" width="10.5703125" style="146" customWidth="1"/>
    <col min="3080" max="3080" width="9.85546875" style="146" customWidth="1"/>
    <col min="3081" max="3082" width="12.7109375" style="146" bestFit="1" customWidth="1"/>
    <col min="3083" max="3083" width="9.140625" style="146"/>
    <col min="3084" max="3084" width="10.28515625" style="146" bestFit="1" customWidth="1"/>
    <col min="3085" max="3329" width="9.140625" style="146"/>
    <col min="3330" max="3330" width="14.28515625" style="146" customWidth="1"/>
    <col min="3331" max="3331" width="19.28515625" style="146" customWidth="1"/>
    <col min="3332" max="3332" width="16" style="146" customWidth="1"/>
    <col min="3333" max="3333" width="17.140625" style="146" customWidth="1"/>
    <col min="3334" max="3334" width="10.140625" style="146" customWidth="1"/>
    <col min="3335" max="3335" width="10.5703125" style="146" customWidth="1"/>
    <col min="3336" max="3336" width="9.85546875" style="146" customWidth="1"/>
    <col min="3337" max="3338" width="12.7109375" style="146" bestFit="1" customWidth="1"/>
    <col min="3339" max="3339" width="9.140625" style="146"/>
    <col min="3340" max="3340" width="10.28515625" style="146" bestFit="1" customWidth="1"/>
    <col min="3341" max="3585" width="9.140625" style="146"/>
    <col min="3586" max="3586" width="14.28515625" style="146" customWidth="1"/>
    <col min="3587" max="3587" width="19.28515625" style="146" customWidth="1"/>
    <col min="3588" max="3588" width="16" style="146" customWidth="1"/>
    <col min="3589" max="3589" width="17.140625" style="146" customWidth="1"/>
    <col min="3590" max="3590" width="10.140625" style="146" customWidth="1"/>
    <col min="3591" max="3591" width="10.5703125" style="146" customWidth="1"/>
    <col min="3592" max="3592" width="9.85546875" style="146" customWidth="1"/>
    <col min="3593" max="3594" width="12.7109375" style="146" bestFit="1" customWidth="1"/>
    <col min="3595" max="3595" width="9.140625" style="146"/>
    <col min="3596" max="3596" width="10.28515625" style="146" bestFit="1" customWidth="1"/>
    <col min="3597" max="3841" width="9.140625" style="146"/>
    <col min="3842" max="3842" width="14.28515625" style="146" customWidth="1"/>
    <col min="3843" max="3843" width="19.28515625" style="146" customWidth="1"/>
    <col min="3844" max="3844" width="16" style="146" customWidth="1"/>
    <col min="3845" max="3845" width="17.140625" style="146" customWidth="1"/>
    <col min="3846" max="3846" width="10.140625" style="146" customWidth="1"/>
    <col min="3847" max="3847" width="10.5703125" style="146" customWidth="1"/>
    <col min="3848" max="3848" width="9.85546875" style="146" customWidth="1"/>
    <col min="3849" max="3850" width="12.7109375" style="146" bestFit="1" customWidth="1"/>
    <col min="3851" max="3851" width="9.140625" style="146"/>
    <col min="3852" max="3852" width="10.28515625" style="146" bestFit="1" customWidth="1"/>
    <col min="3853" max="4097" width="9.140625" style="146"/>
    <col min="4098" max="4098" width="14.28515625" style="146" customWidth="1"/>
    <col min="4099" max="4099" width="19.28515625" style="146" customWidth="1"/>
    <col min="4100" max="4100" width="16" style="146" customWidth="1"/>
    <col min="4101" max="4101" width="17.140625" style="146" customWidth="1"/>
    <col min="4102" max="4102" width="10.140625" style="146" customWidth="1"/>
    <col min="4103" max="4103" width="10.5703125" style="146" customWidth="1"/>
    <col min="4104" max="4104" width="9.85546875" style="146" customWidth="1"/>
    <col min="4105" max="4106" width="12.7109375" style="146" bestFit="1" customWidth="1"/>
    <col min="4107" max="4107" width="9.140625" style="146"/>
    <col min="4108" max="4108" width="10.28515625" style="146" bestFit="1" customWidth="1"/>
    <col min="4109" max="4353" width="9.140625" style="146"/>
    <col min="4354" max="4354" width="14.28515625" style="146" customWidth="1"/>
    <col min="4355" max="4355" width="19.28515625" style="146" customWidth="1"/>
    <col min="4356" max="4356" width="16" style="146" customWidth="1"/>
    <col min="4357" max="4357" width="17.140625" style="146" customWidth="1"/>
    <col min="4358" max="4358" width="10.140625" style="146" customWidth="1"/>
    <col min="4359" max="4359" width="10.5703125" style="146" customWidth="1"/>
    <col min="4360" max="4360" width="9.85546875" style="146" customWidth="1"/>
    <col min="4361" max="4362" width="12.7109375" style="146" bestFit="1" customWidth="1"/>
    <col min="4363" max="4363" width="9.140625" style="146"/>
    <col min="4364" max="4364" width="10.28515625" style="146" bestFit="1" customWidth="1"/>
    <col min="4365" max="4609" width="9.140625" style="146"/>
    <col min="4610" max="4610" width="14.28515625" style="146" customWidth="1"/>
    <col min="4611" max="4611" width="19.28515625" style="146" customWidth="1"/>
    <col min="4612" max="4612" width="16" style="146" customWidth="1"/>
    <col min="4613" max="4613" width="17.140625" style="146" customWidth="1"/>
    <col min="4614" max="4614" width="10.140625" style="146" customWidth="1"/>
    <col min="4615" max="4615" width="10.5703125" style="146" customWidth="1"/>
    <col min="4616" max="4616" width="9.85546875" style="146" customWidth="1"/>
    <col min="4617" max="4618" width="12.7109375" style="146" bestFit="1" customWidth="1"/>
    <col min="4619" max="4619" width="9.140625" style="146"/>
    <col min="4620" max="4620" width="10.28515625" style="146" bestFit="1" customWidth="1"/>
    <col min="4621" max="4865" width="9.140625" style="146"/>
    <col min="4866" max="4866" width="14.28515625" style="146" customWidth="1"/>
    <col min="4867" max="4867" width="19.28515625" style="146" customWidth="1"/>
    <col min="4868" max="4868" width="16" style="146" customWidth="1"/>
    <col min="4869" max="4869" width="17.140625" style="146" customWidth="1"/>
    <col min="4870" max="4870" width="10.140625" style="146" customWidth="1"/>
    <col min="4871" max="4871" width="10.5703125" style="146" customWidth="1"/>
    <col min="4872" max="4872" width="9.85546875" style="146" customWidth="1"/>
    <col min="4873" max="4874" width="12.7109375" style="146" bestFit="1" customWidth="1"/>
    <col min="4875" max="4875" width="9.140625" style="146"/>
    <col min="4876" max="4876" width="10.28515625" style="146" bestFit="1" customWidth="1"/>
    <col min="4877" max="5121" width="9.140625" style="146"/>
    <col min="5122" max="5122" width="14.28515625" style="146" customWidth="1"/>
    <col min="5123" max="5123" width="19.28515625" style="146" customWidth="1"/>
    <col min="5124" max="5124" width="16" style="146" customWidth="1"/>
    <col min="5125" max="5125" width="17.140625" style="146" customWidth="1"/>
    <col min="5126" max="5126" width="10.140625" style="146" customWidth="1"/>
    <col min="5127" max="5127" width="10.5703125" style="146" customWidth="1"/>
    <col min="5128" max="5128" width="9.85546875" style="146" customWidth="1"/>
    <col min="5129" max="5130" width="12.7109375" style="146" bestFit="1" customWidth="1"/>
    <col min="5131" max="5131" width="9.140625" style="146"/>
    <col min="5132" max="5132" width="10.28515625" style="146" bestFit="1" customWidth="1"/>
    <col min="5133" max="5377" width="9.140625" style="146"/>
    <col min="5378" max="5378" width="14.28515625" style="146" customWidth="1"/>
    <col min="5379" max="5379" width="19.28515625" style="146" customWidth="1"/>
    <col min="5380" max="5380" width="16" style="146" customWidth="1"/>
    <col min="5381" max="5381" width="17.140625" style="146" customWidth="1"/>
    <col min="5382" max="5382" width="10.140625" style="146" customWidth="1"/>
    <col min="5383" max="5383" width="10.5703125" style="146" customWidth="1"/>
    <col min="5384" max="5384" width="9.85546875" style="146" customWidth="1"/>
    <col min="5385" max="5386" width="12.7109375" style="146" bestFit="1" customWidth="1"/>
    <col min="5387" max="5387" width="9.140625" style="146"/>
    <col min="5388" max="5388" width="10.28515625" style="146" bestFit="1" customWidth="1"/>
    <col min="5389" max="5633" width="9.140625" style="146"/>
    <col min="5634" max="5634" width="14.28515625" style="146" customWidth="1"/>
    <col min="5635" max="5635" width="19.28515625" style="146" customWidth="1"/>
    <col min="5636" max="5636" width="16" style="146" customWidth="1"/>
    <col min="5637" max="5637" width="17.140625" style="146" customWidth="1"/>
    <col min="5638" max="5638" width="10.140625" style="146" customWidth="1"/>
    <col min="5639" max="5639" width="10.5703125" style="146" customWidth="1"/>
    <col min="5640" max="5640" width="9.85546875" style="146" customWidth="1"/>
    <col min="5641" max="5642" width="12.7109375" style="146" bestFit="1" customWidth="1"/>
    <col min="5643" max="5643" width="9.140625" style="146"/>
    <col min="5644" max="5644" width="10.28515625" style="146" bestFit="1" customWidth="1"/>
    <col min="5645" max="5889" width="9.140625" style="146"/>
    <col min="5890" max="5890" width="14.28515625" style="146" customWidth="1"/>
    <col min="5891" max="5891" width="19.28515625" style="146" customWidth="1"/>
    <col min="5892" max="5892" width="16" style="146" customWidth="1"/>
    <col min="5893" max="5893" width="17.140625" style="146" customWidth="1"/>
    <col min="5894" max="5894" width="10.140625" style="146" customWidth="1"/>
    <col min="5895" max="5895" width="10.5703125" style="146" customWidth="1"/>
    <col min="5896" max="5896" width="9.85546875" style="146" customWidth="1"/>
    <col min="5897" max="5898" width="12.7109375" style="146" bestFit="1" customWidth="1"/>
    <col min="5899" max="5899" width="9.140625" style="146"/>
    <col min="5900" max="5900" width="10.28515625" style="146" bestFit="1" customWidth="1"/>
    <col min="5901" max="6145" width="9.140625" style="146"/>
    <col min="6146" max="6146" width="14.28515625" style="146" customWidth="1"/>
    <col min="6147" max="6147" width="19.28515625" style="146" customWidth="1"/>
    <col min="6148" max="6148" width="16" style="146" customWidth="1"/>
    <col min="6149" max="6149" width="17.140625" style="146" customWidth="1"/>
    <col min="6150" max="6150" width="10.140625" style="146" customWidth="1"/>
    <col min="6151" max="6151" width="10.5703125" style="146" customWidth="1"/>
    <col min="6152" max="6152" width="9.85546875" style="146" customWidth="1"/>
    <col min="6153" max="6154" width="12.7109375" style="146" bestFit="1" customWidth="1"/>
    <col min="6155" max="6155" width="9.140625" style="146"/>
    <col min="6156" max="6156" width="10.28515625" style="146" bestFit="1" customWidth="1"/>
    <col min="6157" max="6401" width="9.140625" style="146"/>
    <col min="6402" max="6402" width="14.28515625" style="146" customWidth="1"/>
    <col min="6403" max="6403" width="19.28515625" style="146" customWidth="1"/>
    <col min="6404" max="6404" width="16" style="146" customWidth="1"/>
    <col min="6405" max="6405" width="17.140625" style="146" customWidth="1"/>
    <col min="6406" max="6406" width="10.140625" style="146" customWidth="1"/>
    <col min="6407" max="6407" width="10.5703125" style="146" customWidth="1"/>
    <col min="6408" max="6408" width="9.85546875" style="146" customWidth="1"/>
    <col min="6409" max="6410" width="12.7109375" style="146" bestFit="1" customWidth="1"/>
    <col min="6411" max="6411" width="9.140625" style="146"/>
    <col min="6412" max="6412" width="10.28515625" style="146" bestFit="1" customWidth="1"/>
    <col min="6413" max="6657" width="9.140625" style="146"/>
    <col min="6658" max="6658" width="14.28515625" style="146" customWidth="1"/>
    <col min="6659" max="6659" width="19.28515625" style="146" customWidth="1"/>
    <col min="6660" max="6660" width="16" style="146" customWidth="1"/>
    <col min="6661" max="6661" width="17.140625" style="146" customWidth="1"/>
    <col min="6662" max="6662" width="10.140625" style="146" customWidth="1"/>
    <col min="6663" max="6663" width="10.5703125" style="146" customWidth="1"/>
    <col min="6664" max="6664" width="9.85546875" style="146" customWidth="1"/>
    <col min="6665" max="6666" width="12.7109375" style="146" bestFit="1" customWidth="1"/>
    <col min="6667" max="6667" width="9.140625" style="146"/>
    <col min="6668" max="6668" width="10.28515625" style="146" bestFit="1" customWidth="1"/>
    <col min="6669" max="6913" width="9.140625" style="146"/>
    <col min="6914" max="6914" width="14.28515625" style="146" customWidth="1"/>
    <col min="6915" max="6915" width="19.28515625" style="146" customWidth="1"/>
    <col min="6916" max="6916" width="16" style="146" customWidth="1"/>
    <col min="6917" max="6917" width="17.140625" style="146" customWidth="1"/>
    <col min="6918" max="6918" width="10.140625" style="146" customWidth="1"/>
    <col min="6919" max="6919" width="10.5703125" style="146" customWidth="1"/>
    <col min="6920" max="6920" width="9.85546875" style="146" customWidth="1"/>
    <col min="6921" max="6922" width="12.7109375" style="146" bestFit="1" customWidth="1"/>
    <col min="6923" max="6923" width="9.140625" style="146"/>
    <col min="6924" max="6924" width="10.28515625" style="146" bestFit="1" customWidth="1"/>
    <col min="6925" max="7169" width="9.140625" style="146"/>
    <col min="7170" max="7170" width="14.28515625" style="146" customWidth="1"/>
    <col min="7171" max="7171" width="19.28515625" style="146" customWidth="1"/>
    <col min="7172" max="7172" width="16" style="146" customWidth="1"/>
    <col min="7173" max="7173" width="17.140625" style="146" customWidth="1"/>
    <col min="7174" max="7174" width="10.140625" style="146" customWidth="1"/>
    <col min="7175" max="7175" width="10.5703125" style="146" customWidth="1"/>
    <col min="7176" max="7176" width="9.85546875" style="146" customWidth="1"/>
    <col min="7177" max="7178" width="12.7109375" style="146" bestFit="1" customWidth="1"/>
    <col min="7179" max="7179" width="9.140625" style="146"/>
    <col min="7180" max="7180" width="10.28515625" style="146" bestFit="1" customWidth="1"/>
    <col min="7181" max="7425" width="9.140625" style="146"/>
    <col min="7426" max="7426" width="14.28515625" style="146" customWidth="1"/>
    <col min="7427" max="7427" width="19.28515625" style="146" customWidth="1"/>
    <col min="7428" max="7428" width="16" style="146" customWidth="1"/>
    <col min="7429" max="7429" width="17.140625" style="146" customWidth="1"/>
    <col min="7430" max="7430" width="10.140625" style="146" customWidth="1"/>
    <col min="7431" max="7431" width="10.5703125" style="146" customWidth="1"/>
    <col min="7432" max="7432" width="9.85546875" style="146" customWidth="1"/>
    <col min="7433" max="7434" width="12.7109375" style="146" bestFit="1" customWidth="1"/>
    <col min="7435" max="7435" width="9.140625" style="146"/>
    <col min="7436" max="7436" width="10.28515625" style="146" bestFit="1" customWidth="1"/>
    <col min="7437" max="7681" width="9.140625" style="146"/>
    <col min="7682" max="7682" width="14.28515625" style="146" customWidth="1"/>
    <col min="7683" max="7683" width="19.28515625" style="146" customWidth="1"/>
    <col min="7684" max="7684" width="16" style="146" customWidth="1"/>
    <col min="7685" max="7685" width="17.140625" style="146" customWidth="1"/>
    <col min="7686" max="7686" width="10.140625" style="146" customWidth="1"/>
    <col min="7687" max="7687" width="10.5703125" style="146" customWidth="1"/>
    <col min="7688" max="7688" width="9.85546875" style="146" customWidth="1"/>
    <col min="7689" max="7690" width="12.7109375" style="146" bestFit="1" customWidth="1"/>
    <col min="7691" max="7691" width="9.140625" style="146"/>
    <col min="7692" max="7692" width="10.28515625" style="146" bestFit="1" customWidth="1"/>
    <col min="7693" max="7937" width="9.140625" style="146"/>
    <col min="7938" max="7938" width="14.28515625" style="146" customWidth="1"/>
    <col min="7939" max="7939" width="19.28515625" style="146" customWidth="1"/>
    <col min="7940" max="7940" width="16" style="146" customWidth="1"/>
    <col min="7941" max="7941" width="17.140625" style="146" customWidth="1"/>
    <col min="7942" max="7942" width="10.140625" style="146" customWidth="1"/>
    <col min="7943" max="7943" width="10.5703125" style="146" customWidth="1"/>
    <col min="7944" max="7944" width="9.85546875" style="146" customWidth="1"/>
    <col min="7945" max="7946" width="12.7109375" style="146" bestFit="1" customWidth="1"/>
    <col min="7947" max="7947" width="9.140625" style="146"/>
    <col min="7948" max="7948" width="10.28515625" style="146" bestFit="1" customWidth="1"/>
    <col min="7949" max="8193" width="9.140625" style="146"/>
    <col min="8194" max="8194" width="14.28515625" style="146" customWidth="1"/>
    <col min="8195" max="8195" width="19.28515625" style="146" customWidth="1"/>
    <col min="8196" max="8196" width="16" style="146" customWidth="1"/>
    <col min="8197" max="8197" width="17.140625" style="146" customWidth="1"/>
    <col min="8198" max="8198" width="10.140625" style="146" customWidth="1"/>
    <col min="8199" max="8199" width="10.5703125" style="146" customWidth="1"/>
    <col min="8200" max="8200" width="9.85546875" style="146" customWidth="1"/>
    <col min="8201" max="8202" width="12.7109375" style="146" bestFit="1" customWidth="1"/>
    <col min="8203" max="8203" width="9.140625" style="146"/>
    <col min="8204" max="8204" width="10.28515625" style="146" bestFit="1" customWidth="1"/>
    <col min="8205" max="8449" width="9.140625" style="146"/>
    <col min="8450" max="8450" width="14.28515625" style="146" customWidth="1"/>
    <col min="8451" max="8451" width="19.28515625" style="146" customWidth="1"/>
    <col min="8452" max="8452" width="16" style="146" customWidth="1"/>
    <col min="8453" max="8453" width="17.140625" style="146" customWidth="1"/>
    <col min="8454" max="8454" width="10.140625" style="146" customWidth="1"/>
    <col min="8455" max="8455" width="10.5703125" style="146" customWidth="1"/>
    <col min="8456" max="8456" width="9.85546875" style="146" customWidth="1"/>
    <col min="8457" max="8458" width="12.7109375" style="146" bestFit="1" customWidth="1"/>
    <col min="8459" max="8459" width="9.140625" style="146"/>
    <col min="8460" max="8460" width="10.28515625" style="146" bestFit="1" customWidth="1"/>
    <col min="8461" max="8705" width="9.140625" style="146"/>
    <col min="8706" max="8706" width="14.28515625" style="146" customWidth="1"/>
    <col min="8707" max="8707" width="19.28515625" style="146" customWidth="1"/>
    <col min="8708" max="8708" width="16" style="146" customWidth="1"/>
    <col min="8709" max="8709" width="17.140625" style="146" customWidth="1"/>
    <col min="8710" max="8710" width="10.140625" style="146" customWidth="1"/>
    <col min="8711" max="8711" width="10.5703125" style="146" customWidth="1"/>
    <col min="8712" max="8712" width="9.85546875" style="146" customWidth="1"/>
    <col min="8713" max="8714" width="12.7109375" style="146" bestFit="1" customWidth="1"/>
    <col min="8715" max="8715" width="9.140625" style="146"/>
    <col min="8716" max="8716" width="10.28515625" style="146" bestFit="1" customWidth="1"/>
    <col min="8717" max="8961" width="9.140625" style="146"/>
    <col min="8962" max="8962" width="14.28515625" style="146" customWidth="1"/>
    <col min="8963" max="8963" width="19.28515625" style="146" customWidth="1"/>
    <col min="8964" max="8964" width="16" style="146" customWidth="1"/>
    <col min="8965" max="8965" width="17.140625" style="146" customWidth="1"/>
    <col min="8966" max="8966" width="10.140625" style="146" customWidth="1"/>
    <col min="8967" max="8967" width="10.5703125" style="146" customWidth="1"/>
    <col min="8968" max="8968" width="9.85546875" style="146" customWidth="1"/>
    <col min="8969" max="8970" width="12.7109375" style="146" bestFit="1" customWidth="1"/>
    <col min="8971" max="8971" width="9.140625" style="146"/>
    <col min="8972" max="8972" width="10.28515625" style="146" bestFit="1" customWidth="1"/>
    <col min="8973" max="9217" width="9.140625" style="146"/>
    <col min="9218" max="9218" width="14.28515625" style="146" customWidth="1"/>
    <col min="9219" max="9219" width="19.28515625" style="146" customWidth="1"/>
    <col min="9220" max="9220" width="16" style="146" customWidth="1"/>
    <col min="9221" max="9221" width="17.140625" style="146" customWidth="1"/>
    <col min="9222" max="9222" width="10.140625" style="146" customWidth="1"/>
    <col min="9223" max="9223" width="10.5703125" style="146" customWidth="1"/>
    <col min="9224" max="9224" width="9.85546875" style="146" customWidth="1"/>
    <col min="9225" max="9226" width="12.7109375" style="146" bestFit="1" customWidth="1"/>
    <col min="9227" max="9227" width="9.140625" style="146"/>
    <col min="9228" max="9228" width="10.28515625" style="146" bestFit="1" customWidth="1"/>
    <col min="9229" max="9473" width="9.140625" style="146"/>
    <col min="9474" max="9474" width="14.28515625" style="146" customWidth="1"/>
    <col min="9475" max="9475" width="19.28515625" style="146" customWidth="1"/>
    <col min="9476" max="9476" width="16" style="146" customWidth="1"/>
    <col min="9477" max="9477" width="17.140625" style="146" customWidth="1"/>
    <col min="9478" max="9478" width="10.140625" style="146" customWidth="1"/>
    <col min="9479" max="9479" width="10.5703125" style="146" customWidth="1"/>
    <col min="9480" max="9480" width="9.85546875" style="146" customWidth="1"/>
    <col min="9481" max="9482" width="12.7109375" style="146" bestFit="1" customWidth="1"/>
    <col min="9483" max="9483" width="9.140625" style="146"/>
    <col min="9484" max="9484" width="10.28515625" style="146" bestFit="1" customWidth="1"/>
    <col min="9485" max="9729" width="9.140625" style="146"/>
    <col min="9730" max="9730" width="14.28515625" style="146" customWidth="1"/>
    <col min="9731" max="9731" width="19.28515625" style="146" customWidth="1"/>
    <col min="9732" max="9732" width="16" style="146" customWidth="1"/>
    <col min="9733" max="9733" width="17.140625" style="146" customWidth="1"/>
    <col min="9734" max="9734" width="10.140625" style="146" customWidth="1"/>
    <col min="9735" max="9735" width="10.5703125" style="146" customWidth="1"/>
    <col min="9736" max="9736" width="9.85546875" style="146" customWidth="1"/>
    <col min="9737" max="9738" width="12.7109375" style="146" bestFit="1" customWidth="1"/>
    <col min="9739" max="9739" width="9.140625" style="146"/>
    <col min="9740" max="9740" width="10.28515625" style="146" bestFit="1" customWidth="1"/>
    <col min="9741" max="9985" width="9.140625" style="146"/>
    <col min="9986" max="9986" width="14.28515625" style="146" customWidth="1"/>
    <col min="9987" max="9987" width="19.28515625" style="146" customWidth="1"/>
    <col min="9988" max="9988" width="16" style="146" customWidth="1"/>
    <col min="9989" max="9989" width="17.140625" style="146" customWidth="1"/>
    <col min="9990" max="9990" width="10.140625" style="146" customWidth="1"/>
    <col min="9991" max="9991" width="10.5703125" style="146" customWidth="1"/>
    <col min="9992" max="9992" width="9.85546875" style="146" customWidth="1"/>
    <col min="9993" max="9994" width="12.7109375" style="146" bestFit="1" customWidth="1"/>
    <col min="9995" max="9995" width="9.140625" style="146"/>
    <col min="9996" max="9996" width="10.28515625" style="146" bestFit="1" customWidth="1"/>
    <col min="9997" max="10241" width="9.140625" style="146"/>
    <col min="10242" max="10242" width="14.28515625" style="146" customWidth="1"/>
    <col min="10243" max="10243" width="19.28515625" style="146" customWidth="1"/>
    <col min="10244" max="10244" width="16" style="146" customWidth="1"/>
    <col min="10245" max="10245" width="17.140625" style="146" customWidth="1"/>
    <col min="10246" max="10246" width="10.140625" style="146" customWidth="1"/>
    <col min="10247" max="10247" width="10.5703125" style="146" customWidth="1"/>
    <col min="10248" max="10248" width="9.85546875" style="146" customWidth="1"/>
    <col min="10249" max="10250" width="12.7109375" style="146" bestFit="1" customWidth="1"/>
    <col min="10251" max="10251" width="9.140625" style="146"/>
    <col min="10252" max="10252" width="10.28515625" style="146" bestFit="1" customWidth="1"/>
    <col min="10253" max="10497" width="9.140625" style="146"/>
    <col min="10498" max="10498" width="14.28515625" style="146" customWidth="1"/>
    <col min="10499" max="10499" width="19.28515625" style="146" customWidth="1"/>
    <col min="10500" max="10500" width="16" style="146" customWidth="1"/>
    <col min="10501" max="10501" width="17.140625" style="146" customWidth="1"/>
    <col min="10502" max="10502" width="10.140625" style="146" customWidth="1"/>
    <col min="10503" max="10503" width="10.5703125" style="146" customWidth="1"/>
    <col min="10504" max="10504" width="9.85546875" style="146" customWidth="1"/>
    <col min="10505" max="10506" width="12.7109375" style="146" bestFit="1" customWidth="1"/>
    <col min="10507" max="10507" width="9.140625" style="146"/>
    <col min="10508" max="10508" width="10.28515625" style="146" bestFit="1" customWidth="1"/>
    <col min="10509" max="10753" width="9.140625" style="146"/>
    <col min="10754" max="10754" width="14.28515625" style="146" customWidth="1"/>
    <col min="10755" max="10755" width="19.28515625" style="146" customWidth="1"/>
    <col min="10756" max="10756" width="16" style="146" customWidth="1"/>
    <col min="10757" max="10757" width="17.140625" style="146" customWidth="1"/>
    <col min="10758" max="10758" width="10.140625" style="146" customWidth="1"/>
    <col min="10759" max="10759" width="10.5703125" style="146" customWidth="1"/>
    <col min="10760" max="10760" width="9.85546875" style="146" customWidth="1"/>
    <col min="10761" max="10762" width="12.7109375" style="146" bestFit="1" customWidth="1"/>
    <col min="10763" max="10763" width="9.140625" style="146"/>
    <col min="10764" max="10764" width="10.28515625" style="146" bestFit="1" customWidth="1"/>
    <col min="10765" max="11009" width="9.140625" style="146"/>
    <col min="11010" max="11010" width="14.28515625" style="146" customWidth="1"/>
    <col min="11011" max="11011" width="19.28515625" style="146" customWidth="1"/>
    <col min="11012" max="11012" width="16" style="146" customWidth="1"/>
    <col min="11013" max="11013" width="17.140625" style="146" customWidth="1"/>
    <col min="11014" max="11014" width="10.140625" style="146" customWidth="1"/>
    <col min="11015" max="11015" width="10.5703125" style="146" customWidth="1"/>
    <col min="11016" max="11016" width="9.85546875" style="146" customWidth="1"/>
    <col min="11017" max="11018" width="12.7109375" style="146" bestFit="1" customWidth="1"/>
    <col min="11019" max="11019" width="9.140625" style="146"/>
    <col min="11020" max="11020" width="10.28515625" style="146" bestFit="1" customWidth="1"/>
    <col min="11021" max="11265" width="9.140625" style="146"/>
    <col min="11266" max="11266" width="14.28515625" style="146" customWidth="1"/>
    <col min="11267" max="11267" width="19.28515625" style="146" customWidth="1"/>
    <col min="11268" max="11268" width="16" style="146" customWidth="1"/>
    <col min="11269" max="11269" width="17.140625" style="146" customWidth="1"/>
    <col min="11270" max="11270" width="10.140625" style="146" customWidth="1"/>
    <col min="11271" max="11271" width="10.5703125" style="146" customWidth="1"/>
    <col min="11272" max="11272" width="9.85546875" style="146" customWidth="1"/>
    <col min="11273" max="11274" width="12.7109375" style="146" bestFit="1" customWidth="1"/>
    <col min="11275" max="11275" width="9.140625" style="146"/>
    <col min="11276" max="11276" width="10.28515625" style="146" bestFit="1" customWidth="1"/>
    <col min="11277" max="11521" width="9.140625" style="146"/>
    <col min="11522" max="11522" width="14.28515625" style="146" customWidth="1"/>
    <col min="11523" max="11523" width="19.28515625" style="146" customWidth="1"/>
    <col min="11524" max="11524" width="16" style="146" customWidth="1"/>
    <col min="11525" max="11525" width="17.140625" style="146" customWidth="1"/>
    <col min="11526" max="11526" width="10.140625" style="146" customWidth="1"/>
    <col min="11527" max="11527" width="10.5703125" style="146" customWidth="1"/>
    <col min="11528" max="11528" width="9.85546875" style="146" customWidth="1"/>
    <col min="11529" max="11530" width="12.7109375" style="146" bestFit="1" customWidth="1"/>
    <col min="11531" max="11531" width="9.140625" style="146"/>
    <col min="11532" max="11532" width="10.28515625" style="146" bestFit="1" customWidth="1"/>
    <col min="11533" max="11777" width="9.140625" style="146"/>
    <col min="11778" max="11778" width="14.28515625" style="146" customWidth="1"/>
    <col min="11779" max="11779" width="19.28515625" style="146" customWidth="1"/>
    <col min="11780" max="11780" width="16" style="146" customWidth="1"/>
    <col min="11781" max="11781" width="17.140625" style="146" customWidth="1"/>
    <col min="11782" max="11782" width="10.140625" style="146" customWidth="1"/>
    <col min="11783" max="11783" width="10.5703125" style="146" customWidth="1"/>
    <col min="11784" max="11784" width="9.85546875" style="146" customWidth="1"/>
    <col min="11785" max="11786" width="12.7109375" style="146" bestFit="1" customWidth="1"/>
    <col min="11787" max="11787" width="9.140625" style="146"/>
    <col min="11788" max="11788" width="10.28515625" style="146" bestFit="1" customWidth="1"/>
    <col min="11789" max="12033" width="9.140625" style="146"/>
    <col min="12034" max="12034" width="14.28515625" style="146" customWidth="1"/>
    <col min="12035" max="12035" width="19.28515625" style="146" customWidth="1"/>
    <col min="12036" max="12036" width="16" style="146" customWidth="1"/>
    <col min="12037" max="12037" width="17.140625" style="146" customWidth="1"/>
    <col min="12038" max="12038" width="10.140625" style="146" customWidth="1"/>
    <col min="12039" max="12039" width="10.5703125" style="146" customWidth="1"/>
    <col min="12040" max="12040" width="9.85546875" style="146" customWidth="1"/>
    <col min="12041" max="12042" width="12.7109375" style="146" bestFit="1" customWidth="1"/>
    <col min="12043" max="12043" width="9.140625" style="146"/>
    <col min="12044" max="12044" width="10.28515625" style="146" bestFit="1" customWidth="1"/>
    <col min="12045" max="12289" width="9.140625" style="146"/>
    <col min="12290" max="12290" width="14.28515625" style="146" customWidth="1"/>
    <col min="12291" max="12291" width="19.28515625" style="146" customWidth="1"/>
    <col min="12292" max="12292" width="16" style="146" customWidth="1"/>
    <col min="12293" max="12293" width="17.140625" style="146" customWidth="1"/>
    <col min="12294" max="12294" width="10.140625" style="146" customWidth="1"/>
    <col min="12295" max="12295" width="10.5703125" style="146" customWidth="1"/>
    <col min="12296" max="12296" width="9.85546875" style="146" customWidth="1"/>
    <col min="12297" max="12298" width="12.7109375" style="146" bestFit="1" customWidth="1"/>
    <col min="12299" max="12299" width="9.140625" style="146"/>
    <col min="12300" max="12300" width="10.28515625" style="146" bestFit="1" customWidth="1"/>
    <col min="12301" max="12545" width="9.140625" style="146"/>
    <col min="12546" max="12546" width="14.28515625" style="146" customWidth="1"/>
    <col min="12547" max="12547" width="19.28515625" style="146" customWidth="1"/>
    <col min="12548" max="12548" width="16" style="146" customWidth="1"/>
    <col min="12549" max="12549" width="17.140625" style="146" customWidth="1"/>
    <col min="12550" max="12550" width="10.140625" style="146" customWidth="1"/>
    <col min="12551" max="12551" width="10.5703125" style="146" customWidth="1"/>
    <col min="12552" max="12552" width="9.85546875" style="146" customWidth="1"/>
    <col min="12553" max="12554" width="12.7109375" style="146" bestFit="1" customWidth="1"/>
    <col min="12555" max="12555" width="9.140625" style="146"/>
    <col min="12556" max="12556" width="10.28515625" style="146" bestFit="1" customWidth="1"/>
    <col min="12557" max="12801" width="9.140625" style="146"/>
    <col min="12802" max="12802" width="14.28515625" style="146" customWidth="1"/>
    <col min="12803" max="12803" width="19.28515625" style="146" customWidth="1"/>
    <col min="12804" max="12804" width="16" style="146" customWidth="1"/>
    <col min="12805" max="12805" width="17.140625" style="146" customWidth="1"/>
    <col min="12806" max="12806" width="10.140625" style="146" customWidth="1"/>
    <col min="12807" max="12807" width="10.5703125" style="146" customWidth="1"/>
    <col min="12808" max="12808" width="9.85546875" style="146" customWidth="1"/>
    <col min="12809" max="12810" width="12.7109375" style="146" bestFit="1" customWidth="1"/>
    <col min="12811" max="12811" width="9.140625" style="146"/>
    <col min="12812" max="12812" width="10.28515625" style="146" bestFit="1" customWidth="1"/>
    <col min="12813" max="13057" width="9.140625" style="146"/>
    <col min="13058" max="13058" width="14.28515625" style="146" customWidth="1"/>
    <col min="13059" max="13059" width="19.28515625" style="146" customWidth="1"/>
    <col min="13060" max="13060" width="16" style="146" customWidth="1"/>
    <col min="13061" max="13061" width="17.140625" style="146" customWidth="1"/>
    <col min="13062" max="13062" width="10.140625" style="146" customWidth="1"/>
    <col min="13063" max="13063" width="10.5703125" style="146" customWidth="1"/>
    <col min="13064" max="13064" width="9.85546875" style="146" customWidth="1"/>
    <col min="13065" max="13066" width="12.7109375" style="146" bestFit="1" customWidth="1"/>
    <col min="13067" max="13067" width="9.140625" style="146"/>
    <col min="13068" max="13068" width="10.28515625" style="146" bestFit="1" customWidth="1"/>
    <col min="13069" max="13313" width="9.140625" style="146"/>
    <col min="13314" max="13314" width="14.28515625" style="146" customWidth="1"/>
    <col min="13315" max="13315" width="19.28515625" style="146" customWidth="1"/>
    <col min="13316" max="13316" width="16" style="146" customWidth="1"/>
    <col min="13317" max="13317" width="17.140625" style="146" customWidth="1"/>
    <col min="13318" max="13318" width="10.140625" style="146" customWidth="1"/>
    <col min="13319" max="13319" width="10.5703125" style="146" customWidth="1"/>
    <col min="13320" max="13320" width="9.85546875" style="146" customWidth="1"/>
    <col min="13321" max="13322" width="12.7109375" style="146" bestFit="1" customWidth="1"/>
    <col min="13323" max="13323" width="9.140625" style="146"/>
    <col min="13324" max="13324" width="10.28515625" style="146" bestFit="1" customWidth="1"/>
    <col min="13325" max="13569" width="9.140625" style="146"/>
    <col min="13570" max="13570" width="14.28515625" style="146" customWidth="1"/>
    <col min="13571" max="13571" width="19.28515625" style="146" customWidth="1"/>
    <col min="13572" max="13572" width="16" style="146" customWidth="1"/>
    <col min="13573" max="13573" width="17.140625" style="146" customWidth="1"/>
    <col min="13574" max="13574" width="10.140625" style="146" customWidth="1"/>
    <col min="13575" max="13575" width="10.5703125" style="146" customWidth="1"/>
    <col min="13576" max="13576" width="9.85546875" style="146" customWidth="1"/>
    <col min="13577" max="13578" width="12.7109375" style="146" bestFit="1" customWidth="1"/>
    <col min="13579" max="13579" width="9.140625" style="146"/>
    <col min="13580" max="13580" width="10.28515625" style="146" bestFit="1" customWidth="1"/>
    <col min="13581" max="13825" width="9.140625" style="146"/>
    <col min="13826" max="13826" width="14.28515625" style="146" customWidth="1"/>
    <col min="13827" max="13827" width="19.28515625" style="146" customWidth="1"/>
    <col min="13828" max="13828" width="16" style="146" customWidth="1"/>
    <col min="13829" max="13829" width="17.140625" style="146" customWidth="1"/>
    <col min="13830" max="13830" width="10.140625" style="146" customWidth="1"/>
    <col min="13831" max="13831" width="10.5703125" style="146" customWidth="1"/>
    <col min="13832" max="13832" width="9.85546875" style="146" customWidth="1"/>
    <col min="13833" max="13834" width="12.7109375" style="146" bestFit="1" customWidth="1"/>
    <col min="13835" max="13835" width="9.140625" style="146"/>
    <col min="13836" max="13836" width="10.28515625" style="146" bestFit="1" customWidth="1"/>
    <col min="13837" max="14081" width="9.140625" style="146"/>
    <col min="14082" max="14082" width="14.28515625" style="146" customWidth="1"/>
    <col min="14083" max="14083" width="19.28515625" style="146" customWidth="1"/>
    <col min="14084" max="14084" width="16" style="146" customWidth="1"/>
    <col min="14085" max="14085" width="17.140625" style="146" customWidth="1"/>
    <col min="14086" max="14086" width="10.140625" style="146" customWidth="1"/>
    <col min="14087" max="14087" width="10.5703125" style="146" customWidth="1"/>
    <col min="14088" max="14088" width="9.85546875" style="146" customWidth="1"/>
    <col min="14089" max="14090" width="12.7109375" style="146" bestFit="1" customWidth="1"/>
    <col min="14091" max="14091" width="9.140625" style="146"/>
    <col min="14092" max="14092" width="10.28515625" style="146" bestFit="1" customWidth="1"/>
    <col min="14093" max="14337" width="9.140625" style="146"/>
    <col min="14338" max="14338" width="14.28515625" style="146" customWidth="1"/>
    <col min="14339" max="14339" width="19.28515625" style="146" customWidth="1"/>
    <col min="14340" max="14340" width="16" style="146" customWidth="1"/>
    <col min="14341" max="14341" width="17.140625" style="146" customWidth="1"/>
    <col min="14342" max="14342" width="10.140625" style="146" customWidth="1"/>
    <col min="14343" max="14343" width="10.5703125" style="146" customWidth="1"/>
    <col min="14344" max="14344" width="9.85546875" style="146" customWidth="1"/>
    <col min="14345" max="14346" width="12.7109375" style="146" bestFit="1" customWidth="1"/>
    <col min="14347" max="14347" width="9.140625" style="146"/>
    <col min="14348" max="14348" width="10.28515625" style="146" bestFit="1" customWidth="1"/>
    <col min="14349" max="14593" width="9.140625" style="146"/>
    <col min="14594" max="14594" width="14.28515625" style="146" customWidth="1"/>
    <col min="14595" max="14595" width="19.28515625" style="146" customWidth="1"/>
    <col min="14596" max="14596" width="16" style="146" customWidth="1"/>
    <col min="14597" max="14597" width="17.140625" style="146" customWidth="1"/>
    <col min="14598" max="14598" width="10.140625" style="146" customWidth="1"/>
    <col min="14599" max="14599" width="10.5703125" style="146" customWidth="1"/>
    <col min="14600" max="14600" width="9.85546875" style="146" customWidth="1"/>
    <col min="14601" max="14602" width="12.7109375" style="146" bestFit="1" customWidth="1"/>
    <col min="14603" max="14603" width="9.140625" style="146"/>
    <col min="14604" max="14604" width="10.28515625" style="146" bestFit="1" customWidth="1"/>
    <col min="14605" max="14849" width="9.140625" style="146"/>
    <col min="14850" max="14850" width="14.28515625" style="146" customWidth="1"/>
    <col min="14851" max="14851" width="19.28515625" style="146" customWidth="1"/>
    <col min="14852" max="14852" width="16" style="146" customWidth="1"/>
    <col min="14853" max="14853" width="17.140625" style="146" customWidth="1"/>
    <col min="14854" max="14854" width="10.140625" style="146" customWidth="1"/>
    <col min="14855" max="14855" width="10.5703125" style="146" customWidth="1"/>
    <col min="14856" max="14856" width="9.85546875" style="146" customWidth="1"/>
    <col min="14857" max="14858" width="12.7109375" style="146" bestFit="1" customWidth="1"/>
    <col min="14859" max="14859" width="9.140625" style="146"/>
    <col min="14860" max="14860" width="10.28515625" style="146" bestFit="1" customWidth="1"/>
    <col min="14861" max="15105" width="9.140625" style="146"/>
    <col min="15106" max="15106" width="14.28515625" style="146" customWidth="1"/>
    <col min="15107" max="15107" width="19.28515625" style="146" customWidth="1"/>
    <col min="15108" max="15108" width="16" style="146" customWidth="1"/>
    <col min="15109" max="15109" width="17.140625" style="146" customWidth="1"/>
    <col min="15110" max="15110" width="10.140625" style="146" customWidth="1"/>
    <col min="15111" max="15111" width="10.5703125" style="146" customWidth="1"/>
    <col min="15112" max="15112" width="9.85546875" style="146" customWidth="1"/>
    <col min="15113" max="15114" width="12.7109375" style="146" bestFit="1" customWidth="1"/>
    <col min="15115" max="15115" width="9.140625" style="146"/>
    <col min="15116" max="15116" width="10.28515625" style="146" bestFit="1" customWidth="1"/>
    <col min="15117" max="15361" width="9.140625" style="146"/>
    <col min="15362" max="15362" width="14.28515625" style="146" customWidth="1"/>
    <col min="15363" max="15363" width="19.28515625" style="146" customWidth="1"/>
    <col min="15364" max="15364" width="16" style="146" customWidth="1"/>
    <col min="15365" max="15365" width="17.140625" style="146" customWidth="1"/>
    <col min="15366" max="15366" width="10.140625" style="146" customWidth="1"/>
    <col min="15367" max="15367" width="10.5703125" style="146" customWidth="1"/>
    <col min="15368" max="15368" width="9.85546875" style="146" customWidth="1"/>
    <col min="15369" max="15370" width="12.7109375" style="146" bestFit="1" customWidth="1"/>
    <col min="15371" max="15371" width="9.140625" style="146"/>
    <col min="15372" max="15372" width="10.28515625" style="146" bestFit="1" customWidth="1"/>
    <col min="15373" max="15617" width="9.140625" style="146"/>
    <col min="15618" max="15618" width="14.28515625" style="146" customWidth="1"/>
    <col min="15619" max="15619" width="19.28515625" style="146" customWidth="1"/>
    <col min="15620" max="15620" width="16" style="146" customWidth="1"/>
    <col min="15621" max="15621" width="17.140625" style="146" customWidth="1"/>
    <col min="15622" max="15622" width="10.140625" style="146" customWidth="1"/>
    <col min="15623" max="15623" width="10.5703125" style="146" customWidth="1"/>
    <col min="15624" max="15624" width="9.85546875" style="146" customWidth="1"/>
    <col min="15625" max="15626" width="12.7109375" style="146" bestFit="1" customWidth="1"/>
    <col min="15627" max="15627" width="9.140625" style="146"/>
    <col min="15628" max="15628" width="10.28515625" style="146" bestFit="1" customWidth="1"/>
    <col min="15629" max="15873" width="9.140625" style="146"/>
    <col min="15874" max="15874" width="14.28515625" style="146" customWidth="1"/>
    <col min="15875" max="15875" width="19.28515625" style="146" customWidth="1"/>
    <col min="15876" max="15876" width="16" style="146" customWidth="1"/>
    <col min="15877" max="15877" width="17.140625" style="146" customWidth="1"/>
    <col min="15878" max="15878" width="10.140625" style="146" customWidth="1"/>
    <col min="15879" max="15879" width="10.5703125" style="146" customWidth="1"/>
    <col min="15880" max="15880" width="9.85546875" style="146" customWidth="1"/>
    <col min="15881" max="15882" width="12.7109375" style="146" bestFit="1" customWidth="1"/>
    <col min="15883" max="15883" width="9.140625" style="146"/>
    <col min="15884" max="15884" width="10.28515625" style="146" bestFit="1" customWidth="1"/>
    <col min="15885" max="16129" width="9.140625" style="146"/>
    <col min="16130" max="16130" width="14.28515625" style="146" customWidth="1"/>
    <col min="16131" max="16131" width="19.28515625" style="146" customWidth="1"/>
    <col min="16132" max="16132" width="16" style="146" customWidth="1"/>
    <col min="16133" max="16133" width="17.140625" style="146" customWidth="1"/>
    <col min="16134" max="16134" width="10.140625" style="146" customWidth="1"/>
    <col min="16135" max="16135" width="10.5703125" style="146" customWidth="1"/>
    <col min="16136" max="16136" width="9.85546875" style="146" customWidth="1"/>
    <col min="16137" max="16138" width="12.7109375" style="146" bestFit="1" customWidth="1"/>
    <col min="16139" max="16139" width="9.140625" style="146"/>
    <col min="16140" max="16140" width="10.28515625" style="146" bestFit="1" customWidth="1"/>
    <col min="16141" max="16384" width="9.140625" style="146"/>
  </cols>
  <sheetData>
    <row r="1" spans="1:6" s="146" customFormat="1" ht="28.5" customHeight="1" x14ac:dyDescent="0.25">
      <c r="A1" s="275" t="s">
        <v>345</v>
      </c>
      <c r="B1" s="275"/>
      <c r="C1" s="275"/>
      <c r="D1" s="275"/>
      <c r="E1" s="275"/>
    </row>
    <row r="2" spans="1:6" s="146" customFormat="1" ht="28.5" customHeight="1" x14ac:dyDescent="0.25">
      <c r="A2" s="351" t="s">
        <v>291</v>
      </c>
      <c r="B2" s="352"/>
      <c r="C2" s="352"/>
      <c r="D2" s="352"/>
      <c r="E2" s="353"/>
    </row>
    <row r="3" spans="1:6" s="146" customFormat="1" ht="28.5" customHeight="1" x14ac:dyDescent="0.25">
      <c r="A3" s="327" t="s">
        <v>292</v>
      </c>
      <c r="B3" s="327"/>
      <c r="C3" s="327"/>
      <c r="D3" s="327"/>
      <c r="E3" s="327"/>
    </row>
    <row r="4" spans="1:6" s="329" customFormat="1" ht="28.5" customHeight="1" x14ac:dyDescent="0.25">
      <c r="A4" s="264" t="s">
        <v>293</v>
      </c>
      <c r="B4" s="265"/>
      <c r="C4" s="176">
        <v>1</v>
      </c>
      <c r="D4" s="176">
        <v>2</v>
      </c>
      <c r="E4" s="176" t="s">
        <v>294</v>
      </c>
    </row>
    <row r="5" spans="1:6" s="329" customFormat="1" ht="28.5" customHeight="1" x14ac:dyDescent="0.25">
      <c r="A5" s="266"/>
      <c r="B5" s="267"/>
      <c r="C5" s="176" t="s">
        <v>295</v>
      </c>
      <c r="D5" s="176" t="s">
        <v>296</v>
      </c>
      <c r="E5" s="176" t="s">
        <v>297</v>
      </c>
    </row>
    <row r="6" spans="1:6" s="329" customFormat="1" ht="28.5" customHeight="1" x14ac:dyDescent="0.25">
      <c r="A6" s="268"/>
      <c r="B6" s="269"/>
      <c r="C6" s="176" t="s">
        <v>298</v>
      </c>
      <c r="D6" s="176" t="s">
        <v>299</v>
      </c>
      <c r="E6" s="176" t="s">
        <v>300</v>
      </c>
    </row>
    <row r="7" spans="1:6" s="146" customFormat="1" ht="28.5" customHeight="1" x14ac:dyDescent="0.25">
      <c r="A7" s="330" t="s">
        <v>301</v>
      </c>
      <c r="B7" s="330"/>
      <c r="C7" s="330"/>
      <c r="D7" s="330"/>
      <c r="E7" s="330"/>
    </row>
    <row r="8" spans="1:6" s="146" customFormat="1" ht="28.5" customHeight="1" x14ac:dyDescent="0.25">
      <c r="A8" s="143" t="s">
        <v>383</v>
      </c>
      <c r="B8" s="120">
        <v>1</v>
      </c>
      <c r="C8" s="120">
        <v>1200</v>
      </c>
      <c r="D8" s="331">
        <f>'G2 DVAVG-MT Servente'!G112</f>
        <v>6446.0518859737749</v>
      </c>
      <c r="E8" s="331">
        <f>(B8/C8)*D8</f>
        <v>5.3717099049781458</v>
      </c>
      <c r="F8" s="332"/>
    </row>
    <row r="9" spans="1:6" s="146" customFormat="1" ht="28.5" customHeight="1" x14ac:dyDescent="0.25">
      <c r="A9" s="333" t="s">
        <v>302</v>
      </c>
      <c r="B9" s="333"/>
      <c r="C9" s="333"/>
      <c r="D9" s="333"/>
      <c r="E9" s="334">
        <f>SUM(E8:E8)</f>
        <v>5.3717099049781458</v>
      </c>
      <c r="F9" s="332"/>
    </row>
    <row r="10" spans="1:6" s="146" customFormat="1" ht="28.5" customHeight="1" x14ac:dyDescent="0.25">
      <c r="A10" s="330" t="s">
        <v>305</v>
      </c>
      <c r="B10" s="330"/>
      <c r="C10" s="330"/>
      <c r="D10" s="330"/>
      <c r="E10" s="330"/>
      <c r="F10" s="335"/>
    </row>
    <row r="11" spans="1:6" s="146" customFormat="1" ht="28.5" customHeight="1" x14ac:dyDescent="0.25">
      <c r="A11" s="143" t="s">
        <v>383</v>
      </c>
      <c r="B11" s="120">
        <v>1</v>
      </c>
      <c r="C11" s="120">
        <v>300</v>
      </c>
      <c r="D11" s="331">
        <f>'G2 DVAVG-MT Servente'!G112</f>
        <v>6446.0518859737749</v>
      </c>
      <c r="E11" s="331">
        <f>(B11/C11)*D11</f>
        <v>21.486839619912583</v>
      </c>
      <c r="F11" s="332"/>
    </row>
    <row r="12" spans="1:6" s="146" customFormat="1" ht="28.5" customHeight="1" x14ac:dyDescent="0.25">
      <c r="A12" s="333" t="s">
        <v>302</v>
      </c>
      <c r="B12" s="333"/>
      <c r="C12" s="333"/>
      <c r="D12" s="333"/>
      <c r="E12" s="334">
        <f>SUM(E11:E11)</f>
        <v>21.486839619912583</v>
      </c>
      <c r="F12" s="332"/>
    </row>
    <row r="13" spans="1:6" s="146" customFormat="1" ht="28.5" customHeight="1" x14ac:dyDescent="0.25">
      <c r="A13" s="327" t="s">
        <v>306</v>
      </c>
      <c r="B13" s="327"/>
      <c r="C13" s="327"/>
      <c r="D13" s="327"/>
      <c r="E13" s="327"/>
      <c r="F13" s="329"/>
    </row>
    <row r="14" spans="1:6" s="146" customFormat="1" ht="28.5" customHeight="1" x14ac:dyDescent="0.25">
      <c r="A14" s="330" t="s">
        <v>312</v>
      </c>
      <c r="B14" s="330"/>
      <c r="C14" s="330"/>
      <c r="D14" s="330"/>
      <c r="E14" s="330"/>
    </row>
    <row r="15" spans="1:6" s="146" customFormat="1" ht="28.5" customHeight="1" x14ac:dyDescent="0.25">
      <c r="A15" s="143" t="s">
        <v>383</v>
      </c>
      <c r="B15" s="120">
        <v>1</v>
      </c>
      <c r="C15" s="336">
        <v>2700</v>
      </c>
      <c r="D15" s="331">
        <f>'G2 DVAVG-MT Servente'!G112</f>
        <v>6446.0518859737749</v>
      </c>
      <c r="E15" s="331">
        <f>(B15/C15)*D15</f>
        <v>2.3874266244347315</v>
      </c>
    </row>
    <row r="16" spans="1:6" s="329" customFormat="1" ht="28.5" customHeight="1" x14ac:dyDescent="0.25">
      <c r="A16" s="333" t="s">
        <v>302</v>
      </c>
      <c r="B16" s="333"/>
      <c r="C16" s="333"/>
      <c r="D16" s="333"/>
      <c r="E16" s="334">
        <f>SUM(E15:E15)</f>
        <v>2.3874266244347315</v>
      </c>
    </row>
    <row r="20" spans="1:8" s="146" customFormat="1" x14ac:dyDescent="0.25">
      <c r="A20" s="346"/>
      <c r="B20" s="346"/>
      <c r="C20" s="346"/>
      <c r="D20" s="347"/>
      <c r="E20" s="347"/>
      <c r="F20" s="347"/>
      <c r="G20" s="347"/>
      <c r="H20" s="347"/>
    </row>
    <row r="21" spans="1:8" s="146" customFormat="1" ht="43.5" customHeight="1" x14ac:dyDescent="0.25">
      <c r="A21" s="348"/>
      <c r="B21" s="348"/>
      <c r="C21" s="348"/>
      <c r="D21" s="348"/>
      <c r="E21" s="348"/>
      <c r="F21" s="348"/>
      <c r="G21" s="348"/>
      <c r="H21" s="348"/>
    </row>
  </sheetData>
  <mergeCells count="13">
    <mergeCell ref="A1:E1"/>
    <mergeCell ref="A2:E2"/>
    <mergeCell ref="A3:E3"/>
    <mergeCell ref="A10:E10"/>
    <mergeCell ref="A7:E7"/>
    <mergeCell ref="A9:D9"/>
    <mergeCell ref="A4:B6"/>
    <mergeCell ref="A21:H21"/>
    <mergeCell ref="A12:D12"/>
    <mergeCell ref="A13:E13"/>
    <mergeCell ref="A14:E14"/>
    <mergeCell ref="A16:D16"/>
    <mergeCell ref="A20:C20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F567-E9EE-4FCB-A669-66A172783092}">
  <dimension ref="A1:O77"/>
  <sheetViews>
    <sheetView showGridLines="0" zoomScaleNormal="100" workbookViewId="0">
      <selection activeCell="G74" sqref="G74"/>
    </sheetView>
  </sheetViews>
  <sheetFormatPr defaultRowHeight="12" x14ac:dyDescent="0.2"/>
  <cols>
    <col min="1" max="1" width="8.5703125" style="118" customWidth="1"/>
    <col min="2" max="2" width="26.42578125" style="429" customWidth="1"/>
    <col min="3" max="3" width="11.5703125" style="118" customWidth="1"/>
    <col min="4" max="4" width="9.140625" style="427" customWidth="1"/>
    <col min="5" max="5" width="8.7109375" style="427" customWidth="1"/>
    <col min="6" max="6" width="13.28515625" style="427" customWidth="1"/>
    <col min="7" max="7" width="12.85546875" style="427" customWidth="1"/>
    <col min="8" max="8" width="10" style="427" bestFit="1" customWidth="1"/>
    <col min="9" max="9" width="2.140625" style="118" customWidth="1"/>
    <col min="10" max="10" width="11.5703125" style="118" bestFit="1" customWidth="1"/>
    <col min="11" max="13" width="9.140625" style="118"/>
    <col min="14" max="14" width="18.7109375" style="118" customWidth="1"/>
    <col min="15" max="15" width="17" style="118" customWidth="1"/>
    <col min="16" max="252" width="9.140625" style="118"/>
    <col min="253" max="253" width="8.28515625" style="118" customWidth="1"/>
    <col min="254" max="254" width="55.7109375" style="118" customWidth="1"/>
    <col min="255" max="255" width="10.140625" style="118" bestFit="1" customWidth="1"/>
    <col min="256" max="256" width="10.28515625" style="118" bestFit="1" customWidth="1"/>
    <col min="257" max="257" width="12.140625" style="118" customWidth="1"/>
    <col min="258" max="258" width="9.140625" style="118"/>
    <col min="259" max="259" width="11.5703125" style="118" bestFit="1" customWidth="1"/>
    <col min="260" max="508" width="9.140625" style="118"/>
    <col min="509" max="509" width="8.28515625" style="118" customWidth="1"/>
    <col min="510" max="510" width="55.7109375" style="118" customWidth="1"/>
    <col min="511" max="511" width="10.140625" style="118" bestFit="1" customWidth="1"/>
    <col min="512" max="512" width="10.28515625" style="118" bestFit="1" customWidth="1"/>
    <col min="513" max="513" width="12.140625" style="118" customWidth="1"/>
    <col min="514" max="514" width="9.140625" style="118"/>
    <col min="515" max="515" width="11.5703125" style="118" bestFit="1" customWidth="1"/>
    <col min="516" max="764" width="9.140625" style="118"/>
    <col min="765" max="765" width="8.28515625" style="118" customWidth="1"/>
    <col min="766" max="766" width="55.7109375" style="118" customWidth="1"/>
    <col min="767" max="767" width="10.140625" style="118" bestFit="1" customWidth="1"/>
    <col min="768" max="768" width="10.28515625" style="118" bestFit="1" customWidth="1"/>
    <col min="769" max="769" width="12.140625" style="118" customWidth="1"/>
    <col min="770" max="770" width="9.140625" style="118"/>
    <col min="771" max="771" width="11.5703125" style="118" bestFit="1" customWidth="1"/>
    <col min="772" max="1020" width="9.140625" style="118"/>
    <col min="1021" max="1021" width="8.28515625" style="118" customWidth="1"/>
    <col min="1022" max="1022" width="55.7109375" style="118" customWidth="1"/>
    <col min="1023" max="1023" width="10.140625" style="118" bestFit="1" customWidth="1"/>
    <col min="1024" max="1024" width="10.28515625" style="118" bestFit="1" customWidth="1"/>
    <col min="1025" max="1025" width="12.140625" style="118" customWidth="1"/>
    <col min="1026" max="1026" width="9.140625" style="118"/>
    <col min="1027" max="1027" width="11.5703125" style="118" bestFit="1" customWidth="1"/>
    <col min="1028" max="1276" width="9.140625" style="118"/>
    <col min="1277" max="1277" width="8.28515625" style="118" customWidth="1"/>
    <col min="1278" max="1278" width="55.7109375" style="118" customWidth="1"/>
    <col min="1279" max="1279" width="10.140625" style="118" bestFit="1" customWidth="1"/>
    <col min="1280" max="1280" width="10.28515625" style="118" bestFit="1" customWidth="1"/>
    <col min="1281" max="1281" width="12.140625" style="118" customWidth="1"/>
    <col min="1282" max="1282" width="9.140625" style="118"/>
    <col min="1283" max="1283" width="11.5703125" style="118" bestFit="1" customWidth="1"/>
    <col min="1284" max="1532" width="9.140625" style="118"/>
    <col min="1533" max="1533" width="8.28515625" style="118" customWidth="1"/>
    <col min="1534" max="1534" width="55.7109375" style="118" customWidth="1"/>
    <col min="1535" max="1535" width="10.140625" style="118" bestFit="1" customWidth="1"/>
    <col min="1536" max="1536" width="10.28515625" style="118" bestFit="1" customWidth="1"/>
    <col min="1537" max="1537" width="12.140625" style="118" customWidth="1"/>
    <col min="1538" max="1538" width="9.140625" style="118"/>
    <col min="1539" max="1539" width="11.5703125" style="118" bestFit="1" customWidth="1"/>
    <col min="1540" max="1788" width="9.140625" style="118"/>
    <col min="1789" max="1789" width="8.28515625" style="118" customWidth="1"/>
    <col min="1790" max="1790" width="55.7109375" style="118" customWidth="1"/>
    <col min="1791" max="1791" width="10.140625" style="118" bestFit="1" customWidth="1"/>
    <col min="1792" max="1792" width="10.28515625" style="118" bestFit="1" customWidth="1"/>
    <col min="1793" max="1793" width="12.140625" style="118" customWidth="1"/>
    <col min="1794" max="1794" width="9.140625" style="118"/>
    <col min="1795" max="1795" width="11.5703125" style="118" bestFit="1" customWidth="1"/>
    <col min="1796" max="2044" width="9.140625" style="118"/>
    <col min="2045" max="2045" width="8.28515625" style="118" customWidth="1"/>
    <col min="2046" max="2046" width="55.7109375" style="118" customWidth="1"/>
    <col min="2047" max="2047" width="10.140625" style="118" bestFit="1" customWidth="1"/>
    <col min="2048" max="2048" width="10.28515625" style="118" bestFit="1" customWidth="1"/>
    <col min="2049" max="2049" width="12.140625" style="118" customWidth="1"/>
    <col min="2050" max="2050" width="9.140625" style="118"/>
    <col min="2051" max="2051" width="11.5703125" style="118" bestFit="1" customWidth="1"/>
    <col min="2052" max="2300" width="9.140625" style="118"/>
    <col min="2301" max="2301" width="8.28515625" style="118" customWidth="1"/>
    <col min="2302" max="2302" width="55.7109375" style="118" customWidth="1"/>
    <col min="2303" max="2303" width="10.140625" style="118" bestFit="1" customWidth="1"/>
    <col min="2304" max="2304" width="10.28515625" style="118" bestFit="1" customWidth="1"/>
    <col min="2305" max="2305" width="12.140625" style="118" customWidth="1"/>
    <col min="2306" max="2306" width="9.140625" style="118"/>
    <col min="2307" max="2307" width="11.5703125" style="118" bestFit="1" customWidth="1"/>
    <col min="2308" max="2556" width="9.140625" style="118"/>
    <col min="2557" max="2557" width="8.28515625" style="118" customWidth="1"/>
    <col min="2558" max="2558" width="55.7109375" style="118" customWidth="1"/>
    <col min="2559" max="2559" width="10.140625" style="118" bestFit="1" customWidth="1"/>
    <col min="2560" max="2560" width="10.28515625" style="118" bestFit="1" customWidth="1"/>
    <col min="2561" max="2561" width="12.140625" style="118" customWidth="1"/>
    <col min="2562" max="2562" width="9.140625" style="118"/>
    <col min="2563" max="2563" width="11.5703125" style="118" bestFit="1" customWidth="1"/>
    <col min="2564" max="2812" width="9.140625" style="118"/>
    <col min="2813" max="2813" width="8.28515625" style="118" customWidth="1"/>
    <col min="2814" max="2814" width="55.7109375" style="118" customWidth="1"/>
    <col min="2815" max="2815" width="10.140625" style="118" bestFit="1" customWidth="1"/>
    <col min="2816" max="2816" width="10.28515625" style="118" bestFit="1" customWidth="1"/>
    <col min="2817" max="2817" width="12.140625" style="118" customWidth="1"/>
    <col min="2818" max="2818" width="9.140625" style="118"/>
    <col min="2819" max="2819" width="11.5703125" style="118" bestFit="1" customWidth="1"/>
    <col min="2820" max="3068" width="9.140625" style="118"/>
    <col min="3069" max="3069" width="8.28515625" style="118" customWidth="1"/>
    <col min="3070" max="3070" width="55.7109375" style="118" customWidth="1"/>
    <col min="3071" max="3071" width="10.140625" style="118" bestFit="1" customWidth="1"/>
    <col min="3072" max="3072" width="10.28515625" style="118" bestFit="1" customWidth="1"/>
    <col min="3073" max="3073" width="12.140625" style="118" customWidth="1"/>
    <col min="3074" max="3074" width="9.140625" style="118"/>
    <col min="3075" max="3075" width="11.5703125" style="118" bestFit="1" customWidth="1"/>
    <col min="3076" max="3324" width="9.140625" style="118"/>
    <col min="3325" max="3325" width="8.28515625" style="118" customWidth="1"/>
    <col min="3326" max="3326" width="55.7109375" style="118" customWidth="1"/>
    <col min="3327" max="3327" width="10.140625" style="118" bestFit="1" customWidth="1"/>
    <col min="3328" max="3328" width="10.28515625" style="118" bestFit="1" customWidth="1"/>
    <col min="3329" max="3329" width="12.140625" style="118" customWidth="1"/>
    <col min="3330" max="3330" width="9.140625" style="118"/>
    <col min="3331" max="3331" width="11.5703125" style="118" bestFit="1" customWidth="1"/>
    <col min="3332" max="3580" width="9.140625" style="118"/>
    <col min="3581" max="3581" width="8.28515625" style="118" customWidth="1"/>
    <col min="3582" max="3582" width="55.7109375" style="118" customWidth="1"/>
    <col min="3583" max="3583" width="10.140625" style="118" bestFit="1" customWidth="1"/>
    <col min="3584" max="3584" width="10.28515625" style="118" bestFit="1" customWidth="1"/>
    <col min="3585" max="3585" width="12.140625" style="118" customWidth="1"/>
    <col min="3586" max="3586" width="9.140625" style="118"/>
    <col min="3587" max="3587" width="11.5703125" style="118" bestFit="1" customWidth="1"/>
    <col min="3588" max="3836" width="9.140625" style="118"/>
    <col min="3837" max="3837" width="8.28515625" style="118" customWidth="1"/>
    <col min="3838" max="3838" width="55.7109375" style="118" customWidth="1"/>
    <col min="3839" max="3839" width="10.140625" style="118" bestFit="1" customWidth="1"/>
    <col min="3840" max="3840" width="10.28515625" style="118" bestFit="1" customWidth="1"/>
    <col min="3841" max="3841" width="12.140625" style="118" customWidth="1"/>
    <col min="3842" max="3842" width="9.140625" style="118"/>
    <col min="3843" max="3843" width="11.5703125" style="118" bestFit="1" customWidth="1"/>
    <col min="3844" max="4092" width="9.140625" style="118"/>
    <col min="4093" max="4093" width="8.28515625" style="118" customWidth="1"/>
    <col min="4094" max="4094" width="55.7109375" style="118" customWidth="1"/>
    <col min="4095" max="4095" width="10.140625" style="118" bestFit="1" customWidth="1"/>
    <col min="4096" max="4096" width="10.28515625" style="118" bestFit="1" customWidth="1"/>
    <col min="4097" max="4097" width="12.140625" style="118" customWidth="1"/>
    <col min="4098" max="4098" width="9.140625" style="118"/>
    <col min="4099" max="4099" width="11.5703125" style="118" bestFit="1" customWidth="1"/>
    <col min="4100" max="4348" width="9.140625" style="118"/>
    <col min="4349" max="4349" width="8.28515625" style="118" customWidth="1"/>
    <col min="4350" max="4350" width="55.7109375" style="118" customWidth="1"/>
    <col min="4351" max="4351" width="10.140625" style="118" bestFit="1" customWidth="1"/>
    <col min="4352" max="4352" width="10.28515625" style="118" bestFit="1" customWidth="1"/>
    <col min="4353" max="4353" width="12.140625" style="118" customWidth="1"/>
    <col min="4354" max="4354" width="9.140625" style="118"/>
    <col min="4355" max="4355" width="11.5703125" style="118" bestFit="1" customWidth="1"/>
    <col min="4356" max="4604" width="9.140625" style="118"/>
    <col min="4605" max="4605" width="8.28515625" style="118" customWidth="1"/>
    <col min="4606" max="4606" width="55.7109375" style="118" customWidth="1"/>
    <col min="4607" max="4607" width="10.140625" style="118" bestFit="1" customWidth="1"/>
    <col min="4608" max="4608" width="10.28515625" style="118" bestFit="1" customWidth="1"/>
    <col min="4609" max="4609" width="12.140625" style="118" customWidth="1"/>
    <col min="4610" max="4610" width="9.140625" style="118"/>
    <col min="4611" max="4611" width="11.5703125" style="118" bestFit="1" customWidth="1"/>
    <col min="4612" max="4860" width="9.140625" style="118"/>
    <col min="4861" max="4861" width="8.28515625" style="118" customWidth="1"/>
    <col min="4862" max="4862" width="55.7109375" style="118" customWidth="1"/>
    <col min="4863" max="4863" width="10.140625" style="118" bestFit="1" customWidth="1"/>
    <col min="4864" max="4864" width="10.28515625" style="118" bestFit="1" customWidth="1"/>
    <col min="4865" max="4865" width="12.140625" style="118" customWidth="1"/>
    <col min="4866" max="4866" width="9.140625" style="118"/>
    <col min="4867" max="4867" width="11.5703125" style="118" bestFit="1" customWidth="1"/>
    <col min="4868" max="5116" width="9.140625" style="118"/>
    <col min="5117" max="5117" width="8.28515625" style="118" customWidth="1"/>
    <col min="5118" max="5118" width="55.7109375" style="118" customWidth="1"/>
    <col min="5119" max="5119" width="10.140625" style="118" bestFit="1" customWidth="1"/>
    <col min="5120" max="5120" width="10.28515625" style="118" bestFit="1" customWidth="1"/>
    <col min="5121" max="5121" width="12.140625" style="118" customWidth="1"/>
    <col min="5122" max="5122" width="9.140625" style="118"/>
    <col min="5123" max="5123" width="11.5703125" style="118" bestFit="1" customWidth="1"/>
    <col min="5124" max="5372" width="9.140625" style="118"/>
    <col min="5373" max="5373" width="8.28515625" style="118" customWidth="1"/>
    <col min="5374" max="5374" width="55.7109375" style="118" customWidth="1"/>
    <col min="5375" max="5375" width="10.140625" style="118" bestFit="1" customWidth="1"/>
    <col min="5376" max="5376" width="10.28515625" style="118" bestFit="1" customWidth="1"/>
    <col min="5377" max="5377" width="12.140625" style="118" customWidth="1"/>
    <col min="5378" max="5378" width="9.140625" style="118"/>
    <col min="5379" max="5379" width="11.5703125" style="118" bestFit="1" customWidth="1"/>
    <col min="5380" max="5628" width="9.140625" style="118"/>
    <col min="5629" max="5629" width="8.28515625" style="118" customWidth="1"/>
    <col min="5630" max="5630" width="55.7109375" style="118" customWidth="1"/>
    <col min="5631" max="5631" width="10.140625" style="118" bestFit="1" customWidth="1"/>
    <col min="5632" max="5632" width="10.28515625" style="118" bestFit="1" customWidth="1"/>
    <col min="5633" max="5633" width="12.140625" style="118" customWidth="1"/>
    <col min="5634" max="5634" width="9.140625" style="118"/>
    <col min="5635" max="5635" width="11.5703125" style="118" bestFit="1" customWidth="1"/>
    <col min="5636" max="5884" width="9.140625" style="118"/>
    <col min="5885" max="5885" width="8.28515625" style="118" customWidth="1"/>
    <col min="5886" max="5886" width="55.7109375" style="118" customWidth="1"/>
    <col min="5887" max="5887" width="10.140625" style="118" bestFit="1" customWidth="1"/>
    <col min="5888" max="5888" width="10.28515625" style="118" bestFit="1" customWidth="1"/>
    <col min="5889" max="5889" width="12.140625" style="118" customWidth="1"/>
    <col min="5890" max="5890" width="9.140625" style="118"/>
    <col min="5891" max="5891" width="11.5703125" style="118" bestFit="1" customWidth="1"/>
    <col min="5892" max="6140" width="9.140625" style="118"/>
    <col min="6141" max="6141" width="8.28515625" style="118" customWidth="1"/>
    <col min="6142" max="6142" width="55.7109375" style="118" customWidth="1"/>
    <col min="6143" max="6143" width="10.140625" style="118" bestFit="1" customWidth="1"/>
    <col min="6144" max="6144" width="10.28515625" style="118" bestFit="1" customWidth="1"/>
    <col min="6145" max="6145" width="12.140625" style="118" customWidth="1"/>
    <col min="6146" max="6146" width="9.140625" style="118"/>
    <col min="6147" max="6147" width="11.5703125" style="118" bestFit="1" customWidth="1"/>
    <col min="6148" max="6396" width="9.140625" style="118"/>
    <col min="6397" max="6397" width="8.28515625" style="118" customWidth="1"/>
    <col min="6398" max="6398" width="55.7109375" style="118" customWidth="1"/>
    <col min="6399" max="6399" width="10.140625" style="118" bestFit="1" customWidth="1"/>
    <col min="6400" max="6400" width="10.28515625" style="118" bestFit="1" customWidth="1"/>
    <col min="6401" max="6401" width="12.140625" style="118" customWidth="1"/>
    <col min="6402" max="6402" width="9.140625" style="118"/>
    <col min="6403" max="6403" width="11.5703125" style="118" bestFit="1" customWidth="1"/>
    <col min="6404" max="6652" width="9.140625" style="118"/>
    <col min="6653" max="6653" width="8.28515625" style="118" customWidth="1"/>
    <col min="6654" max="6654" width="55.7109375" style="118" customWidth="1"/>
    <col min="6655" max="6655" width="10.140625" style="118" bestFit="1" customWidth="1"/>
    <col min="6656" max="6656" width="10.28515625" style="118" bestFit="1" customWidth="1"/>
    <col min="6657" max="6657" width="12.140625" style="118" customWidth="1"/>
    <col min="6658" max="6658" width="9.140625" style="118"/>
    <col min="6659" max="6659" width="11.5703125" style="118" bestFit="1" customWidth="1"/>
    <col min="6660" max="6908" width="9.140625" style="118"/>
    <col min="6909" max="6909" width="8.28515625" style="118" customWidth="1"/>
    <col min="6910" max="6910" width="55.7109375" style="118" customWidth="1"/>
    <col min="6911" max="6911" width="10.140625" style="118" bestFit="1" customWidth="1"/>
    <col min="6912" max="6912" width="10.28515625" style="118" bestFit="1" customWidth="1"/>
    <col min="6913" max="6913" width="12.140625" style="118" customWidth="1"/>
    <col min="6914" max="6914" width="9.140625" style="118"/>
    <col min="6915" max="6915" width="11.5703125" style="118" bestFit="1" customWidth="1"/>
    <col min="6916" max="7164" width="9.140625" style="118"/>
    <col min="7165" max="7165" width="8.28515625" style="118" customWidth="1"/>
    <col min="7166" max="7166" width="55.7109375" style="118" customWidth="1"/>
    <col min="7167" max="7167" width="10.140625" style="118" bestFit="1" customWidth="1"/>
    <col min="7168" max="7168" width="10.28515625" style="118" bestFit="1" customWidth="1"/>
    <col min="7169" max="7169" width="12.140625" style="118" customWidth="1"/>
    <col min="7170" max="7170" width="9.140625" style="118"/>
    <col min="7171" max="7171" width="11.5703125" style="118" bestFit="1" customWidth="1"/>
    <col min="7172" max="7420" width="9.140625" style="118"/>
    <col min="7421" max="7421" width="8.28515625" style="118" customWidth="1"/>
    <col min="7422" max="7422" width="55.7109375" style="118" customWidth="1"/>
    <col min="7423" max="7423" width="10.140625" style="118" bestFit="1" customWidth="1"/>
    <col min="7424" max="7424" width="10.28515625" style="118" bestFit="1" customWidth="1"/>
    <col min="7425" max="7425" width="12.140625" style="118" customWidth="1"/>
    <col min="7426" max="7426" width="9.140625" style="118"/>
    <col min="7427" max="7427" width="11.5703125" style="118" bestFit="1" customWidth="1"/>
    <col min="7428" max="7676" width="9.140625" style="118"/>
    <col min="7677" max="7677" width="8.28515625" style="118" customWidth="1"/>
    <col min="7678" max="7678" width="55.7109375" style="118" customWidth="1"/>
    <col min="7679" max="7679" width="10.140625" style="118" bestFit="1" customWidth="1"/>
    <col min="7680" max="7680" width="10.28515625" style="118" bestFit="1" customWidth="1"/>
    <col min="7681" max="7681" width="12.140625" style="118" customWidth="1"/>
    <col min="7682" max="7682" width="9.140625" style="118"/>
    <col min="7683" max="7683" width="11.5703125" style="118" bestFit="1" customWidth="1"/>
    <col min="7684" max="7932" width="9.140625" style="118"/>
    <col min="7933" max="7933" width="8.28515625" style="118" customWidth="1"/>
    <col min="7934" max="7934" width="55.7109375" style="118" customWidth="1"/>
    <col min="7935" max="7935" width="10.140625" style="118" bestFit="1" customWidth="1"/>
    <col min="7936" max="7936" width="10.28515625" style="118" bestFit="1" customWidth="1"/>
    <col min="7937" max="7937" width="12.140625" style="118" customWidth="1"/>
    <col min="7938" max="7938" width="9.140625" style="118"/>
    <col min="7939" max="7939" width="11.5703125" style="118" bestFit="1" customWidth="1"/>
    <col min="7940" max="8188" width="9.140625" style="118"/>
    <col min="8189" max="8189" width="8.28515625" style="118" customWidth="1"/>
    <col min="8190" max="8190" width="55.7109375" style="118" customWidth="1"/>
    <col min="8191" max="8191" width="10.140625" style="118" bestFit="1" customWidth="1"/>
    <col min="8192" max="8192" width="10.28515625" style="118" bestFit="1" customWidth="1"/>
    <col min="8193" max="8193" width="12.140625" style="118" customWidth="1"/>
    <col min="8194" max="8194" width="9.140625" style="118"/>
    <col min="8195" max="8195" width="11.5703125" style="118" bestFit="1" customWidth="1"/>
    <col min="8196" max="8444" width="9.140625" style="118"/>
    <col min="8445" max="8445" width="8.28515625" style="118" customWidth="1"/>
    <col min="8446" max="8446" width="55.7109375" style="118" customWidth="1"/>
    <col min="8447" max="8447" width="10.140625" style="118" bestFit="1" customWidth="1"/>
    <col min="8448" max="8448" width="10.28515625" style="118" bestFit="1" customWidth="1"/>
    <col min="8449" max="8449" width="12.140625" style="118" customWidth="1"/>
    <col min="8450" max="8450" width="9.140625" style="118"/>
    <col min="8451" max="8451" width="11.5703125" style="118" bestFit="1" customWidth="1"/>
    <col min="8452" max="8700" width="9.140625" style="118"/>
    <col min="8701" max="8701" width="8.28515625" style="118" customWidth="1"/>
    <col min="8702" max="8702" width="55.7109375" style="118" customWidth="1"/>
    <col min="8703" max="8703" width="10.140625" style="118" bestFit="1" customWidth="1"/>
    <col min="8704" max="8704" width="10.28515625" style="118" bestFit="1" customWidth="1"/>
    <col min="8705" max="8705" width="12.140625" style="118" customWidth="1"/>
    <col min="8706" max="8706" width="9.140625" style="118"/>
    <col min="8707" max="8707" width="11.5703125" style="118" bestFit="1" customWidth="1"/>
    <col min="8708" max="8956" width="9.140625" style="118"/>
    <col min="8957" max="8957" width="8.28515625" style="118" customWidth="1"/>
    <col min="8958" max="8958" width="55.7109375" style="118" customWidth="1"/>
    <col min="8959" max="8959" width="10.140625" style="118" bestFit="1" customWidth="1"/>
    <col min="8960" max="8960" width="10.28515625" style="118" bestFit="1" customWidth="1"/>
    <col min="8961" max="8961" width="12.140625" style="118" customWidth="1"/>
    <col min="8962" max="8962" width="9.140625" style="118"/>
    <col min="8963" max="8963" width="11.5703125" style="118" bestFit="1" customWidth="1"/>
    <col min="8964" max="9212" width="9.140625" style="118"/>
    <col min="9213" max="9213" width="8.28515625" style="118" customWidth="1"/>
    <col min="9214" max="9214" width="55.7109375" style="118" customWidth="1"/>
    <col min="9215" max="9215" width="10.140625" style="118" bestFit="1" customWidth="1"/>
    <col min="9216" max="9216" width="10.28515625" style="118" bestFit="1" customWidth="1"/>
    <col min="9217" max="9217" width="12.140625" style="118" customWidth="1"/>
    <col min="9218" max="9218" width="9.140625" style="118"/>
    <col min="9219" max="9219" width="11.5703125" style="118" bestFit="1" customWidth="1"/>
    <col min="9220" max="9468" width="9.140625" style="118"/>
    <col min="9469" max="9469" width="8.28515625" style="118" customWidth="1"/>
    <col min="9470" max="9470" width="55.7109375" style="118" customWidth="1"/>
    <col min="9471" max="9471" width="10.140625" style="118" bestFit="1" customWidth="1"/>
    <col min="9472" max="9472" width="10.28515625" style="118" bestFit="1" customWidth="1"/>
    <col min="9473" max="9473" width="12.140625" style="118" customWidth="1"/>
    <col min="9474" max="9474" width="9.140625" style="118"/>
    <col min="9475" max="9475" width="11.5703125" style="118" bestFit="1" customWidth="1"/>
    <col min="9476" max="9724" width="9.140625" style="118"/>
    <col min="9725" max="9725" width="8.28515625" style="118" customWidth="1"/>
    <col min="9726" max="9726" width="55.7109375" style="118" customWidth="1"/>
    <col min="9727" max="9727" width="10.140625" style="118" bestFit="1" customWidth="1"/>
    <col min="9728" max="9728" width="10.28515625" style="118" bestFit="1" customWidth="1"/>
    <col min="9729" max="9729" width="12.140625" style="118" customWidth="1"/>
    <col min="9730" max="9730" width="9.140625" style="118"/>
    <col min="9731" max="9731" width="11.5703125" style="118" bestFit="1" customWidth="1"/>
    <col min="9732" max="9980" width="9.140625" style="118"/>
    <col min="9981" max="9981" width="8.28515625" style="118" customWidth="1"/>
    <col min="9982" max="9982" width="55.7109375" style="118" customWidth="1"/>
    <col min="9983" max="9983" width="10.140625" style="118" bestFit="1" customWidth="1"/>
    <col min="9984" max="9984" width="10.28515625" style="118" bestFit="1" customWidth="1"/>
    <col min="9985" max="9985" width="12.140625" style="118" customWidth="1"/>
    <col min="9986" max="9986" width="9.140625" style="118"/>
    <col min="9987" max="9987" width="11.5703125" style="118" bestFit="1" customWidth="1"/>
    <col min="9988" max="10236" width="9.140625" style="118"/>
    <col min="10237" max="10237" width="8.28515625" style="118" customWidth="1"/>
    <col min="10238" max="10238" width="55.7109375" style="118" customWidth="1"/>
    <col min="10239" max="10239" width="10.140625" style="118" bestFit="1" customWidth="1"/>
    <col min="10240" max="10240" width="10.28515625" style="118" bestFit="1" customWidth="1"/>
    <col min="10241" max="10241" width="12.140625" style="118" customWidth="1"/>
    <col min="10242" max="10242" width="9.140625" style="118"/>
    <col min="10243" max="10243" width="11.5703125" style="118" bestFit="1" customWidth="1"/>
    <col min="10244" max="10492" width="9.140625" style="118"/>
    <col min="10493" max="10493" width="8.28515625" style="118" customWidth="1"/>
    <col min="10494" max="10494" width="55.7109375" style="118" customWidth="1"/>
    <col min="10495" max="10495" width="10.140625" style="118" bestFit="1" customWidth="1"/>
    <col min="10496" max="10496" width="10.28515625" style="118" bestFit="1" customWidth="1"/>
    <col min="10497" max="10497" width="12.140625" style="118" customWidth="1"/>
    <col min="10498" max="10498" width="9.140625" style="118"/>
    <col min="10499" max="10499" width="11.5703125" style="118" bestFit="1" customWidth="1"/>
    <col min="10500" max="10748" width="9.140625" style="118"/>
    <col min="10749" max="10749" width="8.28515625" style="118" customWidth="1"/>
    <col min="10750" max="10750" width="55.7109375" style="118" customWidth="1"/>
    <col min="10751" max="10751" width="10.140625" style="118" bestFit="1" customWidth="1"/>
    <col min="10752" max="10752" width="10.28515625" style="118" bestFit="1" customWidth="1"/>
    <col min="10753" max="10753" width="12.140625" style="118" customWidth="1"/>
    <col min="10754" max="10754" width="9.140625" style="118"/>
    <col min="10755" max="10755" width="11.5703125" style="118" bestFit="1" customWidth="1"/>
    <col min="10756" max="11004" width="9.140625" style="118"/>
    <col min="11005" max="11005" width="8.28515625" style="118" customWidth="1"/>
    <col min="11006" max="11006" width="55.7109375" style="118" customWidth="1"/>
    <col min="11007" max="11007" width="10.140625" style="118" bestFit="1" customWidth="1"/>
    <col min="11008" max="11008" width="10.28515625" style="118" bestFit="1" customWidth="1"/>
    <col min="11009" max="11009" width="12.140625" style="118" customWidth="1"/>
    <col min="11010" max="11010" width="9.140625" style="118"/>
    <col min="11011" max="11011" width="11.5703125" style="118" bestFit="1" customWidth="1"/>
    <col min="11012" max="11260" width="9.140625" style="118"/>
    <col min="11261" max="11261" width="8.28515625" style="118" customWidth="1"/>
    <col min="11262" max="11262" width="55.7109375" style="118" customWidth="1"/>
    <col min="11263" max="11263" width="10.140625" style="118" bestFit="1" customWidth="1"/>
    <col min="11264" max="11264" width="10.28515625" style="118" bestFit="1" customWidth="1"/>
    <col min="11265" max="11265" width="12.140625" style="118" customWidth="1"/>
    <col min="11266" max="11266" width="9.140625" style="118"/>
    <col min="11267" max="11267" width="11.5703125" style="118" bestFit="1" customWidth="1"/>
    <col min="11268" max="11516" width="9.140625" style="118"/>
    <col min="11517" max="11517" width="8.28515625" style="118" customWidth="1"/>
    <col min="11518" max="11518" width="55.7109375" style="118" customWidth="1"/>
    <col min="11519" max="11519" width="10.140625" style="118" bestFit="1" customWidth="1"/>
    <col min="11520" max="11520" width="10.28515625" style="118" bestFit="1" customWidth="1"/>
    <col min="11521" max="11521" width="12.140625" style="118" customWidth="1"/>
    <col min="11522" max="11522" width="9.140625" style="118"/>
    <col min="11523" max="11523" width="11.5703125" style="118" bestFit="1" customWidth="1"/>
    <col min="11524" max="11772" width="9.140625" style="118"/>
    <col min="11773" max="11773" width="8.28515625" style="118" customWidth="1"/>
    <col min="11774" max="11774" width="55.7109375" style="118" customWidth="1"/>
    <col min="11775" max="11775" width="10.140625" style="118" bestFit="1" customWidth="1"/>
    <col min="11776" max="11776" width="10.28515625" style="118" bestFit="1" customWidth="1"/>
    <col min="11777" max="11777" width="12.140625" style="118" customWidth="1"/>
    <col min="11778" max="11778" width="9.140625" style="118"/>
    <col min="11779" max="11779" width="11.5703125" style="118" bestFit="1" customWidth="1"/>
    <col min="11780" max="12028" width="9.140625" style="118"/>
    <col min="12029" max="12029" width="8.28515625" style="118" customWidth="1"/>
    <col min="12030" max="12030" width="55.7109375" style="118" customWidth="1"/>
    <col min="12031" max="12031" width="10.140625" style="118" bestFit="1" customWidth="1"/>
    <col min="12032" max="12032" width="10.28515625" style="118" bestFit="1" customWidth="1"/>
    <col min="12033" max="12033" width="12.140625" style="118" customWidth="1"/>
    <col min="12034" max="12034" width="9.140625" style="118"/>
    <col min="12035" max="12035" width="11.5703125" style="118" bestFit="1" customWidth="1"/>
    <col min="12036" max="12284" width="9.140625" style="118"/>
    <col min="12285" max="12285" width="8.28515625" style="118" customWidth="1"/>
    <col min="12286" max="12286" width="55.7109375" style="118" customWidth="1"/>
    <col min="12287" max="12287" width="10.140625" style="118" bestFit="1" customWidth="1"/>
    <col min="12288" max="12288" width="10.28515625" style="118" bestFit="1" customWidth="1"/>
    <col min="12289" max="12289" width="12.140625" style="118" customWidth="1"/>
    <col min="12290" max="12290" width="9.140625" style="118"/>
    <col min="12291" max="12291" width="11.5703125" style="118" bestFit="1" customWidth="1"/>
    <col min="12292" max="12540" width="9.140625" style="118"/>
    <col min="12541" max="12541" width="8.28515625" style="118" customWidth="1"/>
    <col min="12542" max="12542" width="55.7109375" style="118" customWidth="1"/>
    <col min="12543" max="12543" width="10.140625" style="118" bestFit="1" customWidth="1"/>
    <col min="12544" max="12544" width="10.28515625" style="118" bestFit="1" customWidth="1"/>
    <col min="12545" max="12545" width="12.140625" style="118" customWidth="1"/>
    <col min="12546" max="12546" width="9.140625" style="118"/>
    <col min="12547" max="12547" width="11.5703125" style="118" bestFit="1" customWidth="1"/>
    <col min="12548" max="12796" width="9.140625" style="118"/>
    <col min="12797" max="12797" width="8.28515625" style="118" customWidth="1"/>
    <col min="12798" max="12798" width="55.7109375" style="118" customWidth="1"/>
    <col min="12799" max="12799" width="10.140625" style="118" bestFit="1" customWidth="1"/>
    <col min="12800" max="12800" width="10.28515625" style="118" bestFit="1" customWidth="1"/>
    <col min="12801" max="12801" width="12.140625" style="118" customWidth="1"/>
    <col min="12802" max="12802" width="9.140625" style="118"/>
    <col min="12803" max="12803" width="11.5703125" style="118" bestFit="1" customWidth="1"/>
    <col min="12804" max="13052" width="9.140625" style="118"/>
    <col min="13053" max="13053" width="8.28515625" style="118" customWidth="1"/>
    <col min="13054" max="13054" width="55.7109375" style="118" customWidth="1"/>
    <col min="13055" max="13055" width="10.140625" style="118" bestFit="1" customWidth="1"/>
    <col min="13056" max="13056" width="10.28515625" style="118" bestFit="1" customWidth="1"/>
    <col min="13057" max="13057" width="12.140625" style="118" customWidth="1"/>
    <col min="13058" max="13058" width="9.140625" style="118"/>
    <col min="13059" max="13059" width="11.5703125" style="118" bestFit="1" customWidth="1"/>
    <col min="13060" max="13308" width="9.140625" style="118"/>
    <col min="13309" max="13309" width="8.28515625" style="118" customWidth="1"/>
    <col min="13310" max="13310" width="55.7109375" style="118" customWidth="1"/>
    <col min="13311" max="13311" width="10.140625" style="118" bestFit="1" customWidth="1"/>
    <col min="13312" max="13312" width="10.28515625" style="118" bestFit="1" customWidth="1"/>
    <col min="13313" max="13313" width="12.140625" style="118" customWidth="1"/>
    <col min="13314" max="13314" width="9.140625" style="118"/>
    <col min="13315" max="13315" width="11.5703125" style="118" bestFit="1" customWidth="1"/>
    <col min="13316" max="13564" width="9.140625" style="118"/>
    <col min="13565" max="13565" width="8.28515625" style="118" customWidth="1"/>
    <col min="13566" max="13566" width="55.7109375" style="118" customWidth="1"/>
    <col min="13567" max="13567" width="10.140625" style="118" bestFit="1" customWidth="1"/>
    <col min="13568" max="13568" width="10.28515625" style="118" bestFit="1" customWidth="1"/>
    <col min="13569" max="13569" width="12.140625" style="118" customWidth="1"/>
    <col min="13570" max="13570" width="9.140625" style="118"/>
    <col min="13571" max="13571" width="11.5703125" style="118" bestFit="1" customWidth="1"/>
    <col min="13572" max="13820" width="9.140625" style="118"/>
    <col min="13821" max="13821" width="8.28515625" style="118" customWidth="1"/>
    <col min="13822" max="13822" width="55.7109375" style="118" customWidth="1"/>
    <col min="13823" max="13823" width="10.140625" style="118" bestFit="1" customWidth="1"/>
    <col min="13824" max="13824" width="10.28515625" style="118" bestFit="1" customWidth="1"/>
    <col min="13825" max="13825" width="12.140625" style="118" customWidth="1"/>
    <col min="13826" max="13826" width="9.140625" style="118"/>
    <col min="13827" max="13827" width="11.5703125" style="118" bestFit="1" customWidth="1"/>
    <col min="13828" max="14076" width="9.140625" style="118"/>
    <col min="14077" max="14077" width="8.28515625" style="118" customWidth="1"/>
    <col min="14078" max="14078" width="55.7109375" style="118" customWidth="1"/>
    <col min="14079" max="14079" width="10.140625" style="118" bestFit="1" customWidth="1"/>
    <col min="14080" max="14080" width="10.28515625" style="118" bestFit="1" customWidth="1"/>
    <col min="14081" max="14081" width="12.140625" style="118" customWidth="1"/>
    <col min="14082" max="14082" width="9.140625" style="118"/>
    <col min="14083" max="14083" width="11.5703125" style="118" bestFit="1" customWidth="1"/>
    <col min="14084" max="14332" width="9.140625" style="118"/>
    <col min="14333" max="14333" width="8.28515625" style="118" customWidth="1"/>
    <col min="14334" max="14334" width="55.7109375" style="118" customWidth="1"/>
    <col min="14335" max="14335" width="10.140625" style="118" bestFit="1" customWidth="1"/>
    <col min="14336" max="14336" width="10.28515625" style="118" bestFit="1" customWidth="1"/>
    <col min="14337" max="14337" width="12.140625" style="118" customWidth="1"/>
    <col min="14338" max="14338" width="9.140625" style="118"/>
    <col min="14339" max="14339" width="11.5703125" style="118" bestFit="1" customWidth="1"/>
    <col min="14340" max="14588" width="9.140625" style="118"/>
    <col min="14589" max="14589" width="8.28515625" style="118" customWidth="1"/>
    <col min="14590" max="14590" width="55.7109375" style="118" customWidth="1"/>
    <col min="14591" max="14591" width="10.140625" style="118" bestFit="1" customWidth="1"/>
    <col min="14592" max="14592" width="10.28515625" style="118" bestFit="1" customWidth="1"/>
    <col min="14593" max="14593" width="12.140625" style="118" customWidth="1"/>
    <col min="14594" max="14594" width="9.140625" style="118"/>
    <col min="14595" max="14595" width="11.5703125" style="118" bestFit="1" customWidth="1"/>
    <col min="14596" max="14844" width="9.140625" style="118"/>
    <col min="14845" max="14845" width="8.28515625" style="118" customWidth="1"/>
    <col min="14846" max="14846" width="55.7109375" style="118" customWidth="1"/>
    <col min="14847" max="14847" width="10.140625" style="118" bestFit="1" customWidth="1"/>
    <col min="14848" max="14848" width="10.28515625" style="118" bestFit="1" customWidth="1"/>
    <col min="14849" max="14849" width="12.140625" style="118" customWidth="1"/>
    <col min="14850" max="14850" width="9.140625" style="118"/>
    <col min="14851" max="14851" width="11.5703125" style="118" bestFit="1" customWidth="1"/>
    <col min="14852" max="15100" width="9.140625" style="118"/>
    <col min="15101" max="15101" width="8.28515625" style="118" customWidth="1"/>
    <col min="15102" max="15102" width="55.7109375" style="118" customWidth="1"/>
    <col min="15103" max="15103" width="10.140625" style="118" bestFit="1" customWidth="1"/>
    <col min="15104" max="15104" width="10.28515625" style="118" bestFit="1" customWidth="1"/>
    <col min="15105" max="15105" width="12.140625" style="118" customWidth="1"/>
    <col min="15106" max="15106" width="9.140625" style="118"/>
    <col min="15107" max="15107" width="11.5703125" style="118" bestFit="1" customWidth="1"/>
    <col min="15108" max="15356" width="9.140625" style="118"/>
    <col min="15357" max="15357" width="8.28515625" style="118" customWidth="1"/>
    <col min="15358" max="15358" width="55.7109375" style="118" customWidth="1"/>
    <col min="15359" max="15359" width="10.140625" style="118" bestFit="1" customWidth="1"/>
    <col min="15360" max="15360" width="10.28515625" style="118" bestFit="1" customWidth="1"/>
    <col min="15361" max="15361" width="12.140625" style="118" customWidth="1"/>
    <col min="15362" max="15362" width="9.140625" style="118"/>
    <col min="15363" max="15363" width="11.5703125" style="118" bestFit="1" customWidth="1"/>
    <col min="15364" max="15612" width="9.140625" style="118"/>
    <col min="15613" max="15613" width="8.28515625" style="118" customWidth="1"/>
    <col min="15614" max="15614" width="55.7109375" style="118" customWidth="1"/>
    <col min="15615" max="15615" width="10.140625" style="118" bestFit="1" customWidth="1"/>
    <col min="15616" max="15616" width="10.28515625" style="118" bestFit="1" customWidth="1"/>
    <col min="15617" max="15617" width="12.140625" style="118" customWidth="1"/>
    <col min="15618" max="15618" width="9.140625" style="118"/>
    <col min="15619" max="15619" width="11.5703125" style="118" bestFit="1" customWidth="1"/>
    <col min="15620" max="15868" width="9.140625" style="118"/>
    <col min="15869" max="15869" width="8.28515625" style="118" customWidth="1"/>
    <col min="15870" max="15870" width="55.7109375" style="118" customWidth="1"/>
    <col min="15871" max="15871" width="10.140625" style="118" bestFit="1" customWidth="1"/>
    <col min="15872" max="15872" width="10.28515625" style="118" bestFit="1" customWidth="1"/>
    <col min="15873" max="15873" width="12.140625" style="118" customWidth="1"/>
    <col min="15874" max="15874" width="9.140625" style="118"/>
    <col min="15875" max="15875" width="11.5703125" style="118" bestFit="1" customWidth="1"/>
    <col min="15876" max="16124" width="9.140625" style="118"/>
    <col min="16125" max="16125" width="8.28515625" style="118" customWidth="1"/>
    <col min="16126" max="16126" width="55.7109375" style="118" customWidth="1"/>
    <col min="16127" max="16127" width="10.140625" style="118" bestFit="1" customWidth="1"/>
    <col min="16128" max="16128" width="10.28515625" style="118" bestFit="1" customWidth="1"/>
    <col min="16129" max="16129" width="12.140625" style="118" customWidth="1"/>
    <col min="16130" max="16130" width="9.140625" style="118"/>
    <col min="16131" max="16131" width="11.5703125" style="118" bestFit="1" customWidth="1"/>
    <col min="16132" max="16384" width="9.140625" style="118"/>
  </cols>
  <sheetData>
    <row r="1" spans="1:15" ht="43.5" customHeight="1" x14ac:dyDescent="0.2">
      <c r="A1" s="363" t="s">
        <v>283</v>
      </c>
      <c r="B1" s="364"/>
      <c r="C1" s="364"/>
      <c r="D1" s="364"/>
      <c r="E1" s="364"/>
      <c r="F1" s="364"/>
      <c r="G1" s="364"/>
      <c r="H1" s="365"/>
      <c r="J1" s="363" t="s">
        <v>144</v>
      </c>
      <c r="K1" s="364"/>
      <c r="L1" s="364"/>
      <c r="M1" s="364"/>
      <c r="N1" s="364"/>
      <c r="O1" s="364"/>
    </row>
    <row r="2" spans="1:15" ht="39.75" customHeight="1" thickBot="1" x14ac:dyDescent="0.25">
      <c r="A2" s="123" t="s">
        <v>115</v>
      </c>
      <c r="B2" s="123" t="s">
        <v>116</v>
      </c>
      <c r="C2" s="123" t="s">
        <v>117</v>
      </c>
      <c r="D2" s="123" t="s">
        <v>118</v>
      </c>
      <c r="E2" s="123" t="s">
        <v>141</v>
      </c>
      <c r="F2" s="123" t="s">
        <v>142</v>
      </c>
      <c r="G2" s="123" t="s">
        <v>140</v>
      </c>
      <c r="H2" s="123" t="s">
        <v>119</v>
      </c>
      <c r="J2" s="248" t="s">
        <v>289</v>
      </c>
      <c r="K2" s="249"/>
      <c r="L2" s="250"/>
      <c r="M2" s="176" t="s">
        <v>288</v>
      </c>
      <c r="N2" s="132" t="s">
        <v>365</v>
      </c>
      <c r="O2" s="176" t="s">
        <v>287</v>
      </c>
    </row>
    <row r="3" spans="1:15" ht="28.5" customHeight="1" x14ac:dyDescent="0.2">
      <c r="A3" s="289" t="s">
        <v>144</v>
      </c>
      <c r="B3" s="366" t="s">
        <v>129</v>
      </c>
      <c r="C3" s="367">
        <v>181.03</v>
      </c>
      <c r="D3" s="368">
        <f>O3</f>
        <v>342</v>
      </c>
      <c r="E3" s="369">
        <v>1</v>
      </c>
      <c r="F3" s="370" t="s">
        <v>133</v>
      </c>
      <c r="G3" s="371">
        <f>IF(F3="DIÁRIA",E3+0,IF(F3="SEMANAL",E3/$C$65,IF(F3="MENSAL",E3/$D$65,IF(F3="ANUAL",E3/$E$65,IF(F3="QUINZENAL",E3/12)))))*C3</f>
        <v>181.03</v>
      </c>
      <c r="H3" s="372">
        <f>ROUND(G3/D3,4)</f>
        <v>0.52929999999999999</v>
      </c>
      <c r="J3" s="251" t="s">
        <v>275</v>
      </c>
      <c r="K3" s="252"/>
      <c r="L3" s="253"/>
      <c r="M3" s="120">
        <v>1200</v>
      </c>
      <c r="N3" s="328">
        <v>0.28494000000000003</v>
      </c>
      <c r="O3" s="134">
        <f>ROUND(M3*N3,0)</f>
        <v>342</v>
      </c>
    </row>
    <row r="4" spans="1:15" ht="28.5" customHeight="1" x14ac:dyDescent="0.2">
      <c r="A4" s="290"/>
      <c r="B4" s="373" t="s">
        <v>121</v>
      </c>
      <c r="C4" s="374">
        <v>21.28</v>
      </c>
      <c r="D4" s="375">
        <f t="shared" ref="D4:D11" si="0">O4</f>
        <v>712</v>
      </c>
      <c r="E4" s="177">
        <v>1</v>
      </c>
      <c r="F4" s="120" t="s">
        <v>133</v>
      </c>
      <c r="G4" s="376">
        <f t="shared" ref="G4:G10" si="1">IF(F4="DIÁRIA",E4+0,IF(F4="SEMANAL",E4/$C$65,IF(F4="MENSAL",E4/$D$65,IF(F4="ANUAL",E4/$E$65,IF(F4="QUINZENAL",E4/12)))))*C4</f>
        <v>21.28</v>
      </c>
      <c r="H4" s="376">
        <f t="shared" ref="H4:H11" si="2">ROUND(G4/D4,4)</f>
        <v>2.9899999999999999E-2</v>
      </c>
      <c r="J4" s="251" t="s">
        <v>276</v>
      </c>
      <c r="K4" s="252"/>
      <c r="L4" s="253"/>
      <c r="M4" s="120">
        <v>2500</v>
      </c>
      <c r="N4" s="328">
        <v>0.28494000000000003</v>
      </c>
      <c r="O4" s="134">
        <f t="shared" ref="O4:O11" si="3">ROUND(M4*N4,0)</f>
        <v>712</v>
      </c>
    </row>
    <row r="5" spans="1:15" ht="36" x14ac:dyDescent="0.2">
      <c r="A5" s="290"/>
      <c r="B5" s="373" t="s">
        <v>122</v>
      </c>
      <c r="C5" s="374">
        <v>7.18</v>
      </c>
      <c r="D5" s="375">
        <f t="shared" si="0"/>
        <v>427</v>
      </c>
      <c r="E5" s="177">
        <v>1</v>
      </c>
      <c r="F5" s="120" t="s">
        <v>133</v>
      </c>
      <c r="G5" s="376">
        <f t="shared" si="1"/>
        <v>7.18</v>
      </c>
      <c r="H5" s="376">
        <f t="shared" si="2"/>
        <v>1.6799999999999999E-2</v>
      </c>
      <c r="J5" s="251" t="s">
        <v>277</v>
      </c>
      <c r="K5" s="252"/>
      <c r="L5" s="253"/>
      <c r="M5" s="120">
        <v>1500</v>
      </c>
      <c r="N5" s="328">
        <v>0.28494000000000003</v>
      </c>
      <c r="O5" s="134">
        <f t="shared" si="3"/>
        <v>427</v>
      </c>
    </row>
    <row r="6" spans="1:15" ht="28.5" customHeight="1" x14ac:dyDescent="0.2">
      <c r="A6" s="290"/>
      <c r="B6" s="373" t="s">
        <v>123</v>
      </c>
      <c r="C6" s="374">
        <v>9.91</v>
      </c>
      <c r="D6" s="375">
        <f t="shared" si="0"/>
        <v>85</v>
      </c>
      <c r="E6" s="177">
        <v>1</v>
      </c>
      <c r="F6" s="120" t="s">
        <v>133</v>
      </c>
      <c r="G6" s="376">
        <f t="shared" si="1"/>
        <v>9.91</v>
      </c>
      <c r="H6" s="376">
        <f t="shared" si="2"/>
        <v>0.1166</v>
      </c>
      <c r="J6" s="251" t="s">
        <v>278</v>
      </c>
      <c r="K6" s="252"/>
      <c r="L6" s="253"/>
      <c r="M6" s="120">
        <v>300</v>
      </c>
      <c r="N6" s="328">
        <v>0.28494000000000003</v>
      </c>
      <c r="O6" s="134">
        <f t="shared" si="3"/>
        <v>85</v>
      </c>
    </row>
    <row r="7" spans="1:15" ht="28.5" customHeight="1" x14ac:dyDescent="0.2">
      <c r="A7" s="290"/>
      <c r="B7" s="373" t="s">
        <v>146</v>
      </c>
      <c r="C7" s="374">
        <v>158.77000000000001</v>
      </c>
      <c r="D7" s="375">
        <f t="shared" si="0"/>
        <v>769</v>
      </c>
      <c r="E7" s="177">
        <v>1</v>
      </c>
      <c r="F7" s="120" t="s">
        <v>133</v>
      </c>
      <c r="G7" s="376">
        <f t="shared" si="1"/>
        <v>158.77000000000001</v>
      </c>
      <c r="H7" s="376">
        <f t="shared" si="2"/>
        <v>0.20649999999999999</v>
      </c>
      <c r="J7" s="251" t="s">
        <v>279</v>
      </c>
      <c r="K7" s="252"/>
      <c r="L7" s="253"/>
      <c r="M7" s="120">
        <v>2700</v>
      </c>
      <c r="N7" s="328">
        <v>0.28494000000000003</v>
      </c>
      <c r="O7" s="134">
        <f t="shared" si="3"/>
        <v>769</v>
      </c>
    </row>
    <row r="8" spans="1:15" ht="28.5" customHeight="1" x14ac:dyDescent="0.2">
      <c r="A8" s="290"/>
      <c r="B8" s="373" t="s">
        <v>145</v>
      </c>
      <c r="C8" s="374">
        <v>46.5</v>
      </c>
      <c r="D8" s="375">
        <f t="shared" si="0"/>
        <v>2564</v>
      </c>
      <c r="E8" s="177">
        <v>1</v>
      </c>
      <c r="F8" s="120" t="s">
        <v>133</v>
      </c>
      <c r="G8" s="376">
        <f t="shared" si="1"/>
        <v>46.5</v>
      </c>
      <c r="H8" s="376">
        <f t="shared" si="2"/>
        <v>1.8100000000000002E-2</v>
      </c>
      <c r="J8" s="251" t="s">
        <v>280</v>
      </c>
      <c r="K8" s="252"/>
      <c r="L8" s="253"/>
      <c r="M8" s="120">
        <v>9000</v>
      </c>
      <c r="N8" s="328">
        <v>0.28494000000000003</v>
      </c>
      <c r="O8" s="134">
        <f t="shared" si="3"/>
        <v>2564</v>
      </c>
    </row>
    <row r="9" spans="1:15" ht="28.5" customHeight="1" x14ac:dyDescent="0.2">
      <c r="A9" s="290"/>
      <c r="B9" s="373" t="s">
        <v>147</v>
      </c>
      <c r="C9" s="374">
        <v>3.46</v>
      </c>
      <c r="D9" s="375">
        <f t="shared" si="0"/>
        <v>769</v>
      </c>
      <c r="E9" s="177">
        <v>1</v>
      </c>
      <c r="F9" s="120" t="s">
        <v>133</v>
      </c>
      <c r="G9" s="376">
        <f t="shared" si="1"/>
        <v>3.46</v>
      </c>
      <c r="H9" s="376">
        <f t="shared" si="2"/>
        <v>4.4999999999999997E-3</v>
      </c>
      <c r="J9" s="251" t="s">
        <v>290</v>
      </c>
      <c r="K9" s="252"/>
      <c r="L9" s="253"/>
      <c r="M9" s="120">
        <v>2700</v>
      </c>
      <c r="N9" s="328">
        <v>0.28494000000000003</v>
      </c>
      <c r="O9" s="134">
        <f t="shared" si="3"/>
        <v>769</v>
      </c>
    </row>
    <row r="10" spans="1:15" ht="28.5" customHeight="1" x14ac:dyDescent="0.2">
      <c r="A10" s="290"/>
      <c r="B10" s="373" t="s">
        <v>148</v>
      </c>
      <c r="C10" s="374">
        <v>50.44</v>
      </c>
      <c r="D10" s="375">
        <f t="shared" si="0"/>
        <v>108</v>
      </c>
      <c r="E10" s="177">
        <v>1</v>
      </c>
      <c r="F10" s="120" t="s">
        <v>284</v>
      </c>
      <c r="G10" s="376">
        <f t="shared" si="1"/>
        <v>4.2033333333333331</v>
      </c>
      <c r="H10" s="376">
        <f t="shared" si="2"/>
        <v>3.8899999999999997E-2</v>
      </c>
      <c r="J10" s="251" t="s">
        <v>282</v>
      </c>
      <c r="K10" s="252"/>
      <c r="L10" s="253"/>
      <c r="M10" s="120">
        <v>380</v>
      </c>
      <c r="N10" s="328">
        <v>0.28494000000000003</v>
      </c>
      <c r="O10" s="134">
        <f>ROUND(M10*N10,0)</f>
        <v>108</v>
      </c>
    </row>
    <row r="11" spans="1:15" ht="28.5" customHeight="1" x14ac:dyDescent="0.2">
      <c r="A11" s="290"/>
      <c r="B11" s="373" t="s">
        <v>149</v>
      </c>
      <c r="C11" s="374">
        <v>50.44</v>
      </c>
      <c r="D11" s="377">
        <f t="shared" si="0"/>
        <v>108</v>
      </c>
      <c r="E11" s="177">
        <v>1</v>
      </c>
      <c r="F11" s="120" t="s">
        <v>284</v>
      </c>
      <c r="G11" s="376">
        <f>IF(F11="DIÁRIA",E11+0,IF(F11="SEMANAL",E11/$C$65,IF(F11="MENSAL",E11/$D$65,IF(F11="ANUAL",E11/$E$65,IF(F11="QUINZENAL",E11/12)))))*C11</f>
        <v>4.2033333333333331</v>
      </c>
      <c r="H11" s="378">
        <f t="shared" si="2"/>
        <v>3.8899999999999997E-2</v>
      </c>
      <c r="J11" s="251" t="s">
        <v>281</v>
      </c>
      <c r="K11" s="252"/>
      <c r="L11" s="253"/>
      <c r="M11" s="120">
        <v>380</v>
      </c>
      <c r="N11" s="328">
        <v>0.28494000000000003</v>
      </c>
      <c r="O11" s="134">
        <f t="shared" si="3"/>
        <v>108</v>
      </c>
    </row>
    <row r="12" spans="1:15" ht="28.5" customHeight="1" thickBot="1" x14ac:dyDescent="0.25">
      <c r="A12" s="291"/>
      <c r="B12" s="379" t="s">
        <v>128</v>
      </c>
      <c r="C12" s="380"/>
      <c r="D12" s="380"/>
      <c r="E12" s="380"/>
      <c r="F12" s="380"/>
      <c r="G12" s="381"/>
      <c r="H12" s="382">
        <f>SUM(H3:H11)</f>
        <v>0.99950000000000017</v>
      </c>
      <c r="J12" s="383" t="s">
        <v>150</v>
      </c>
      <c r="K12" s="384"/>
      <c r="L12" s="384"/>
      <c r="M12" s="384"/>
      <c r="N12" s="384"/>
      <c r="O12" s="384"/>
    </row>
    <row r="13" spans="1:15" ht="28.5" customHeight="1" x14ac:dyDescent="0.2">
      <c r="A13" s="276" t="s">
        <v>150</v>
      </c>
      <c r="B13" s="366" t="s">
        <v>129</v>
      </c>
      <c r="C13" s="367">
        <v>269.81</v>
      </c>
      <c r="D13" s="368">
        <f>O13</f>
        <v>531</v>
      </c>
      <c r="E13" s="369">
        <v>1</v>
      </c>
      <c r="F13" s="369" t="s">
        <v>133</v>
      </c>
      <c r="G13" s="385">
        <f t="shared" ref="G13:G59" si="4">IF(F13="DIÁRIA",E13+0,IF(F13="SEMANAL",E13/$C$65,IF(F13="MENSAL",E13/$D$65,IF(F13="ANUAL",E13/$E$65,IF(F13="QUINZENAL",E13/12)))))*C13</f>
        <v>269.81</v>
      </c>
      <c r="H13" s="386">
        <f>G13/D13</f>
        <v>0.50811676082862522</v>
      </c>
      <c r="J13" s="251" t="s">
        <v>275</v>
      </c>
      <c r="K13" s="252"/>
      <c r="L13" s="253"/>
      <c r="M13" s="120">
        <v>1200</v>
      </c>
      <c r="N13" s="328">
        <v>0.44262000000000001</v>
      </c>
      <c r="O13" s="134">
        <f>ROUND(M13*N13,0)</f>
        <v>531</v>
      </c>
    </row>
    <row r="14" spans="1:15" ht="28.5" customHeight="1" x14ac:dyDescent="0.2">
      <c r="A14" s="277"/>
      <c r="B14" s="373" t="s">
        <v>121</v>
      </c>
      <c r="C14" s="374">
        <v>54.16</v>
      </c>
      <c r="D14" s="375">
        <f t="shared" ref="D14:D21" si="5">O14</f>
        <v>1107</v>
      </c>
      <c r="E14" s="387">
        <v>1</v>
      </c>
      <c r="F14" s="177" t="s">
        <v>133</v>
      </c>
      <c r="G14" s="376">
        <f t="shared" si="4"/>
        <v>54.16</v>
      </c>
      <c r="H14" s="388">
        <f t="shared" ref="H14:H21" si="6">G14/D14</f>
        <v>4.8925022583559165E-2</v>
      </c>
      <c r="J14" s="251" t="s">
        <v>276</v>
      </c>
      <c r="K14" s="252"/>
      <c r="L14" s="253"/>
      <c r="M14" s="120">
        <v>2500</v>
      </c>
      <c r="N14" s="328">
        <v>0.44262000000000001</v>
      </c>
      <c r="O14" s="134">
        <f t="shared" ref="O14:O19" si="7">ROUND(M14*N14,0)</f>
        <v>1107</v>
      </c>
    </row>
    <row r="15" spans="1:15" ht="36" x14ac:dyDescent="0.2">
      <c r="A15" s="277"/>
      <c r="B15" s="373" t="s">
        <v>122</v>
      </c>
      <c r="C15" s="374">
        <v>109.96</v>
      </c>
      <c r="D15" s="375">
        <f t="shared" si="5"/>
        <v>664</v>
      </c>
      <c r="E15" s="387">
        <v>1</v>
      </c>
      <c r="F15" s="177" t="s">
        <v>133</v>
      </c>
      <c r="G15" s="376">
        <f t="shared" si="4"/>
        <v>109.96</v>
      </c>
      <c r="H15" s="388">
        <f t="shared" si="6"/>
        <v>0.16560240963855422</v>
      </c>
      <c r="J15" s="251" t="s">
        <v>277</v>
      </c>
      <c r="K15" s="252"/>
      <c r="L15" s="253"/>
      <c r="M15" s="120">
        <v>1500</v>
      </c>
      <c r="N15" s="328">
        <v>0.44262000000000001</v>
      </c>
      <c r="O15" s="134">
        <f t="shared" si="7"/>
        <v>664</v>
      </c>
    </row>
    <row r="16" spans="1:15" ht="28.5" customHeight="1" x14ac:dyDescent="0.2">
      <c r="A16" s="277"/>
      <c r="B16" s="373" t="s">
        <v>123</v>
      </c>
      <c r="C16" s="374">
        <v>14.4</v>
      </c>
      <c r="D16" s="375">
        <f t="shared" si="5"/>
        <v>133</v>
      </c>
      <c r="E16" s="177">
        <v>1</v>
      </c>
      <c r="F16" s="177" t="s">
        <v>133</v>
      </c>
      <c r="G16" s="376">
        <f t="shared" si="4"/>
        <v>14.4</v>
      </c>
      <c r="H16" s="388">
        <f t="shared" si="6"/>
        <v>0.10827067669172932</v>
      </c>
      <c r="J16" s="251" t="s">
        <v>278</v>
      </c>
      <c r="K16" s="252"/>
      <c r="L16" s="253"/>
      <c r="M16" s="120">
        <v>300</v>
      </c>
      <c r="N16" s="328">
        <v>0.44262000000000001</v>
      </c>
      <c r="O16" s="134">
        <f t="shared" si="7"/>
        <v>133</v>
      </c>
    </row>
    <row r="17" spans="1:15" ht="28.5" customHeight="1" x14ac:dyDescent="0.2">
      <c r="A17" s="277"/>
      <c r="B17" s="373" t="s">
        <v>124</v>
      </c>
      <c r="C17" s="374">
        <v>55.58</v>
      </c>
      <c r="D17" s="375">
        <f t="shared" si="5"/>
        <v>1195</v>
      </c>
      <c r="E17" s="387">
        <v>1</v>
      </c>
      <c r="F17" s="177" t="s">
        <v>133</v>
      </c>
      <c r="G17" s="376">
        <f t="shared" si="4"/>
        <v>55.58</v>
      </c>
      <c r="H17" s="388">
        <f t="shared" si="6"/>
        <v>4.6510460251046021E-2</v>
      </c>
      <c r="J17" s="251" t="s">
        <v>279</v>
      </c>
      <c r="K17" s="252"/>
      <c r="L17" s="253"/>
      <c r="M17" s="120">
        <v>2700</v>
      </c>
      <c r="N17" s="328">
        <v>0.44262000000000001</v>
      </c>
      <c r="O17" s="134">
        <f t="shared" si="7"/>
        <v>1195</v>
      </c>
    </row>
    <row r="18" spans="1:15" ht="28.5" customHeight="1" x14ac:dyDescent="0.2">
      <c r="A18" s="277"/>
      <c r="B18" s="373" t="s">
        <v>145</v>
      </c>
      <c r="C18" s="374">
        <v>40.6</v>
      </c>
      <c r="D18" s="375">
        <f t="shared" si="5"/>
        <v>3984</v>
      </c>
      <c r="E18" s="387">
        <v>1</v>
      </c>
      <c r="F18" s="177" t="s">
        <v>133</v>
      </c>
      <c r="G18" s="376">
        <f t="shared" si="4"/>
        <v>40.6</v>
      </c>
      <c r="H18" s="388">
        <f t="shared" si="6"/>
        <v>1.0190763052208836E-2</v>
      </c>
      <c r="J18" s="251" t="s">
        <v>280</v>
      </c>
      <c r="K18" s="252"/>
      <c r="L18" s="253"/>
      <c r="M18" s="120">
        <v>9000</v>
      </c>
      <c r="N18" s="328">
        <v>0.44262000000000001</v>
      </c>
      <c r="O18" s="134">
        <f t="shared" si="7"/>
        <v>3984</v>
      </c>
    </row>
    <row r="19" spans="1:15" ht="28.5" customHeight="1" x14ac:dyDescent="0.2">
      <c r="A19" s="277"/>
      <c r="B19" s="373" t="s">
        <v>125</v>
      </c>
      <c r="C19" s="374">
        <v>62.6</v>
      </c>
      <c r="D19" s="375">
        <f t="shared" si="5"/>
        <v>1195</v>
      </c>
      <c r="E19" s="177">
        <v>1</v>
      </c>
      <c r="F19" s="177" t="s">
        <v>133</v>
      </c>
      <c r="G19" s="376">
        <f t="shared" si="4"/>
        <v>62.6</v>
      </c>
      <c r="H19" s="388">
        <f t="shared" si="6"/>
        <v>5.2384937238493724E-2</v>
      </c>
      <c r="J19" s="251" t="s">
        <v>290</v>
      </c>
      <c r="K19" s="252"/>
      <c r="L19" s="253"/>
      <c r="M19" s="120">
        <v>2700</v>
      </c>
      <c r="N19" s="328">
        <v>0.44262000000000001</v>
      </c>
      <c r="O19" s="134">
        <f t="shared" si="7"/>
        <v>1195</v>
      </c>
    </row>
    <row r="20" spans="1:15" ht="28.5" customHeight="1" x14ac:dyDescent="0.2">
      <c r="A20" s="277"/>
      <c r="B20" s="373" t="s">
        <v>148</v>
      </c>
      <c r="C20" s="374">
        <v>59.47</v>
      </c>
      <c r="D20" s="375">
        <f t="shared" si="5"/>
        <v>168</v>
      </c>
      <c r="E20" s="387">
        <v>1</v>
      </c>
      <c r="F20" s="177" t="s">
        <v>284</v>
      </c>
      <c r="G20" s="376">
        <f t="shared" si="4"/>
        <v>4.9558333333333326</v>
      </c>
      <c r="H20" s="388">
        <f t="shared" si="6"/>
        <v>2.9499007936507931E-2</v>
      </c>
      <c r="J20" s="251" t="s">
        <v>282</v>
      </c>
      <c r="K20" s="252"/>
      <c r="L20" s="253"/>
      <c r="M20" s="120">
        <v>380</v>
      </c>
      <c r="N20" s="328">
        <v>0.44262000000000001</v>
      </c>
      <c r="O20" s="134">
        <f>ROUND(M20*N20,0)</f>
        <v>168</v>
      </c>
    </row>
    <row r="21" spans="1:15" ht="28.5" customHeight="1" x14ac:dyDescent="0.2">
      <c r="A21" s="278"/>
      <c r="B21" s="373" t="s">
        <v>149</v>
      </c>
      <c r="C21" s="389">
        <v>59.47</v>
      </c>
      <c r="D21" s="377">
        <f t="shared" si="5"/>
        <v>168</v>
      </c>
      <c r="E21" s="390">
        <v>1</v>
      </c>
      <c r="F21" s="177" t="s">
        <v>284</v>
      </c>
      <c r="G21" s="376">
        <f t="shared" si="4"/>
        <v>4.9558333333333326</v>
      </c>
      <c r="H21" s="388">
        <f t="shared" si="6"/>
        <v>2.9499007936507931E-2</v>
      </c>
      <c r="J21" s="251" t="s">
        <v>281</v>
      </c>
      <c r="K21" s="252"/>
      <c r="L21" s="253"/>
      <c r="M21" s="120">
        <v>380</v>
      </c>
      <c r="N21" s="328">
        <v>0.44262000000000001</v>
      </c>
      <c r="O21" s="134">
        <f t="shared" ref="O21" si="8">ROUND(M21*N21,0)</f>
        <v>168</v>
      </c>
    </row>
    <row r="22" spans="1:15" ht="28.5" customHeight="1" thickBot="1" x14ac:dyDescent="0.25">
      <c r="A22" s="279"/>
      <c r="B22" s="379"/>
      <c r="C22" s="380"/>
      <c r="D22" s="380"/>
      <c r="E22" s="380"/>
      <c r="F22" s="380"/>
      <c r="G22" s="381"/>
      <c r="H22" s="391">
        <f>SUM(H13:H21)</f>
        <v>0.99899904615723223</v>
      </c>
      <c r="J22" s="363" t="s">
        <v>151</v>
      </c>
      <c r="K22" s="364"/>
      <c r="L22" s="364"/>
      <c r="M22" s="364"/>
      <c r="N22" s="364"/>
      <c r="O22" s="364"/>
    </row>
    <row r="23" spans="1:15" ht="28.5" customHeight="1" x14ac:dyDescent="0.2">
      <c r="A23" s="283" t="s">
        <v>151</v>
      </c>
      <c r="B23" s="366" t="s">
        <v>129</v>
      </c>
      <c r="C23" s="367">
        <v>223.85</v>
      </c>
      <c r="D23" s="368">
        <f>O23</f>
        <v>433</v>
      </c>
      <c r="E23" s="392">
        <v>1</v>
      </c>
      <c r="F23" s="369" t="s">
        <v>133</v>
      </c>
      <c r="G23" s="385">
        <f t="shared" si="4"/>
        <v>223.85</v>
      </c>
      <c r="H23" s="386">
        <f>G23/D23</f>
        <v>0.51697459584295613</v>
      </c>
      <c r="J23" s="251" t="s">
        <v>275</v>
      </c>
      <c r="K23" s="252"/>
      <c r="L23" s="253"/>
      <c r="M23" s="120">
        <v>1200</v>
      </c>
      <c r="N23" s="328">
        <v>0.36064000000000002</v>
      </c>
      <c r="O23" s="134">
        <f>ROUND(M23*N23,0)</f>
        <v>433</v>
      </c>
    </row>
    <row r="24" spans="1:15" ht="28.5" customHeight="1" x14ac:dyDescent="0.2">
      <c r="A24" s="284"/>
      <c r="B24" s="373" t="s">
        <v>121</v>
      </c>
      <c r="C24" s="374">
        <v>43.6</v>
      </c>
      <c r="D24" s="375">
        <f t="shared" ref="D24:D31" si="9">O24</f>
        <v>902</v>
      </c>
      <c r="E24" s="390">
        <v>1</v>
      </c>
      <c r="F24" s="177" t="s">
        <v>133</v>
      </c>
      <c r="G24" s="376">
        <f t="shared" si="4"/>
        <v>43.6</v>
      </c>
      <c r="H24" s="378">
        <f t="shared" ref="H24:H31" si="10">G24/D24</f>
        <v>4.8337028824833705E-2</v>
      </c>
      <c r="J24" s="251" t="s">
        <v>276</v>
      </c>
      <c r="K24" s="252"/>
      <c r="L24" s="253"/>
      <c r="M24" s="120">
        <v>2500</v>
      </c>
      <c r="N24" s="328">
        <v>0.36064000000000002</v>
      </c>
      <c r="O24" s="134">
        <f t="shared" ref="O24:O29" si="11">ROUND(M24*N24,0)</f>
        <v>902</v>
      </c>
    </row>
    <row r="25" spans="1:15" ht="28.5" customHeight="1" x14ac:dyDescent="0.2">
      <c r="A25" s="284"/>
      <c r="B25" s="373" t="s">
        <v>122</v>
      </c>
      <c r="C25" s="374"/>
      <c r="D25" s="375">
        <f t="shared" si="9"/>
        <v>541</v>
      </c>
      <c r="E25" s="390">
        <v>1</v>
      </c>
      <c r="F25" s="177" t="s">
        <v>133</v>
      </c>
      <c r="G25" s="376">
        <f t="shared" si="4"/>
        <v>0</v>
      </c>
      <c r="H25" s="378">
        <f t="shared" si="10"/>
        <v>0</v>
      </c>
      <c r="J25" s="251" t="s">
        <v>277</v>
      </c>
      <c r="K25" s="252"/>
      <c r="L25" s="253"/>
      <c r="M25" s="120">
        <v>1500</v>
      </c>
      <c r="N25" s="328">
        <v>0.36064000000000002</v>
      </c>
      <c r="O25" s="134">
        <f t="shared" si="11"/>
        <v>541</v>
      </c>
    </row>
    <row r="26" spans="1:15" ht="28.5" customHeight="1" x14ac:dyDescent="0.2">
      <c r="A26" s="284"/>
      <c r="B26" s="373" t="s">
        <v>123</v>
      </c>
      <c r="C26" s="374">
        <v>19.190000000000001</v>
      </c>
      <c r="D26" s="375">
        <f t="shared" si="9"/>
        <v>108</v>
      </c>
      <c r="E26" s="390">
        <v>1</v>
      </c>
      <c r="F26" s="177" t="s">
        <v>133</v>
      </c>
      <c r="G26" s="376">
        <f t="shared" si="4"/>
        <v>19.190000000000001</v>
      </c>
      <c r="H26" s="378">
        <f t="shared" si="10"/>
        <v>0.1776851851851852</v>
      </c>
      <c r="J26" s="251" t="s">
        <v>278</v>
      </c>
      <c r="K26" s="252"/>
      <c r="L26" s="253"/>
      <c r="M26" s="120">
        <v>300</v>
      </c>
      <c r="N26" s="328">
        <v>0.36064000000000002</v>
      </c>
      <c r="O26" s="134">
        <f t="shared" si="11"/>
        <v>108</v>
      </c>
    </row>
    <row r="27" spans="1:15" ht="28.5" customHeight="1" x14ac:dyDescent="0.2">
      <c r="A27" s="284"/>
      <c r="B27" s="373" t="s">
        <v>124</v>
      </c>
      <c r="C27" s="374">
        <v>13.19</v>
      </c>
      <c r="D27" s="375">
        <f t="shared" si="9"/>
        <v>974</v>
      </c>
      <c r="E27" s="390">
        <v>1</v>
      </c>
      <c r="F27" s="177" t="s">
        <v>133</v>
      </c>
      <c r="G27" s="376">
        <f t="shared" si="4"/>
        <v>13.19</v>
      </c>
      <c r="H27" s="378">
        <f t="shared" si="10"/>
        <v>1.3542094455852156E-2</v>
      </c>
      <c r="J27" s="251" t="s">
        <v>279</v>
      </c>
      <c r="K27" s="252"/>
      <c r="L27" s="253"/>
      <c r="M27" s="120">
        <v>2700</v>
      </c>
      <c r="N27" s="328">
        <v>0.36064000000000002</v>
      </c>
      <c r="O27" s="134">
        <f t="shared" si="11"/>
        <v>974</v>
      </c>
    </row>
    <row r="28" spans="1:15" ht="28.5" customHeight="1" x14ac:dyDescent="0.2">
      <c r="A28" s="284"/>
      <c r="B28" s="373" t="s">
        <v>145</v>
      </c>
      <c r="C28" s="374">
        <v>177.06</v>
      </c>
      <c r="D28" s="375">
        <f t="shared" si="9"/>
        <v>3246</v>
      </c>
      <c r="E28" s="390">
        <v>1</v>
      </c>
      <c r="F28" s="177" t="s">
        <v>133</v>
      </c>
      <c r="G28" s="376">
        <f t="shared" si="4"/>
        <v>177.06</v>
      </c>
      <c r="H28" s="378">
        <f t="shared" si="10"/>
        <v>5.454713493530499E-2</v>
      </c>
      <c r="J28" s="251" t="s">
        <v>280</v>
      </c>
      <c r="K28" s="252"/>
      <c r="L28" s="253"/>
      <c r="M28" s="120">
        <v>9000</v>
      </c>
      <c r="N28" s="328">
        <v>0.36064000000000002</v>
      </c>
      <c r="O28" s="134">
        <f t="shared" si="11"/>
        <v>3246</v>
      </c>
    </row>
    <row r="29" spans="1:15" ht="28.5" customHeight="1" x14ac:dyDescent="0.2">
      <c r="A29" s="284"/>
      <c r="B29" s="373" t="s">
        <v>125</v>
      </c>
      <c r="C29" s="374">
        <v>146</v>
      </c>
      <c r="D29" s="375">
        <f t="shared" si="9"/>
        <v>974</v>
      </c>
      <c r="E29" s="390">
        <v>1</v>
      </c>
      <c r="F29" s="177" t="s">
        <v>133</v>
      </c>
      <c r="G29" s="376">
        <f t="shared" si="4"/>
        <v>146</v>
      </c>
      <c r="H29" s="378">
        <f t="shared" si="10"/>
        <v>0.14989733059548255</v>
      </c>
      <c r="J29" s="251" t="s">
        <v>290</v>
      </c>
      <c r="K29" s="252"/>
      <c r="L29" s="253"/>
      <c r="M29" s="120">
        <v>2700</v>
      </c>
      <c r="N29" s="328">
        <v>0.36064000000000002</v>
      </c>
      <c r="O29" s="134">
        <f t="shared" si="11"/>
        <v>974</v>
      </c>
    </row>
    <row r="30" spans="1:15" ht="28.5" customHeight="1" x14ac:dyDescent="0.2">
      <c r="A30" s="284"/>
      <c r="B30" s="373" t="s">
        <v>148</v>
      </c>
      <c r="C30" s="374">
        <v>31.53</v>
      </c>
      <c r="D30" s="375">
        <f t="shared" si="9"/>
        <v>137</v>
      </c>
      <c r="E30" s="390">
        <v>1</v>
      </c>
      <c r="F30" s="177" t="s">
        <v>284</v>
      </c>
      <c r="G30" s="376">
        <f t="shared" si="4"/>
        <v>2.6274999999999999</v>
      </c>
      <c r="H30" s="378">
        <f t="shared" si="10"/>
        <v>1.9178832116788322E-2</v>
      </c>
      <c r="J30" s="251" t="s">
        <v>282</v>
      </c>
      <c r="K30" s="252"/>
      <c r="L30" s="253"/>
      <c r="M30" s="120">
        <v>380</v>
      </c>
      <c r="N30" s="328">
        <v>0.36064000000000002</v>
      </c>
      <c r="O30" s="134">
        <f>ROUND(M30*N30,0)</f>
        <v>137</v>
      </c>
    </row>
    <row r="31" spans="1:15" ht="28.5" customHeight="1" x14ac:dyDescent="0.2">
      <c r="A31" s="284"/>
      <c r="B31" s="373" t="s">
        <v>149</v>
      </c>
      <c r="C31" s="374">
        <v>31.53</v>
      </c>
      <c r="D31" s="377">
        <f t="shared" si="9"/>
        <v>137</v>
      </c>
      <c r="E31" s="390">
        <v>1</v>
      </c>
      <c r="F31" s="177" t="s">
        <v>284</v>
      </c>
      <c r="G31" s="376">
        <f t="shared" si="4"/>
        <v>2.6274999999999999</v>
      </c>
      <c r="H31" s="378">
        <f t="shared" si="10"/>
        <v>1.9178832116788322E-2</v>
      </c>
      <c r="J31" s="251" t="s">
        <v>281</v>
      </c>
      <c r="K31" s="252"/>
      <c r="L31" s="253"/>
      <c r="M31" s="120">
        <v>380</v>
      </c>
      <c r="N31" s="328">
        <v>0.36064000000000002</v>
      </c>
      <c r="O31" s="134">
        <f t="shared" ref="O31" si="12">ROUND(M31*N31,0)</f>
        <v>137</v>
      </c>
    </row>
    <row r="32" spans="1:15" ht="28.5" customHeight="1" thickBot="1" x14ac:dyDescent="0.25">
      <c r="A32" s="285"/>
      <c r="B32" s="379" t="s">
        <v>128</v>
      </c>
      <c r="C32" s="380"/>
      <c r="D32" s="380"/>
      <c r="E32" s="380"/>
      <c r="F32" s="380"/>
      <c r="G32" s="381"/>
      <c r="H32" s="382">
        <f>SUM(H23:H31)</f>
        <v>0.99934103407319119</v>
      </c>
    </row>
    <row r="33" spans="1:14" ht="28.5" customHeight="1" x14ac:dyDescent="0.2">
      <c r="A33" s="286" t="s">
        <v>152</v>
      </c>
      <c r="B33" s="366" t="s">
        <v>129</v>
      </c>
      <c r="C33" s="367">
        <v>272.54000000000002</v>
      </c>
      <c r="D33" s="393">
        <v>1200</v>
      </c>
      <c r="E33" s="392">
        <v>1</v>
      </c>
      <c r="F33" s="369" t="s">
        <v>133</v>
      </c>
      <c r="G33" s="385">
        <f t="shared" si="4"/>
        <v>272.54000000000002</v>
      </c>
      <c r="H33" s="386">
        <f>G33/D33</f>
        <v>0.22711666666666669</v>
      </c>
      <c r="J33" s="394" t="s">
        <v>354</v>
      </c>
      <c r="K33" s="395"/>
      <c r="L33" s="395"/>
      <c r="M33" s="395"/>
      <c r="N33" s="396"/>
    </row>
    <row r="34" spans="1:14" ht="37.5" customHeight="1" x14ac:dyDescent="0.2">
      <c r="A34" s="287"/>
      <c r="B34" s="397" t="s">
        <v>121</v>
      </c>
      <c r="C34" s="398">
        <v>388.55</v>
      </c>
      <c r="D34" s="399">
        <v>2500</v>
      </c>
      <c r="E34" s="400">
        <v>1</v>
      </c>
      <c r="F34" s="401" t="s">
        <v>133</v>
      </c>
      <c r="G34" s="376">
        <f t="shared" si="4"/>
        <v>388.55</v>
      </c>
      <c r="H34" s="378">
        <f t="shared" ref="H34:H39" si="13">G34/D34</f>
        <v>0.15542</v>
      </c>
      <c r="J34" s="402" t="s">
        <v>362</v>
      </c>
      <c r="K34" s="403"/>
      <c r="L34" s="403"/>
      <c r="M34" s="403"/>
      <c r="N34" s="404"/>
    </row>
    <row r="35" spans="1:14" ht="28.5" customHeight="1" x14ac:dyDescent="0.2">
      <c r="A35" s="287"/>
      <c r="B35" s="397" t="s">
        <v>122</v>
      </c>
      <c r="C35" s="398">
        <v>64.67</v>
      </c>
      <c r="D35" s="399">
        <v>1500</v>
      </c>
      <c r="E35" s="400">
        <v>1</v>
      </c>
      <c r="F35" s="401" t="s">
        <v>133</v>
      </c>
      <c r="G35" s="376">
        <f t="shared" si="4"/>
        <v>64.67</v>
      </c>
      <c r="H35" s="378">
        <f t="shared" si="13"/>
        <v>4.3113333333333337E-2</v>
      </c>
      <c r="J35" s="405" t="s">
        <v>355</v>
      </c>
      <c r="K35" s="406"/>
      <c r="L35" s="406"/>
      <c r="M35" s="407"/>
      <c r="N35" s="408">
        <v>1</v>
      </c>
    </row>
    <row r="36" spans="1:14" ht="28.5" customHeight="1" x14ac:dyDescent="0.2">
      <c r="A36" s="287"/>
      <c r="B36" s="397" t="s">
        <v>123</v>
      </c>
      <c r="C36" s="398">
        <v>21.27</v>
      </c>
      <c r="D36" s="399">
        <v>300</v>
      </c>
      <c r="E36" s="400">
        <v>1</v>
      </c>
      <c r="F36" s="401" t="s">
        <v>133</v>
      </c>
      <c r="G36" s="376">
        <f t="shared" si="4"/>
        <v>21.27</v>
      </c>
      <c r="H36" s="378">
        <f t="shared" si="13"/>
        <v>7.0900000000000005E-2</v>
      </c>
      <c r="J36" s="405" t="s">
        <v>356</v>
      </c>
      <c r="K36" s="406"/>
      <c r="L36" s="406"/>
      <c r="M36" s="407"/>
      <c r="N36" s="408">
        <v>1</v>
      </c>
    </row>
    <row r="37" spans="1:14" ht="28.5" customHeight="1" x14ac:dyDescent="0.2">
      <c r="A37" s="287"/>
      <c r="B37" s="397" t="s">
        <v>124</v>
      </c>
      <c r="C37" s="398">
        <v>13.4</v>
      </c>
      <c r="D37" s="399">
        <v>2700</v>
      </c>
      <c r="E37" s="400">
        <v>1</v>
      </c>
      <c r="F37" s="401" t="s">
        <v>133</v>
      </c>
      <c r="G37" s="376">
        <f t="shared" si="4"/>
        <v>13.4</v>
      </c>
      <c r="H37" s="378">
        <f t="shared" si="13"/>
        <v>4.9629629629629633E-3</v>
      </c>
      <c r="J37" s="405" t="s">
        <v>357</v>
      </c>
      <c r="K37" s="406"/>
      <c r="L37" s="406"/>
      <c r="M37" s="407"/>
      <c r="N37" s="408">
        <v>1</v>
      </c>
    </row>
    <row r="38" spans="1:14" ht="28.5" customHeight="1" x14ac:dyDescent="0.2">
      <c r="A38" s="287"/>
      <c r="B38" s="397" t="s">
        <v>145</v>
      </c>
      <c r="C38" s="398">
        <v>6344.82</v>
      </c>
      <c r="D38" s="399">
        <v>9000</v>
      </c>
      <c r="E38" s="401">
        <v>2</v>
      </c>
      <c r="F38" s="401" t="s">
        <v>134</v>
      </c>
      <c r="G38" s="376">
        <f t="shared" si="4"/>
        <v>2114.9399999999996</v>
      </c>
      <c r="H38" s="378">
        <f t="shared" si="13"/>
        <v>0.23499333333333328</v>
      </c>
      <c r="J38" s="405" t="s">
        <v>152</v>
      </c>
      <c r="K38" s="406"/>
      <c r="L38" s="406"/>
      <c r="M38" s="407"/>
      <c r="N38" s="408">
        <v>1</v>
      </c>
    </row>
    <row r="39" spans="1:14" ht="28.5" customHeight="1" x14ac:dyDescent="0.2">
      <c r="A39" s="287"/>
      <c r="B39" s="397" t="s">
        <v>125</v>
      </c>
      <c r="C39" s="398">
        <v>1489.1</v>
      </c>
      <c r="D39" s="399">
        <v>2700</v>
      </c>
      <c r="E39" s="409">
        <v>1</v>
      </c>
      <c r="F39" s="409" t="s">
        <v>134</v>
      </c>
      <c r="G39" s="376">
        <f t="shared" si="4"/>
        <v>248.18333333333331</v>
      </c>
      <c r="H39" s="378">
        <f t="shared" si="13"/>
        <v>9.1919753086419739E-2</v>
      </c>
      <c r="J39" s="405" t="s">
        <v>153</v>
      </c>
      <c r="K39" s="406"/>
      <c r="L39" s="406"/>
      <c r="M39" s="407"/>
      <c r="N39" s="408">
        <v>1</v>
      </c>
    </row>
    <row r="40" spans="1:14" ht="28.5" customHeight="1" x14ac:dyDescent="0.2">
      <c r="A40" s="287"/>
      <c r="B40" s="397" t="s">
        <v>148</v>
      </c>
      <c r="C40" s="398">
        <v>147.59</v>
      </c>
      <c r="D40" s="399">
        <v>380</v>
      </c>
      <c r="E40" s="409">
        <v>1</v>
      </c>
      <c r="F40" s="409" t="s">
        <v>284</v>
      </c>
      <c r="G40" s="376">
        <f t="shared" si="4"/>
        <v>12.299166666666666</v>
      </c>
      <c r="H40" s="378">
        <f>G40/D40</f>
        <v>3.2366228070175439E-2</v>
      </c>
      <c r="J40" s="405" t="s">
        <v>358</v>
      </c>
      <c r="K40" s="406"/>
      <c r="L40" s="406"/>
      <c r="M40" s="407"/>
      <c r="N40" s="408">
        <v>1</v>
      </c>
    </row>
    <row r="41" spans="1:14" ht="28.5" customHeight="1" x14ac:dyDescent="0.2">
      <c r="A41" s="287"/>
      <c r="B41" s="397" t="s">
        <v>154</v>
      </c>
      <c r="C41" s="398">
        <v>147.59</v>
      </c>
      <c r="D41" s="410">
        <v>160</v>
      </c>
      <c r="E41" s="409">
        <v>1</v>
      </c>
      <c r="F41" s="409" t="s">
        <v>284</v>
      </c>
      <c r="G41" s="376">
        <f t="shared" si="4"/>
        <v>12.299166666666666</v>
      </c>
      <c r="H41" s="378">
        <f>G41/D41</f>
        <v>7.6869791666666659E-2</v>
      </c>
    </row>
    <row r="42" spans="1:14" ht="28.5" customHeight="1" thickBot="1" x14ac:dyDescent="0.25">
      <c r="A42" s="288"/>
      <c r="B42" s="411" t="s">
        <v>128</v>
      </c>
      <c r="C42" s="412"/>
      <c r="D42" s="412"/>
      <c r="E42" s="412"/>
      <c r="F42" s="412"/>
      <c r="G42" s="413"/>
      <c r="H42" s="391">
        <f>SUM(H33:H41)</f>
        <v>0.93766206911955807</v>
      </c>
      <c r="J42" s="275" t="s">
        <v>366</v>
      </c>
      <c r="K42" s="275"/>
      <c r="L42" s="275"/>
      <c r="M42" s="275"/>
      <c r="N42" s="275"/>
    </row>
    <row r="43" spans="1:14" ht="28.5" customHeight="1" x14ac:dyDescent="0.2">
      <c r="A43" s="283" t="s">
        <v>153</v>
      </c>
      <c r="B43" s="414" t="s">
        <v>129</v>
      </c>
      <c r="C43" s="415">
        <v>426.74</v>
      </c>
      <c r="D43" s="416">
        <v>1200</v>
      </c>
      <c r="E43" s="417">
        <v>1</v>
      </c>
      <c r="F43" s="417" t="s">
        <v>133</v>
      </c>
      <c r="G43" s="385">
        <f t="shared" si="4"/>
        <v>426.74</v>
      </c>
      <c r="H43" s="386">
        <f>G43/D43</f>
        <v>0.35561666666666669</v>
      </c>
      <c r="J43" s="251" t="s">
        <v>275</v>
      </c>
      <c r="K43" s="252"/>
      <c r="L43" s="253"/>
      <c r="M43" s="120">
        <v>800</v>
      </c>
      <c r="N43" s="120">
        <v>1200</v>
      </c>
    </row>
    <row r="44" spans="1:14" ht="28.5" customHeight="1" x14ac:dyDescent="0.2">
      <c r="A44" s="284"/>
      <c r="B44" s="397" t="s">
        <v>123</v>
      </c>
      <c r="C44" s="398">
        <v>325.04000000000002</v>
      </c>
      <c r="D44" s="399">
        <v>300</v>
      </c>
      <c r="E44" s="401">
        <v>1</v>
      </c>
      <c r="F44" s="401" t="s">
        <v>134</v>
      </c>
      <c r="G44" s="376">
        <f t="shared" si="4"/>
        <v>54.173333333333332</v>
      </c>
      <c r="H44" s="388">
        <f>G44/D44</f>
        <v>0.18057777777777778</v>
      </c>
      <c r="J44" s="251" t="s">
        <v>276</v>
      </c>
      <c r="K44" s="252"/>
      <c r="L44" s="253"/>
      <c r="M44" s="120">
        <v>1500</v>
      </c>
      <c r="N44" s="120">
        <v>2500</v>
      </c>
    </row>
    <row r="45" spans="1:14" ht="28.5" customHeight="1" x14ac:dyDescent="0.2">
      <c r="A45" s="284"/>
      <c r="B45" s="397" t="s">
        <v>124</v>
      </c>
      <c r="C45" s="398">
        <v>2246.0300000000002</v>
      </c>
      <c r="D45" s="399">
        <v>2700</v>
      </c>
      <c r="E45" s="401">
        <v>1</v>
      </c>
      <c r="F45" s="401" t="s">
        <v>134</v>
      </c>
      <c r="G45" s="376">
        <f t="shared" si="4"/>
        <v>374.33833333333337</v>
      </c>
      <c r="H45" s="388">
        <f t="shared" ref="H45:H50" si="14">G45/D45</f>
        <v>0.13864382716049384</v>
      </c>
      <c r="J45" s="251" t="s">
        <v>367</v>
      </c>
      <c r="K45" s="252"/>
      <c r="L45" s="253"/>
      <c r="M45" s="120">
        <v>1200</v>
      </c>
      <c r="N45" s="120">
        <v>1800</v>
      </c>
    </row>
    <row r="46" spans="1:14" ht="28.5" customHeight="1" x14ac:dyDescent="0.2">
      <c r="A46" s="284"/>
      <c r="B46" s="397" t="s">
        <v>145</v>
      </c>
      <c r="C46" s="398">
        <v>8847.1200000000008</v>
      </c>
      <c r="D46" s="399">
        <v>9000</v>
      </c>
      <c r="E46" s="401">
        <v>1</v>
      </c>
      <c r="F46" s="401" t="s">
        <v>134</v>
      </c>
      <c r="G46" s="376">
        <f t="shared" si="4"/>
        <v>1474.52</v>
      </c>
      <c r="H46" s="388">
        <f t="shared" si="14"/>
        <v>0.16383555555555554</v>
      </c>
      <c r="J46" s="251" t="s">
        <v>277</v>
      </c>
      <c r="K46" s="252"/>
      <c r="L46" s="253"/>
      <c r="M46" s="120">
        <v>1000</v>
      </c>
      <c r="N46" s="120">
        <v>1500</v>
      </c>
    </row>
    <row r="47" spans="1:14" ht="28.5" customHeight="1" x14ac:dyDescent="0.2">
      <c r="A47" s="284"/>
      <c r="B47" s="397" t="s">
        <v>125</v>
      </c>
      <c r="C47" s="398">
        <v>3683.08</v>
      </c>
      <c r="D47" s="399">
        <v>2700</v>
      </c>
      <c r="E47" s="409">
        <v>1</v>
      </c>
      <c r="F47" s="409" t="s">
        <v>284</v>
      </c>
      <c r="G47" s="376">
        <f t="shared" si="4"/>
        <v>306.92333333333329</v>
      </c>
      <c r="H47" s="388">
        <f t="shared" si="14"/>
        <v>0.1136753086419753</v>
      </c>
      <c r="J47" s="251" t="s">
        <v>278</v>
      </c>
      <c r="K47" s="252"/>
      <c r="L47" s="253"/>
      <c r="M47" s="120">
        <v>200</v>
      </c>
      <c r="N47" s="120">
        <v>300</v>
      </c>
    </row>
    <row r="48" spans="1:14" ht="28.5" customHeight="1" x14ac:dyDescent="0.2">
      <c r="A48" s="284"/>
      <c r="B48" s="397" t="s">
        <v>155</v>
      </c>
      <c r="C48" s="398">
        <v>6052.53</v>
      </c>
      <c r="D48" s="399">
        <v>2700</v>
      </c>
      <c r="E48" s="409">
        <v>1</v>
      </c>
      <c r="F48" s="409" t="s">
        <v>135</v>
      </c>
      <c r="G48" s="376">
        <f t="shared" si="4"/>
        <v>275.11500000000001</v>
      </c>
      <c r="H48" s="388">
        <f t="shared" si="14"/>
        <v>0.10189444444444445</v>
      </c>
      <c r="J48" s="251" t="s">
        <v>279</v>
      </c>
      <c r="K48" s="252"/>
      <c r="L48" s="253"/>
      <c r="M48" s="120">
        <v>1800</v>
      </c>
      <c r="N48" s="120">
        <v>2700</v>
      </c>
    </row>
    <row r="49" spans="1:14" ht="28.5" customHeight="1" x14ac:dyDescent="0.2">
      <c r="A49" s="284"/>
      <c r="B49" s="397" t="s">
        <v>148</v>
      </c>
      <c r="C49" s="398">
        <v>66.5</v>
      </c>
      <c r="D49" s="399">
        <v>380</v>
      </c>
      <c r="E49" s="409">
        <v>1</v>
      </c>
      <c r="F49" s="409" t="s">
        <v>284</v>
      </c>
      <c r="G49" s="376">
        <f t="shared" si="4"/>
        <v>5.5416666666666661</v>
      </c>
      <c r="H49" s="388">
        <f t="shared" si="14"/>
        <v>1.4583333333333332E-2</v>
      </c>
      <c r="J49" s="251" t="s">
        <v>280</v>
      </c>
      <c r="K49" s="252"/>
      <c r="L49" s="253"/>
      <c r="M49" s="120">
        <v>6000</v>
      </c>
      <c r="N49" s="120">
        <v>9000</v>
      </c>
    </row>
    <row r="50" spans="1:14" ht="28.5" customHeight="1" x14ac:dyDescent="0.2">
      <c r="A50" s="284"/>
      <c r="B50" s="397" t="s">
        <v>149</v>
      </c>
      <c r="C50" s="398">
        <v>66.5</v>
      </c>
      <c r="D50" s="410">
        <v>160</v>
      </c>
      <c r="E50" s="409">
        <v>1</v>
      </c>
      <c r="F50" s="409" t="s">
        <v>284</v>
      </c>
      <c r="G50" s="376">
        <f t="shared" si="4"/>
        <v>5.5416666666666661</v>
      </c>
      <c r="H50" s="388">
        <f t="shared" si="14"/>
        <v>3.4635416666666662E-2</v>
      </c>
      <c r="J50" s="251" t="s">
        <v>368</v>
      </c>
      <c r="K50" s="252"/>
      <c r="L50" s="253"/>
      <c r="M50" s="120">
        <v>1800</v>
      </c>
      <c r="N50" s="120">
        <v>2700</v>
      </c>
    </row>
    <row r="51" spans="1:14" ht="28.5" customHeight="1" thickBot="1" x14ac:dyDescent="0.25">
      <c r="A51" s="285"/>
      <c r="B51" s="379" t="s">
        <v>128</v>
      </c>
      <c r="C51" s="380"/>
      <c r="D51" s="380"/>
      <c r="E51" s="380"/>
      <c r="F51" s="380"/>
      <c r="G51" s="381"/>
      <c r="H51" s="382">
        <f>SUM(H43:H50)</f>
        <v>1.1034623302469135</v>
      </c>
      <c r="J51" s="251" t="s">
        <v>369</v>
      </c>
      <c r="K51" s="252"/>
      <c r="L51" s="253"/>
      <c r="M51" s="120">
        <v>1800</v>
      </c>
      <c r="N51" s="120">
        <v>2700</v>
      </c>
    </row>
    <row r="52" spans="1:14" ht="28.5" customHeight="1" x14ac:dyDescent="0.2">
      <c r="A52" s="280" t="s">
        <v>143</v>
      </c>
      <c r="B52" s="366" t="s">
        <v>120</v>
      </c>
      <c r="C52" s="367">
        <v>159.36000000000001</v>
      </c>
      <c r="D52" s="393">
        <v>1200</v>
      </c>
      <c r="E52" s="369">
        <v>1</v>
      </c>
      <c r="F52" s="369" t="s">
        <v>133</v>
      </c>
      <c r="G52" s="385">
        <f t="shared" si="4"/>
        <v>159.36000000000001</v>
      </c>
      <c r="H52" s="386">
        <f t="shared" ref="H52:H56" si="15">G52/D52</f>
        <v>0.1328</v>
      </c>
      <c r="J52" s="251" t="s">
        <v>370</v>
      </c>
      <c r="K52" s="252"/>
      <c r="L52" s="253"/>
      <c r="M52" s="120">
        <v>1800</v>
      </c>
      <c r="N52" s="120">
        <v>2700</v>
      </c>
    </row>
    <row r="53" spans="1:14" ht="28.5" customHeight="1" x14ac:dyDescent="0.2">
      <c r="A53" s="281"/>
      <c r="B53" s="373" t="s">
        <v>121</v>
      </c>
      <c r="C53" s="374"/>
      <c r="D53" s="120">
        <v>1500</v>
      </c>
      <c r="E53" s="177">
        <v>1</v>
      </c>
      <c r="F53" s="177" t="s">
        <v>133</v>
      </c>
      <c r="G53" s="376">
        <f t="shared" si="4"/>
        <v>0</v>
      </c>
      <c r="H53" s="388">
        <f t="shared" si="15"/>
        <v>0</v>
      </c>
      <c r="J53" s="251" t="s">
        <v>371</v>
      </c>
      <c r="K53" s="252"/>
      <c r="L53" s="253"/>
      <c r="M53" s="120">
        <v>100000</v>
      </c>
      <c r="N53" s="120">
        <v>100000</v>
      </c>
    </row>
    <row r="54" spans="1:14" ht="28.5" customHeight="1" x14ac:dyDescent="0.2">
      <c r="A54" s="281"/>
      <c r="B54" s="373" t="s">
        <v>122</v>
      </c>
      <c r="C54" s="374"/>
      <c r="D54" s="120">
        <v>1000</v>
      </c>
      <c r="E54" s="177">
        <v>1</v>
      </c>
      <c r="F54" s="177" t="s">
        <v>133</v>
      </c>
      <c r="G54" s="376">
        <f t="shared" si="4"/>
        <v>0</v>
      </c>
      <c r="H54" s="388">
        <f t="shared" si="15"/>
        <v>0</v>
      </c>
      <c r="J54" s="251" t="s">
        <v>372</v>
      </c>
      <c r="K54" s="252"/>
      <c r="L54" s="253"/>
      <c r="M54" s="120">
        <v>130</v>
      </c>
      <c r="N54" s="120">
        <v>160</v>
      </c>
    </row>
    <row r="55" spans="1:14" ht="28.5" customHeight="1" x14ac:dyDescent="0.2">
      <c r="A55" s="281"/>
      <c r="B55" s="373" t="s">
        <v>123</v>
      </c>
      <c r="C55" s="374">
        <v>8.48</v>
      </c>
      <c r="D55" s="120">
        <v>300</v>
      </c>
      <c r="E55" s="177">
        <v>1</v>
      </c>
      <c r="F55" s="177" t="s">
        <v>133</v>
      </c>
      <c r="G55" s="376">
        <f t="shared" si="4"/>
        <v>8.48</v>
      </c>
      <c r="H55" s="388">
        <f t="shared" si="15"/>
        <v>2.8266666666666669E-2</v>
      </c>
      <c r="J55" s="251" t="s">
        <v>281</v>
      </c>
      <c r="K55" s="252"/>
      <c r="L55" s="253"/>
      <c r="M55" s="120">
        <v>300</v>
      </c>
      <c r="N55" s="120">
        <v>380</v>
      </c>
    </row>
    <row r="56" spans="1:14" ht="28.5" customHeight="1" x14ac:dyDescent="0.2">
      <c r="A56" s="281"/>
      <c r="B56" s="373" t="s">
        <v>124</v>
      </c>
      <c r="C56" s="374"/>
      <c r="D56" s="120">
        <v>1800</v>
      </c>
      <c r="E56" s="177">
        <v>1</v>
      </c>
      <c r="F56" s="177" t="s">
        <v>133</v>
      </c>
      <c r="G56" s="376">
        <f t="shared" si="4"/>
        <v>0</v>
      </c>
      <c r="H56" s="388">
        <f t="shared" si="15"/>
        <v>0</v>
      </c>
      <c r="J56" s="251" t="s">
        <v>282</v>
      </c>
      <c r="K56" s="252"/>
      <c r="L56" s="253"/>
      <c r="M56" s="120">
        <v>300</v>
      </c>
      <c r="N56" s="120">
        <v>380</v>
      </c>
    </row>
    <row r="57" spans="1:14" ht="28.5" customHeight="1" x14ac:dyDescent="0.2">
      <c r="A57" s="281"/>
      <c r="B57" s="373" t="s">
        <v>125</v>
      </c>
      <c r="C57" s="374">
        <v>8954.69</v>
      </c>
      <c r="D57" s="120">
        <v>2700</v>
      </c>
      <c r="E57" s="177">
        <v>6</v>
      </c>
      <c r="F57" s="418" t="s">
        <v>135</v>
      </c>
      <c r="G57" s="376">
        <f t="shared" si="4"/>
        <v>2442.1881818181819</v>
      </c>
      <c r="H57" s="388">
        <f>G57/D57</f>
        <v>0.90451414141414144</v>
      </c>
      <c r="J57" s="251" t="s">
        <v>373</v>
      </c>
      <c r="K57" s="252"/>
      <c r="L57" s="253"/>
      <c r="M57" s="120">
        <v>130</v>
      </c>
      <c r="N57" s="120">
        <v>160</v>
      </c>
    </row>
    <row r="58" spans="1:14" ht="28.5" customHeight="1" x14ac:dyDescent="0.2">
      <c r="A58" s="281"/>
      <c r="B58" s="373" t="s">
        <v>126</v>
      </c>
      <c r="C58" s="374"/>
      <c r="D58" s="120">
        <v>300</v>
      </c>
      <c r="E58" s="177">
        <v>1</v>
      </c>
      <c r="F58" s="177" t="s">
        <v>284</v>
      </c>
      <c r="G58" s="376">
        <f t="shared" si="4"/>
        <v>0</v>
      </c>
      <c r="H58" s="388">
        <f>G58/D58</f>
        <v>0</v>
      </c>
    </row>
    <row r="59" spans="1:14" ht="28.5" customHeight="1" x14ac:dyDescent="0.2">
      <c r="A59" s="281"/>
      <c r="B59" s="373" t="s">
        <v>127</v>
      </c>
      <c r="C59" s="374"/>
      <c r="D59" s="120">
        <v>160</v>
      </c>
      <c r="E59" s="177">
        <v>1</v>
      </c>
      <c r="F59" s="177" t="s">
        <v>284</v>
      </c>
      <c r="G59" s="376">
        <f t="shared" si="4"/>
        <v>0</v>
      </c>
      <c r="H59" s="388">
        <f t="shared" ref="H59" si="16">G59/D59</f>
        <v>0</v>
      </c>
      <c r="J59" s="248" t="s">
        <v>374</v>
      </c>
      <c r="K59" s="249"/>
      <c r="L59" s="250"/>
      <c r="M59" s="248" t="s">
        <v>375</v>
      </c>
      <c r="N59" s="250"/>
    </row>
    <row r="60" spans="1:14" ht="28.5" customHeight="1" thickBot="1" x14ac:dyDescent="0.25">
      <c r="A60" s="282"/>
      <c r="B60" s="379" t="s">
        <v>128</v>
      </c>
      <c r="C60" s="380"/>
      <c r="D60" s="380"/>
      <c r="E60" s="380"/>
      <c r="F60" s="380"/>
      <c r="G60" s="381"/>
      <c r="H60" s="391">
        <f>SUM(H52:H59)</f>
        <v>1.065580808080808</v>
      </c>
      <c r="J60" s="251" t="s">
        <v>376</v>
      </c>
      <c r="K60" s="252"/>
      <c r="L60" s="253"/>
      <c r="M60" s="419" t="s">
        <v>377</v>
      </c>
      <c r="N60" s="420"/>
    </row>
    <row r="61" spans="1:14" ht="28.5" customHeight="1" thickBot="1" x14ac:dyDescent="0.25">
      <c r="A61" s="421" t="s">
        <v>130</v>
      </c>
      <c r="B61" s="422"/>
      <c r="C61" s="422"/>
      <c r="D61" s="422"/>
      <c r="E61" s="422"/>
      <c r="F61" s="422"/>
      <c r="G61" s="422"/>
      <c r="H61" s="423">
        <f>H60+H12+H22+H32+H42+H51</f>
        <v>6.1045452876777029</v>
      </c>
      <c r="J61" s="251" t="s">
        <v>378</v>
      </c>
      <c r="K61" s="252"/>
      <c r="L61" s="253"/>
      <c r="M61" s="419" t="s">
        <v>379</v>
      </c>
      <c r="N61" s="420"/>
    </row>
    <row r="62" spans="1:14" ht="27" customHeight="1" x14ac:dyDescent="0.2">
      <c r="B62" s="424"/>
      <c r="C62" s="335"/>
      <c r="D62" s="335"/>
      <c r="E62" s="335"/>
      <c r="F62" s="335"/>
      <c r="G62" s="335"/>
      <c r="H62" s="335"/>
      <c r="J62" s="251" t="s">
        <v>380</v>
      </c>
      <c r="K62" s="252"/>
      <c r="L62" s="253"/>
      <c r="M62" s="419" t="s">
        <v>379</v>
      </c>
      <c r="N62" s="420"/>
    </row>
    <row r="63" spans="1:14" x14ac:dyDescent="0.2">
      <c r="A63" s="119"/>
      <c r="B63" s="425"/>
      <c r="C63" s="119"/>
      <c r="D63" s="426"/>
      <c r="E63" s="426"/>
      <c r="F63" s="426"/>
      <c r="G63" s="426"/>
      <c r="H63" s="426"/>
    </row>
    <row r="64" spans="1:14" ht="23.25" customHeight="1" x14ac:dyDescent="0.2">
      <c r="B64" s="176"/>
      <c r="C64" s="176" t="s">
        <v>136</v>
      </c>
      <c r="D64" s="176" t="s">
        <v>137</v>
      </c>
      <c r="E64" s="176" t="s">
        <v>138</v>
      </c>
      <c r="F64" s="176" t="s">
        <v>285</v>
      </c>
    </row>
    <row r="65" spans="2:6" ht="23.25" customHeight="1" x14ac:dyDescent="0.2">
      <c r="B65" s="176" t="s">
        <v>139</v>
      </c>
      <c r="C65" s="176">
        <v>6</v>
      </c>
      <c r="D65" s="176">
        <v>22</v>
      </c>
      <c r="E65" s="176">
        <v>264</v>
      </c>
      <c r="F65" s="176">
        <v>12</v>
      </c>
    </row>
    <row r="67" spans="2:6" ht="45" customHeight="1" x14ac:dyDescent="0.2">
      <c r="B67" s="428" t="s">
        <v>384</v>
      </c>
      <c r="C67" s="428"/>
      <c r="D67" s="428"/>
      <c r="E67" s="428"/>
    </row>
    <row r="68" spans="2:6" ht="20.25" customHeight="1" x14ac:dyDescent="0.2">
      <c r="B68" s="428"/>
      <c r="C68" s="428"/>
      <c r="D68" s="428"/>
      <c r="E68" s="428"/>
    </row>
    <row r="69" spans="2:6" ht="20.25" customHeight="1" x14ac:dyDescent="0.2">
      <c r="B69" s="428"/>
      <c r="C69" s="428"/>
      <c r="D69" s="428"/>
      <c r="E69" s="428"/>
    </row>
    <row r="70" spans="2:6" ht="20.25" customHeight="1" x14ac:dyDescent="0.2">
      <c r="B70" s="428"/>
      <c r="C70" s="428"/>
      <c r="D70" s="428"/>
      <c r="E70" s="428"/>
    </row>
    <row r="71" spans="2:6" ht="20.25" customHeight="1" x14ac:dyDescent="0.2">
      <c r="B71" s="428" t="s">
        <v>286</v>
      </c>
      <c r="C71" s="428"/>
      <c r="D71" s="428"/>
      <c r="E71" s="428"/>
    </row>
    <row r="72" spans="2:6" ht="20.25" customHeight="1" x14ac:dyDescent="0.2">
      <c r="B72" s="428"/>
      <c r="C72" s="428"/>
      <c r="D72" s="428"/>
      <c r="E72" s="428"/>
    </row>
    <row r="73" spans="2:6" ht="20.25" customHeight="1" x14ac:dyDescent="0.2">
      <c r="B73" s="428"/>
      <c r="C73" s="428"/>
      <c r="D73" s="428"/>
      <c r="E73" s="428"/>
    </row>
    <row r="74" spans="2:6" ht="20.25" customHeight="1" x14ac:dyDescent="0.2">
      <c r="B74" s="428"/>
      <c r="C74" s="428"/>
      <c r="D74" s="428"/>
      <c r="E74" s="428"/>
    </row>
    <row r="75" spans="2:6" ht="20.25" customHeight="1" x14ac:dyDescent="0.2">
      <c r="B75" s="428"/>
      <c r="C75" s="428"/>
      <c r="D75" s="428"/>
      <c r="E75" s="428"/>
    </row>
    <row r="76" spans="2:6" ht="45" customHeight="1" x14ac:dyDescent="0.2">
      <c r="B76" s="428"/>
      <c r="C76" s="428"/>
      <c r="D76" s="428"/>
      <c r="E76" s="428"/>
    </row>
    <row r="77" spans="2:6" ht="30" customHeight="1" x14ac:dyDescent="0.2"/>
  </sheetData>
  <mergeCells count="79">
    <mergeCell ref="J61:L61"/>
    <mergeCell ref="J62:L62"/>
    <mergeCell ref="M60:N60"/>
    <mergeCell ref="M61:N61"/>
    <mergeCell ref="M62:N62"/>
    <mergeCell ref="J38:M38"/>
    <mergeCell ref="J33:N33"/>
    <mergeCell ref="J59:L59"/>
    <mergeCell ref="M59:N59"/>
    <mergeCell ref="J60:L60"/>
    <mergeCell ref="J30:L30"/>
    <mergeCell ref="J31:L31"/>
    <mergeCell ref="J35:M35"/>
    <mergeCell ref="J36:M36"/>
    <mergeCell ref="J37:M37"/>
    <mergeCell ref="J2:L2"/>
    <mergeCell ref="J11:L11"/>
    <mergeCell ref="J10:L10"/>
    <mergeCell ref="B67:E70"/>
    <mergeCell ref="J1:O1"/>
    <mergeCell ref="J12:O12"/>
    <mergeCell ref="A1:H1"/>
    <mergeCell ref="A3:A12"/>
    <mergeCell ref="J3:L3"/>
    <mergeCell ref="J4:L4"/>
    <mergeCell ref="J5:L5"/>
    <mergeCell ref="J6:L6"/>
    <mergeCell ref="J7:L7"/>
    <mergeCell ref="J8:L8"/>
    <mergeCell ref="J9:L9"/>
    <mergeCell ref="B12:G12"/>
    <mergeCell ref="J25:L25"/>
    <mergeCell ref="J26:L26"/>
    <mergeCell ref="J27:L27"/>
    <mergeCell ref="A52:A60"/>
    <mergeCell ref="A61:G61"/>
    <mergeCell ref="A23:A32"/>
    <mergeCell ref="A33:A42"/>
    <mergeCell ref="A43:A51"/>
    <mergeCell ref="B60:G60"/>
    <mergeCell ref="B51:G51"/>
    <mergeCell ref="B42:G42"/>
    <mergeCell ref="B32:G32"/>
    <mergeCell ref="J39:M39"/>
    <mergeCell ref="J40:M40"/>
    <mergeCell ref="J28:L28"/>
    <mergeCell ref="J29:L29"/>
    <mergeCell ref="J45:L45"/>
    <mergeCell ref="J46:L46"/>
    <mergeCell ref="A13:A22"/>
    <mergeCell ref="J15:L15"/>
    <mergeCell ref="J16:L16"/>
    <mergeCell ref="J17:L17"/>
    <mergeCell ref="J13:L13"/>
    <mergeCell ref="J14:L14"/>
    <mergeCell ref="J18:L18"/>
    <mergeCell ref="J19:L19"/>
    <mergeCell ref="J20:L20"/>
    <mergeCell ref="J21:L21"/>
    <mergeCell ref="J22:O22"/>
    <mergeCell ref="B22:G22"/>
    <mergeCell ref="J23:L23"/>
    <mergeCell ref="J24:L24"/>
    <mergeCell ref="J57:L57"/>
    <mergeCell ref="B71:E76"/>
    <mergeCell ref="J34:N34"/>
    <mergeCell ref="J52:L52"/>
    <mergeCell ref="J53:L53"/>
    <mergeCell ref="J54:L54"/>
    <mergeCell ref="J55:L55"/>
    <mergeCell ref="J56:L56"/>
    <mergeCell ref="J47:L47"/>
    <mergeCell ref="J48:L48"/>
    <mergeCell ref="J49:L49"/>
    <mergeCell ref="J50:L50"/>
    <mergeCell ref="J51:L51"/>
    <mergeCell ref="J42:N42"/>
    <mergeCell ref="J43:L43"/>
    <mergeCell ref="J44:L44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2E2B-4A11-4283-9605-72AAC18D756D}">
  <dimension ref="A2:T117"/>
  <sheetViews>
    <sheetView showGridLines="0" showWhiteSpace="0" view="pageLayout" topLeftCell="A57" zoomScaleNormal="100" workbookViewId="0">
      <selection activeCell="A53" sqref="A53:Q53"/>
    </sheetView>
  </sheetViews>
  <sheetFormatPr defaultColWidth="10.140625" defaultRowHeight="20.100000000000001" customHeight="1" x14ac:dyDescent="0.2"/>
  <cols>
    <col min="1" max="1" width="5.28515625" style="78" bestFit="1" customWidth="1"/>
    <col min="2" max="2" width="32.42578125" style="78" customWidth="1"/>
    <col min="3" max="3" width="13.42578125" style="78" customWidth="1"/>
    <col min="4" max="7" width="6.7109375" style="78" customWidth="1"/>
    <col min="8" max="9" width="8.140625" style="78" customWidth="1"/>
    <col min="10" max="10" width="14.28515625" style="78" customWidth="1"/>
    <col min="11" max="13" width="16.140625" style="78" customWidth="1"/>
    <col min="14" max="15" width="13.28515625" style="78" bestFit="1" customWidth="1"/>
    <col min="16" max="16" width="13.7109375" style="78" bestFit="1" customWidth="1"/>
    <col min="17" max="17" width="13.28515625" style="78" bestFit="1" customWidth="1"/>
    <col min="18" max="18" width="14.28515625" style="78" customWidth="1"/>
    <col min="19" max="19" width="14.5703125" style="78" customWidth="1"/>
    <col min="20" max="20" width="13.42578125" style="78" customWidth="1"/>
    <col min="21" max="23" width="10.140625" style="78"/>
    <col min="24" max="24" width="12.85546875" style="78" customWidth="1"/>
    <col min="25" max="25" width="13.28515625" style="78" customWidth="1"/>
    <col min="26" max="16384" width="10.140625" style="78"/>
  </cols>
  <sheetData>
    <row r="2" spans="1:17" ht="20.100000000000001" customHeight="1" x14ac:dyDescent="0.2">
      <c r="A2" s="292" t="s">
        <v>173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1:17" ht="9.9499999999999993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/>
      <c r="N3" s="80"/>
      <c r="O3" s="80"/>
      <c r="P3" s="80"/>
      <c r="Q3" s="80"/>
    </row>
    <row r="4" spans="1:17" ht="20.100000000000001" customHeight="1" x14ac:dyDescent="0.2">
      <c r="D4" s="292" t="s">
        <v>177</v>
      </c>
      <c r="E4" s="292"/>
      <c r="F4" s="292"/>
      <c r="G4" s="292"/>
      <c r="H4" s="292"/>
      <c r="I4" s="292"/>
      <c r="K4" s="293" t="s">
        <v>178</v>
      </c>
      <c r="L4" s="294" t="s">
        <v>179</v>
      </c>
      <c r="M4" s="294"/>
      <c r="N4" s="294"/>
      <c r="O4" s="294"/>
      <c r="P4" s="294"/>
      <c r="Q4" s="294"/>
    </row>
    <row r="5" spans="1:17" ht="30" customHeight="1" x14ac:dyDescent="0.2">
      <c r="A5" s="165" t="s">
        <v>174</v>
      </c>
      <c r="B5" s="165" t="s">
        <v>175</v>
      </c>
      <c r="C5" s="166" t="s">
        <v>176</v>
      </c>
      <c r="D5" s="168" t="s">
        <v>180</v>
      </c>
      <c r="E5" s="168" t="s">
        <v>181</v>
      </c>
      <c r="F5" s="168" t="s">
        <v>182</v>
      </c>
      <c r="G5" s="168" t="s">
        <v>183</v>
      </c>
      <c r="H5" s="168" t="s">
        <v>184</v>
      </c>
      <c r="I5" s="168" t="s">
        <v>185</v>
      </c>
      <c r="J5" s="167" t="s">
        <v>353</v>
      </c>
      <c r="K5" s="293"/>
      <c r="L5" s="76" t="s">
        <v>180</v>
      </c>
      <c r="M5" s="76" t="s">
        <v>181</v>
      </c>
      <c r="N5" s="76" t="s">
        <v>182</v>
      </c>
      <c r="O5" s="76" t="s">
        <v>183</v>
      </c>
      <c r="P5" s="76" t="s">
        <v>184</v>
      </c>
      <c r="Q5" s="76" t="s">
        <v>185</v>
      </c>
    </row>
    <row r="6" spans="1:17" ht="20.100000000000001" customHeight="1" x14ac:dyDescent="0.2">
      <c r="A6" s="81">
        <v>1</v>
      </c>
      <c r="B6" s="82" t="s">
        <v>186</v>
      </c>
      <c r="C6" s="83" t="s">
        <v>187</v>
      </c>
      <c r="D6" s="84">
        <v>15</v>
      </c>
      <c r="E6" s="84">
        <v>15</v>
      </c>
      <c r="F6" s="84">
        <v>15</v>
      </c>
      <c r="G6" s="84">
        <v>30</v>
      </c>
      <c r="H6" s="84">
        <v>25</v>
      </c>
      <c r="I6" s="84">
        <v>15</v>
      </c>
      <c r="J6" s="85">
        <f t="shared" ref="J6:J44" si="0">SUM(D6:I6)</f>
        <v>115</v>
      </c>
      <c r="K6" s="86">
        <v>7.98</v>
      </c>
      <c r="L6" s="87">
        <f>ROUND(K6*D6,2)</f>
        <v>119.7</v>
      </c>
      <c r="M6" s="87">
        <f t="shared" ref="M6:M44" si="1">ROUND(K6*E6,2)</f>
        <v>119.7</v>
      </c>
      <c r="N6" s="87">
        <f t="shared" ref="N6:N44" si="2">ROUND(K6*F6,2)</f>
        <v>119.7</v>
      </c>
      <c r="O6" s="87">
        <f t="shared" ref="O6:O44" si="3">ROUND(K6*G6,2)</f>
        <v>239.4</v>
      </c>
      <c r="P6" s="87">
        <f t="shared" ref="P6:P44" si="4">ROUND(K6*H6,2)</f>
        <v>199.5</v>
      </c>
      <c r="Q6" s="87">
        <f t="shared" ref="Q6:Q44" si="5">ROUND(K6*I6,2)</f>
        <v>119.7</v>
      </c>
    </row>
    <row r="7" spans="1:17" ht="20.100000000000001" customHeight="1" x14ac:dyDescent="0.2">
      <c r="A7" s="81">
        <v>2</v>
      </c>
      <c r="B7" s="82" t="s">
        <v>188</v>
      </c>
      <c r="C7" s="83" t="s">
        <v>189</v>
      </c>
      <c r="D7" s="88">
        <v>30</v>
      </c>
      <c r="E7" s="88">
        <v>30</v>
      </c>
      <c r="F7" s="88">
        <v>30</v>
      </c>
      <c r="G7" s="88">
        <v>55</v>
      </c>
      <c r="H7" s="88">
        <v>55</v>
      </c>
      <c r="I7" s="88">
        <v>30</v>
      </c>
      <c r="J7" s="89">
        <f t="shared" si="0"/>
        <v>230</v>
      </c>
      <c r="K7" s="90">
        <v>5.92</v>
      </c>
      <c r="L7" s="91">
        <f t="shared" ref="L7:L44" si="6">ROUND(K7*D7,2)</f>
        <v>177.6</v>
      </c>
      <c r="M7" s="91">
        <f t="shared" si="1"/>
        <v>177.6</v>
      </c>
      <c r="N7" s="91">
        <f t="shared" si="2"/>
        <v>177.6</v>
      </c>
      <c r="O7" s="91">
        <f t="shared" si="3"/>
        <v>325.60000000000002</v>
      </c>
      <c r="P7" s="91">
        <f t="shared" si="4"/>
        <v>325.60000000000002</v>
      </c>
      <c r="Q7" s="91">
        <f t="shared" si="5"/>
        <v>177.6</v>
      </c>
    </row>
    <row r="8" spans="1:17" ht="20.100000000000001" customHeight="1" x14ac:dyDescent="0.2">
      <c r="A8" s="81">
        <v>3</v>
      </c>
      <c r="B8" s="82" t="s">
        <v>190</v>
      </c>
      <c r="C8" s="83" t="s">
        <v>187</v>
      </c>
      <c r="D8" s="88">
        <v>5</v>
      </c>
      <c r="E8" s="88">
        <v>5</v>
      </c>
      <c r="F8" s="88">
        <v>5</v>
      </c>
      <c r="G8" s="88">
        <v>10</v>
      </c>
      <c r="H8" s="88">
        <v>10</v>
      </c>
      <c r="I8" s="88">
        <v>5</v>
      </c>
      <c r="J8" s="89">
        <f t="shared" si="0"/>
        <v>40</v>
      </c>
      <c r="K8" s="90">
        <v>30.824999999999999</v>
      </c>
      <c r="L8" s="91">
        <f t="shared" si="6"/>
        <v>154.13</v>
      </c>
      <c r="M8" s="91">
        <f t="shared" si="1"/>
        <v>154.13</v>
      </c>
      <c r="N8" s="91">
        <f t="shared" si="2"/>
        <v>154.13</v>
      </c>
      <c r="O8" s="91">
        <f t="shared" si="3"/>
        <v>308.25</v>
      </c>
      <c r="P8" s="91">
        <f t="shared" si="4"/>
        <v>308.25</v>
      </c>
      <c r="Q8" s="91">
        <f t="shared" si="5"/>
        <v>154.13</v>
      </c>
    </row>
    <row r="9" spans="1:17" ht="20.100000000000001" customHeight="1" x14ac:dyDescent="0.2">
      <c r="A9" s="81">
        <v>4</v>
      </c>
      <c r="B9" s="82" t="s">
        <v>191</v>
      </c>
      <c r="C9" s="83" t="s">
        <v>192</v>
      </c>
      <c r="D9" s="88">
        <v>20</v>
      </c>
      <c r="E9" s="88">
        <v>20</v>
      </c>
      <c r="F9" s="88">
        <v>20</v>
      </c>
      <c r="G9" s="88">
        <v>20</v>
      </c>
      <c r="H9" s="88">
        <v>20</v>
      </c>
      <c r="I9" s="88">
        <v>10</v>
      </c>
      <c r="J9" s="89">
        <f t="shared" si="0"/>
        <v>110</v>
      </c>
      <c r="K9" s="90">
        <v>10.73</v>
      </c>
      <c r="L9" s="91">
        <f t="shared" si="6"/>
        <v>214.6</v>
      </c>
      <c r="M9" s="91">
        <f t="shared" si="1"/>
        <v>214.6</v>
      </c>
      <c r="N9" s="91">
        <f t="shared" si="2"/>
        <v>214.6</v>
      </c>
      <c r="O9" s="91">
        <f t="shared" si="3"/>
        <v>214.6</v>
      </c>
      <c r="P9" s="91">
        <f t="shared" si="4"/>
        <v>214.6</v>
      </c>
      <c r="Q9" s="91">
        <f t="shared" si="5"/>
        <v>107.3</v>
      </c>
    </row>
    <row r="10" spans="1:17" ht="20.100000000000001" customHeight="1" x14ac:dyDescent="0.2">
      <c r="A10" s="81">
        <v>5</v>
      </c>
      <c r="B10" s="82" t="s">
        <v>193</v>
      </c>
      <c r="C10" s="83" t="s">
        <v>176</v>
      </c>
      <c r="D10" s="88">
        <v>2</v>
      </c>
      <c r="E10" s="88">
        <v>2</v>
      </c>
      <c r="F10" s="88">
        <v>2</v>
      </c>
      <c r="G10" s="88">
        <v>4</v>
      </c>
      <c r="H10" s="88">
        <v>4</v>
      </c>
      <c r="I10" s="88">
        <v>2</v>
      </c>
      <c r="J10" s="89">
        <f t="shared" si="0"/>
        <v>16</v>
      </c>
      <c r="K10" s="90">
        <v>12.15</v>
      </c>
      <c r="L10" s="91">
        <f t="shared" si="6"/>
        <v>24.3</v>
      </c>
      <c r="M10" s="91">
        <f t="shared" si="1"/>
        <v>24.3</v>
      </c>
      <c r="N10" s="91">
        <f t="shared" si="2"/>
        <v>24.3</v>
      </c>
      <c r="O10" s="91">
        <f t="shared" si="3"/>
        <v>48.6</v>
      </c>
      <c r="P10" s="91">
        <f t="shared" si="4"/>
        <v>48.6</v>
      </c>
      <c r="Q10" s="91">
        <f t="shared" si="5"/>
        <v>24.3</v>
      </c>
    </row>
    <row r="11" spans="1:17" ht="20.100000000000001" customHeight="1" x14ac:dyDescent="0.2">
      <c r="A11" s="81">
        <v>6</v>
      </c>
      <c r="B11" s="82" t="s">
        <v>194</v>
      </c>
      <c r="C11" s="83" t="s">
        <v>176</v>
      </c>
      <c r="D11" s="88">
        <v>2</v>
      </c>
      <c r="E11" s="88">
        <v>2</v>
      </c>
      <c r="F11" s="88">
        <v>2</v>
      </c>
      <c r="G11" s="88">
        <v>6</v>
      </c>
      <c r="H11" s="88">
        <v>6</v>
      </c>
      <c r="I11" s="88">
        <v>3</v>
      </c>
      <c r="J11" s="89">
        <f t="shared" si="0"/>
        <v>21</v>
      </c>
      <c r="K11" s="90">
        <v>26.65</v>
      </c>
      <c r="L11" s="91">
        <f t="shared" si="6"/>
        <v>53.3</v>
      </c>
      <c r="M11" s="91">
        <f t="shared" si="1"/>
        <v>53.3</v>
      </c>
      <c r="N11" s="91">
        <f t="shared" si="2"/>
        <v>53.3</v>
      </c>
      <c r="O11" s="91">
        <f t="shared" si="3"/>
        <v>159.9</v>
      </c>
      <c r="P11" s="91">
        <f t="shared" si="4"/>
        <v>159.9</v>
      </c>
      <c r="Q11" s="91">
        <f t="shared" si="5"/>
        <v>79.95</v>
      </c>
    </row>
    <row r="12" spans="1:17" ht="20.100000000000001" customHeight="1" x14ac:dyDescent="0.2">
      <c r="A12" s="81">
        <v>7</v>
      </c>
      <c r="B12" s="82" t="s">
        <v>195</v>
      </c>
      <c r="C12" s="83" t="s">
        <v>187</v>
      </c>
      <c r="D12" s="88">
        <v>20</v>
      </c>
      <c r="E12" s="88">
        <v>35</v>
      </c>
      <c r="F12" s="88">
        <v>20</v>
      </c>
      <c r="G12" s="88">
        <v>35</v>
      </c>
      <c r="H12" s="88">
        <v>35</v>
      </c>
      <c r="I12" s="88">
        <v>20</v>
      </c>
      <c r="J12" s="89">
        <f t="shared" si="0"/>
        <v>165</v>
      </c>
      <c r="K12" s="90">
        <v>47.375</v>
      </c>
      <c r="L12" s="91">
        <f t="shared" si="6"/>
        <v>947.5</v>
      </c>
      <c r="M12" s="91">
        <f t="shared" si="1"/>
        <v>1658.13</v>
      </c>
      <c r="N12" s="91">
        <f t="shared" si="2"/>
        <v>947.5</v>
      </c>
      <c r="O12" s="91">
        <f t="shared" si="3"/>
        <v>1658.13</v>
      </c>
      <c r="P12" s="91">
        <f t="shared" si="4"/>
        <v>1658.13</v>
      </c>
      <c r="Q12" s="91">
        <f t="shared" si="5"/>
        <v>947.5</v>
      </c>
    </row>
    <row r="13" spans="1:17" ht="20.100000000000001" customHeight="1" x14ac:dyDescent="0.2">
      <c r="A13" s="81">
        <v>8</v>
      </c>
      <c r="B13" s="82" t="s">
        <v>196</v>
      </c>
      <c r="C13" s="83" t="s">
        <v>176</v>
      </c>
      <c r="D13" s="88">
        <v>450</v>
      </c>
      <c r="E13" s="88">
        <v>96</v>
      </c>
      <c r="F13" s="88">
        <v>72</v>
      </c>
      <c r="G13" s="88">
        <v>168</v>
      </c>
      <c r="H13" s="88">
        <v>204</v>
      </c>
      <c r="I13" s="88">
        <v>96</v>
      </c>
      <c r="J13" s="89">
        <f t="shared" si="0"/>
        <v>1086</v>
      </c>
      <c r="K13" s="90">
        <v>1.4950000000000001</v>
      </c>
      <c r="L13" s="91">
        <f t="shared" si="6"/>
        <v>672.75</v>
      </c>
      <c r="M13" s="91">
        <f t="shared" si="1"/>
        <v>143.52000000000001</v>
      </c>
      <c r="N13" s="91">
        <f t="shared" si="2"/>
        <v>107.64</v>
      </c>
      <c r="O13" s="91">
        <f t="shared" si="3"/>
        <v>251.16</v>
      </c>
      <c r="P13" s="91">
        <f t="shared" si="4"/>
        <v>304.98</v>
      </c>
      <c r="Q13" s="91">
        <f t="shared" si="5"/>
        <v>143.52000000000001</v>
      </c>
    </row>
    <row r="14" spans="1:17" ht="20.100000000000001" customHeight="1" x14ac:dyDescent="0.2">
      <c r="A14" s="81">
        <v>9</v>
      </c>
      <c r="B14" s="92" t="s">
        <v>197</v>
      </c>
      <c r="C14" s="83" t="s">
        <v>192</v>
      </c>
      <c r="D14" s="88">
        <v>24</v>
      </c>
      <c r="E14" s="88">
        <v>24</v>
      </c>
      <c r="F14" s="88">
        <v>24</v>
      </c>
      <c r="G14" s="88">
        <v>48</v>
      </c>
      <c r="H14" s="88">
        <v>48</v>
      </c>
      <c r="I14" s="88">
        <v>24</v>
      </c>
      <c r="J14" s="89">
        <f t="shared" si="0"/>
        <v>192</v>
      </c>
      <c r="K14" s="90">
        <v>1.5</v>
      </c>
      <c r="L14" s="91">
        <f t="shared" si="6"/>
        <v>36</v>
      </c>
      <c r="M14" s="91">
        <f t="shared" si="1"/>
        <v>36</v>
      </c>
      <c r="N14" s="91">
        <f t="shared" si="2"/>
        <v>36</v>
      </c>
      <c r="O14" s="91">
        <f t="shared" si="3"/>
        <v>72</v>
      </c>
      <c r="P14" s="91">
        <f t="shared" si="4"/>
        <v>72</v>
      </c>
      <c r="Q14" s="91">
        <f t="shared" si="5"/>
        <v>36</v>
      </c>
    </row>
    <row r="15" spans="1:17" ht="20.100000000000001" customHeight="1" x14ac:dyDescent="0.2">
      <c r="A15" s="81">
        <v>10</v>
      </c>
      <c r="B15" s="82" t="s">
        <v>198</v>
      </c>
      <c r="C15" s="83" t="s">
        <v>176</v>
      </c>
      <c r="D15" s="88">
        <v>4</v>
      </c>
      <c r="E15" s="88">
        <v>4</v>
      </c>
      <c r="F15" s="88">
        <v>4</v>
      </c>
      <c r="G15" s="88">
        <v>4</v>
      </c>
      <c r="H15" s="88">
        <v>4</v>
      </c>
      <c r="I15" s="88">
        <v>4</v>
      </c>
      <c r="J15" s="89">
        <f t="shared" si="0"/>
        <v>24</v>
      </c>
      <c r="K15" s="90">
        <v>2.33</v>
      </c>
      <c r="L15" s="91">
        <f t="shared" si="6"/>
        <v>9.32</v>
      </c>
      <c r="M15" s="91">
        <f t="shared" si="1"/>
        <v>9.32</v>
      </c>
      <c r="N15" s="91">
        <f t="shared" si="2"/>
        <v>9.32</v>
      </c>
      <c r="O15" s="91">
        <f t="shared" si="3"/>
        <v>9.32</v>
      </c>
      <c r="P15" s="91">
        <f t="shared" si="4"/>
        <v>9.32</v>
      </c>
      <c r="Q15" s="91">
        <f t="shared" si="5"/>
        <v>9.32</v>
      </c>
    </row>
    <row r="16" spans="1:17" ht="20.100000000000001" customHeight="1" x14ac:dyDescent="0.2">
      <c r="A16" s="81">
        <v>11</v>
      </c>
      <c r="B16" s="82" t="s">
        <v>199</v>
      </c>
      <c r="C16" s="83" t="s">
        <v>200</v>
      </c>
      <c r="D16" s="88">
        <v>24</v>
      </c>
      <c r="E16" s="88">
        <v>24</v>
      </c>
      <c r="F16" s="88">
        <v>24</v>
      </c>
      <c r="G16" s="88">
        <v>24</v>
      </c>
      <c r="H16" s="88">
        <v>24</v>
      </c>
      <c r="I16" s="88">
        <v>24</v>
      </c>
      <c r="J16" s="89">
        <f t="shared" si="0"/>
        <v>144</v>
      </c>
      <c r="K16" s="90">
        <v>1.9950000000000001</v>
      </c>
      <c r="L16" s="91">
        <f t="shared" si="6"/>
        <v>47.88</v>
      </c>
      <c r="M16" s="91">
        <f t="shared" si="1"/>
        <v>47.88</v>
      </c>
      <c r="N16" s="91">
        <f t="shared" si="2"/>
        <v>47.88</v>
      </c>
      <c r="O16" s="91">
        <f t="shared" si="3"/>
        <v>47.88</v>
      </c>
      <c r="P16" s="91">
        <f t="shared" si="4"/>
        <v>47.88</v>
      </c>
      <c r="Q16" s="91">
        <f t="shared" si="5"/>
        <v>47.88</v>
      </c>
    </row>
    <row r="17" spans="1:18" ht="20.100000000000001" customHeight="1" x14ac:dyDescent="0.2">
      <c r="A17" s="81">
        <v>12</v>
      </c>
      <c r="B17" s="82" t="s">
        <v>201</v>
      </c>
      <c r="C17" s="83" t="s">
        <v>176</v>
      </c>
      <c r="D17" s="88">
        <v>30</v>
      </c>
      <c r="E17" s="88">
        <v>30</v>
      </c>
      <c r="F17" s="88">
        <v>30</v>
      </c>
      <c r="G17" s="88">
        <v>40</v>
      </c>
      <c r="H17" s="88">
        <v>30</v>
      </c>
      <c r="I17" s="88">
        <v>30</v>
      </c>
      <c r="J17" s="89">
        <f t="shared" si="0"/>
        <v>190</v>
      </c>
      <c r="K17" s="90">
        <v>0.755</v>
      </c>
      <c r="L17" s="91">
        <f t="shared" si="6"/>
        <v>22.65</v>
      </c>
      <c r="M17" s="91">
        <f t="shared" si="1"/>
        <v>22.65</v>
      </c>
      <c r="N17" s="91">
        <f t="shared" si="2"/>
        <v>22.65</v>
      </c>
      <c r="O17" s="91">
        <f t="shared" si="3"/>
        <v>30.2</v>
      </c>
      <c r="P17" s="91">
        <f t="shared" si="4"/>
        <v>22.65</v>
      </c>
      <c r="Q17" s="91">
        <f t="shared" si="5"/>
        <v>22.65</v>
      </c>
    </row>
    <row r="18" spans="1:18" ht="20.100000000000001" customHeight="1" x14ac:dyDescent="0.2">
      <c r="A18" s="81">
        <v>13</v>
      </c>
      <c r="B18" s="82" t="s">
        <v>202</v>
      </c>
      <c r="C18" s="83" t="s">
        <v>176</v>
      </c>
      <c r="D18" s="88">
        <v>24</v>
      </c>
      <c r="E18" s="88">
        <v>24</v>
      </c>
      <c r="F18" s="88">
        <v>24</v>
      </c>
      <c r="G18" s="88">
        <v>24</v>
      </c>
      <c r="H18" s="88">
        <v>24</v>
      </c>
      <c r="I18" s="88">
        <v>24</v>
      </c>
      <c r="J18" s="89">
        <f t="shared" si="0"/>
        <v>144</v>
      </c>
      <c r="K18" s="90">
        <v>2.14</v>
      </c>
      <c r="L18" s="91">
        <f t="shared" si="6"/>
        <v>51.36</v>
      </c>
      <c r="M18" s="91">
        <f t="shared" si="1"/>
        <v>51.36</v>
      </c>
      <c r="N18" s="91">
        <f t="shared" si="2"/>
        <v>51.36</v>
      </c>
      <c r="O18" s="91">
        <f t="shared" si="3"/>
        <v>51.36</v>
      </c>
      <c r="P18" s="91">
        <f t="shared" si="4"/>
        <v>51.36</v>
      </c>
      <c r="Q18" s="91">
        <f t="shared" si="5"/>
        <v>51.36</v>
      </c>
    </row>
    <row r="19" spans="1:18" ht="20.100000000000001" customHeight="1" x14ac:dyDescent="0.2">
      <c r="A19" s="81">
        <v>14</v>
      </c>
      <c r="B19" s="82" t="s">
        <v>203</v>
      </c>
      <c r="C19" s="83" t="s">
        <v>176</v>
      </c>
      <c r="D19" s="88">
        <v>20</v>
      </c>
      <c r="E19" s="88">
        <v>20</v>
      </c>
      <c r="F19" s="88">
        <v>20</v>
      </c>
      <c r="G19" s="88">
        <v>20</v>
      </c>
      <c r="H19" s="88">
        <v>20</v>
      </c>
      <c r="I19" s="88">
        <v>20</v>
      </c>
      <c r="J19" s="89">
        <f t="shared" si="0"/>
        <v>120</v>
      </c>
      <c r="K19" s="90">
        <v>0.82</v>
      </c>
      <c r="L19" s="91">
        <f t="shared" si="6"/>
        <v>16.399999999999999</v>
      </c>
      <c r="M19" s="91">
        <f t="shared" si="1"/>
        <v>16.399999999999999</v>
      </c>
      <c r="N19" s="91">
        <f t="shared" si="2"/>
        <v>16.399999999999999</v>
      </c>
      <c r="O19" s="91">
        <f t="shared" si="3"/>
        <v>16.399999999999999</v>
      </c>
      <c r="P19" s="91">
        <f t="shared" si="4"/>
        <v>16.399999999999999</v>
      </c>
      <c r="Q19" s="91">
        <f t="shared" si="5"/>
        <v>16.399999999999999</v>
      </c>
    </row>
    <row r="20" spans="1:18" ht="20.100000000000001" customHeight="1" x14ac:dyDescent="0.2">
      <c r="A20" s="81">
        <v>15</v>
      </c>
      <c r="B20" s="92" t="s">
        <v>204</v>
      </c>
      <c r="C20" s="83" t="s">
        <v>192</v>
      </c>
      <c r="D20" s="88">
        <v>24</v>
      </c>
      <c r="E20" s="88">
        <v>48</v>
      </c>
      <c r="F20" s="88">
        <v>24</v>
      </c>
      <c r="G20" s="88">
        <v>24</v>
      </c>
      <c r="H20" s="88">
        <v>24</v>
      </c>
      <c r="I20" s="88">
        <v>24</v>
      </c>
      <c r="J20" s="89">
        <f t="shared" si="0"/>
        <v>168</v>
      </c>
      <c r="K20" s="90">
        <v>3.4617</v>
      </c>
      <c r="L20" s="91">
        <f t="shared" si="6"/>
        <v>83.08</v>
      </c>
      <c r="M20" s="91">
        <f t="shared" si="1"/>
        <v>166.16</v>
      </c>
      <c r="N20" s="91">
        <f t="shared" si="2"/>
        <v>83.08</v>
      </c>
      <c r="O20" s="91">
        <f t="shared" si="3"/>
        <v>83.08</v>
      </c>
      <c r="P20" s="91">
        <f t="shared" si="4"/>
        <v>83.08</v>
      </c>
      <c r="Q20" s="91">
        <f t="shared" si="5"/>
        <v>83.08</v>
      </c>
      <c r="R20" s="93"/>
    </row>
    <row r="21" spans="1:18" ht="20.100000000000001" customHeight="1" x14ac:dyDescent="0.2">
      <c r="A21" s="81">
        <v>16</v>
      </c>
      <c r="B21" s="82" t="s">
        <v>205</v>
      </c>
      <c r="C21" s="83" t="s">
        <v>192</v>
      </c>
      <c r="D21" s="88">
        <v>22</v>
      </c>
      <c r="E21" s="88">
        <v>24</v>
      </c>
      <c r="F21" s="88">
        <v>22</v>
      </c>
      <c r="G21" s="88">
        <v>22</v>
      </c>
      <c r="H21" s="88">
        <v>24</v>
      </c>
      <c r="I21" s="88">
        <v>22</v>
      </c>
      <c r="J21" s="89">
        <f t="shared" si="0"/>
        <v>136</v>
      </c>
      <c r="K21" s="90">
        <v>2.4500000000000002</v>
      </c>
      <c r="L21" s="91">
        <f t="shared" si="6"/>
        <v>53.9</v>
      </c>
      <c r="M21" s="91">
        <f t="shared" si="1"/>
        <v>58.8</v>
      </c>
      <c r="N21" s="91">
        <f t="shared" si="2"/>
        <v>53.9</v>
      </c>
      <c r="O21" s="91">
        <f t="shared" si="3"/>
        <v>53.9</v>
      </c>
      <c r="P21" s="91">
        <f t="shared" si="4"/>
        <v>58.8</v>
      </c>
      <c r="Q21" s="91">
        <f t="shared" si="5"/>
        <v>53.9</v>
      </c>
    </row>
    <row r="22" spans="1:18" ht="20.100000000000001" customHeight="1" x14ac:dyDescent="0.2">
      <c r="A22" s="81">
        <v>17</v>
      </c>
      <c r="B22" s="92" t="s">
        <v>206</v>
      </c>
      <c r="C22" s="83" t="s">
        <v>176</v>
      </c>
      <c r="D22" s="88">
        <v>20</v>
      </c>
      <c r="E22" s="88">
        <v>20</v>
      </c>
      <c r="F22" s="88">
        <v>20</v>
      </c>
      <c r="G22" s="88">
        <v>20</v>
      </c>
      <c r="H22" s="88">
        <v>20</v>
      </c>
      <c r="I22" s="88">
        <v>20</v>
      </c>
      <c r="J22" s="89">
        <f t="shared" si="0"/>
        <v>120</v>
      </c>
      <c r="K22" s="90">
        <v>3.3450000000000002</v>
      </c>
      <c r="L22" s="91">
        <f t="shared" si="6"/>
        <v>66.900000000000006</v>
      </c>
      <c r="M22" s="91">
        <f t="shared" si="1"/>
        <v>66.900000000000006</v>
      </c>
      <c r="N22" s="91">
        <f t="shared" si="2"/>
        <v>66.900000000000006</v>
      </c>
      <c r="O22" s="91">
        <f t="shared" si="3"/>
        <v>66.900000000000006</v>
      </c>
      <c r="P22" s="91">
        <f t="shared" si="4"/>
        <v>66.900000000000006</v>
      </c>
      <c r="Q22" s="91">
        <f t="shared" si="5"/>
        <v>66.900000000000006</v>
      </c>
    </row>
    <row r="23" spans="1:18" ht="20.100000000000001" customHeight="1" x14ac:dyDescent="0.2">
      <c r="A23" s="81">
        <v>18</v>
      </c>
      <c r="B23" s="92" t="s">
        <v>207</v>
      </c>
      <c r="C23" s="83" t="s">
        <v>176</v>
      </c>
      <c r="D23" s="88">
        <v>20</v>
      </c>
      <c r="E23" s="88">
        <v>20</v>
      </c>
      <c r="F23" s="88">
        <v>20</v>
      </c>
      <c r="G23" s="88">
        <v>40</v>
      </c>
      <c r="H23" s="88">
        <v>40</v>
      </c>
      <c r="I23" s="88">
        <v>20</v>
      </c>
      <c r="J23" s="89">
        <f t="shared" si="0"/>
        <v>160</v>
      </c>
      <c r="K23" s="90">
        <v>3.3149999999999999</v>
      </c>
      <c r="L23" s="91">
        <f t="shared" si="6"/>
        <v>66.3</v>
      </c>
      <c r="M23" s="91">
        <f t="shared" si="1"/>
        <v>66.3</v>
      </c>
      <c r="N23" s="91">
        <f t="shared" si="2"/>
        <v>66.3</v>
      </c>
      <c r="O23" s="91">
        <f t="shared" si="3"/>
        <v>132.6</v>
      </c>
      <c r="P23" s="91">
        <f t="shared" si="4"/>
        <v>132.6</v>
      </c>
      <c r="Q23" s="91">
        <f t="shared" si="5"/>
        <v>66.3</v>
      </c>
    </row>
    <row r="24" spans="1:18" ht="20.100000000000001" customHeight="1" x14ac:dyDescent="0.2">
      <c r="A24" s="81">
        <v>19</v>
      </c>
      <c r="B24" s="92" t="s">
        <v>208</v>
      </c>
      <c r="C24" s="83" t="s">
        <v>176</v>
      </c>
      <c r="D24" s="88">
        <v>1</v>
      </c>
      <c r="E24" s="88">
        <v>1</v>
      </c>
      <c r="F24" s="88">
        <v>1</v>
      </c>
      <c r="G24" s="88">
        <v>1</v>
      </c>
      <c r="H24" s="88">
        <v>1</v>
      </c>
      <c r="I24" s="88">
        <v>1</v>
      </c>
      <c r="J24" s="89">
        <f t="shared" si="0"/>
        <v>6</v>
      </c>
      <c r="K24" s="90">
        <v>153.08000000000001</v>
      </c>
      <c r="L24" s="91">
        <f t="shared" si="6"/>
        <v>153.08000000000001</v>
      </c>
      <c r="M24" s="91">
        <f t="shared" si="1"/>
        <v>153.08000000000001</v>
      </c>
      <c r="N24" s="91">
        <f t="shared" si="2"/>
        <v>153.08000000000001</v>
      </c>
      <c r="O24" s="91">
        <f t="shared" si="3"/>
        <v>153.08000000000001</v>
      </c>
      <c r="P24" s="91">
        <f t="shared" si="4"/>
        <v>153.08000000000001</v>
      </c>
      <c r="Q24" s="91">
        <f t="shared" si="5"/>
        <v>153.08000000000001</v>
      </c>
    </row>
    <row r="25" spans="1:18" ht="20.100000000000001" customHeight="1" x14ac:dyDescent="0.2">
      <c r="A25" s="81">
        <v>20</v>
      </c>
      <c r="B25" s="92" t="s">
        <v>209</v>
      </c>
      <c r="C25" s="83" t="s">
        <v>176</v>
      </c>
      <c r="D25" s="88">
        <v>2</v>
      </c>
      <c r="E25" s="88">
        <v>2</v>
      </c>
      <c r="F25" s="88">
        <v>2</v>
      </c>
      <c r="G25" s="88">
        <v>2</v>
      </c>
      <c r="H25" s="88">
        <v>2</v>
      </c>
      <c r="I25" s="88">
        <v>2</v>
      </c>
      <c r="J25" s="89">
        <f t="shared" si="0"/>
        <v>12</v>
      </c>
      <c r="K25" s="90">
        <v>5.9649999999999999</v>
      </c>
      <c r="L25" s="91">
        <f t="shared" si="6"/>
        <v>11.93</v>
      </c>
      <c r="M25" s="91">
        <f t="shared" si="1"/>
        <v>11.93</v>
      </c>
      <c r="N25" s="91">
        <f t="shared" si="2"/>
        <v>11.93</v>
      </c>
      <c r="O25" s="91">
        <f t="shared" si="3"/>
        <v>11.93</v>
      </c>
      <c r="P25" s="91">
        <f t="shared" si="4"/>
        <v>11.93</v>
      </c>
      <c r="Q25" s="91">
        <f t="shared" si="5"/>
        <v>11.93</v>
      </c>
    </row>
    <row r="26" spans="1:18" ht="20.100000000000001" customHeight="1" x14ac:dyDescent="0.2">
      <c r="A26" s="81">
        <v>21</v>
      </c>
      <c r="B26" s="92" t="s">
        <v>210</v>
      </c>
      <c r="C26" s="83" t="s">
        <v>176</v>
      </c>
      <c r="D26" s="88">
        <v>1</v>
      </c>
      <c r="E26" s="88">
        <v>1</v>
      </c>
      <c r="F26" s="88">
        <v>1</v>
      </c>
      <c r="G26" s="88">
        <v>1</v>
      </c>
      <c r="H26" s="88">
        <v>1</v>
      </c>
      <c r="I26" s="88">
        <v>1</v>
      </c>
      <c r="J26" s="89">
        <f t="shared" si="0"/>
        <v>6</v>
      </c>
      <c r="K26" s="90">
        <v>4.5</v>
      </c>
      <c r="L26" s="91">
        <f t="shared" si="6"/>
        <v>4.5</v>
      </c>
      <c r="M26" s="91">
        <f t="shared" si="1"/>
        <v>4.5</v>
      </c>
      <c r="N26" s="91">
        <f t="shared" si="2"/>
        <v>4.5</v>
      </c>
      <c r="O26" s="91">
        <f t="shared" si="3"/>
        <v>4.5</v>
      </c>
      <c r="P26" s="91">
        <f t="shared" si="4"/>
        <v>4.5</v>
      </c>
      <c r="Q26" s="91">
        <f t="shared" si="5"/>
        <v>4.5</v>
      </c>
    </row>
    <row r="27" spans="1:18" ht="20.100000000000001" customHeight="1" x14ac:dyDescent="0.2">
      <c r="A27" s="81">
        <v>22</v>
      </c>
      <c r="B27" s="92" t="s">
        <v>211</v>
      </c>
      <c r="C27" s="83" t="s">
        <v>176</v>
      </c>
      <c r="D27" s="88">
        <v>25</v>
      </c>
      <c r="E27" s="88">
        <v>25</v>
      </c>
      <c r="F27" s="88">
        <v>25</v>
      </c>
      <c r="G27" s="88">
        <v>35</v>
      </c>
      <c r="H27" s="88">
        <v>35</v>
      </c>
      <c r="I27" s="88">
        <v>25</v>
      </c>
      <c r="J27" s="89">
        <f t="shared" si="0"/>
        <v>170</v>
      </c>
      <c r="K27" s="90">
        <v>4.45</v>
      </c>
      <c r="L27" s="91">
        <f t="shared" si="6"/>
        <v>111.25</v>
      </c>
      <c r="M27" s="91">
        <f t="shared" si="1"/>
        <v>111.25</v>
      </c>
      <c r="N27" s="91">
        <f t="shared" si="2"/>
        <v>111.25</v>
      </c>
      <c r="O27" s="91">
        <f t="shared" si="3"/>
        <v>155.75</v>
      </c>
      <c r="P27" s="91">
        <f t="shared" si="4"/>
        <v>155.75</v>
      </c>
      <c r="Q27" s="91">
        <f t="shared" si="5"/>
        <v>111.25</v>
      </c>
    </row>
    <row r="28" spans="1:18" ht="20.100000000000001" customHeight="1" x14ac:dyDescent="0.2">
      <c r="A28" s="81">
        <v>23</v>
      </c>
      <c r="B28" s="92" t="s">
        <v>212</v>
      </c>
      <c r="C28" s="83" t="s">
        <v>200</v>
      </c>
      <c r="D28" s="88">
        <v>20</v>
      </c>
      <c r="E28" s="88">
        <v>20</v>
      </c>
      <c r="F28" s="88">
        <v>20</v>
      </c>
      <c r="G28" s="88">
        <v>30</v>
      </c>
      <c r="H28" s="88">
        <v>20</v>
      </c>
      <c r="I28" s="88">
        <v>20</v>
      </c>
      <c r="J28" s="89">
        <f t="shared" si="0"/>
        <v>130</v>
      </c>
      <c r="K28" s="90">
        <v>1.84</v>
      </c>
      <c r="L28" s="91">
        <f t="shared" si="6"/>
        <v>36.799999999999997</v>
      </c>
      <c r="M28" s="91">
        <f t="shared" si="1"/>
        <v>36.799999999999997</v>
      </c>
      <c r="N28" s="91">
        <f t="shared" si="2"/>
        <v>36.799999999999997</v>
      </c>
      <c r="O28" s="91">
        <f t="shared" si="3"/>
        <v>55.2</v>
      </c>
      <c r="P28" s="91">
        <f t="shared" si="4"/>
        <v>36.799999999999997</v>
      </c>
      <c r="Q28" s="91">
        <f t="shared" si="5"/>
        <v>36.799999999999997</v>
      </c>
    </row>
    <row r="29" spans="1:18" ht="20.100000000000001" customHeight="1" x14ac:dyDescent="0.2">
      <c r="A29" s="81">
        <v>24</v>
      </c>
      <c r="B29" s="92" t="s">
        <v>213</v>
      </c>
      <c r="C29" s="83" t="s">
        <v>176</v>
      </c>
      <c r="D29" s="88">
        <v>2</v>
      </c>
      <c r="E29" s="88">
        <v>2</v>
      </c>
      <c r="F29" s="88">
        <v>2</v>
      </c>
      <c r="G29" s="88">
        <v>2</v>
      </c>
      <c r="H29" s="88">
        <v>2</v>
      </c>
      <c r="I29" s="88">
        <v>2</v>
      </c>
      <c r="J29" s="89">
        <f t="shared" si="0"/>
        <v>12</v>
      </c>
      <c r="K29" s="90">
        <v>3.1949999999999998</v>
      </c>
      <c r="L29" s="91">
        <f t="shared" si="6"/>
        <v>6.39</v>
      </c>
      <c r="M29" s="91">
        <f t="shared" si="1"/>
        <v>6.39</v>
      </c>
      <c r="N29" s="91">
        <f t="shared" si="2"/>
        <v>6.39</v>
      </c>
      <c r="O29" s="91">
        <f t="shared" si="3"/>
        <v>6.39</v>
      </c>
      <c r="P29" s="91">
        <f t="shared" si="4"/>
        <v>6.39</v>
      </c>
      <c r="Q29" s="91">
        <f t="shared" si="5"/>
        <v>6.39</v>
      </c>
    </row>
    <row r="30" spans="1:18" ht="36" x14ac:dyDescent="0.2">
      <c r="A30" s="81">
        <v>25</v>
      </c>
      <c r="B30" s="82" t="s">
        <v>214</v>
      </c>
      <c r="C30" s="83" t="s">
        <v>215</v>
      </c>
      <c r="D30" s="88">
        <v>20</v>
      </c>
      <c r="E30" s="88">
        <v>20</v>
      </c>
      <c r="F30" s="88">
        <v>20</v>
      </c>
      <c r="G30" s="88">
        <v>40</v>
      </c>
      <c r="H30" s="88">
        <v>20</v>
      </c>
      <c r="I30" s="88">
        <v>20</v>
      </c>
      <c r="J30" s="89">
        <f t="shared" si="0"/>
        <v>140</v>
      </c>
      <c r="K30" s="90">
        <v>69.05</v>
      </c>
      <c r="L30" s="91">
        <f t="shared" si="6"/>
        <v>1381</v>
      </c>
      <c r="M30" s="91">
        <f t="shared" si="1"/>
        <v>1381</v>
      </c>
      <c r="N30" s="91">
        <f t="shared" si="2"/>
        <v>1381</v>
      </c>
      <c r="O30" s="91">
        <f t="shared" si="3"/>
        <v>2762</v>
      </c>
      <c r="P30" s="91">
        <f t="shared" si="4"/>
        <v>1381</v>
      </c>
      <c r="Q30" s="91">
        <f t="shared" si="5"/>
        <v>1381</v>
      </c>
    </row>
    <row r="31" spans="1:18" ht="30" customHeight="1" x14ac:dyDescent="0.2">
      <c r="A31" s="81">
        <v>26</v>
      </c>
      <c r="B31" s="82" t="s">
        <v>216</v>
      </c>
      <c r="C31" s="94" t="s">
        <v>217</v>
      </c>
      <c r="D31" s="88">
        <v>3</v>
      </c>
      <c r="E31" s="88">
        <v>3</v>
      </c>
      <c r="F31" s="88">
        <v>3</v>
      </c>
      <c r="G31" s="88">
        <v>3</v>
      </c>
      <c r="H31" s="88">
        <v>3</v>
      </c>
      <c r="I31" s="88">
        <v>3</v>
      </c>
      <c r="J31" s="89">
        <f t="shared" si="0"/>
        <v>18</v>
      </c>
      <c r="K31" s="90">
        <v>10.84</v>
      </c>
      <c r="L31" s="91">
        <f t="shared" si="6"/>
        <v>32.520000000000003</v>
      </c>
      <c r="M31" s="91">
        <f t="shared" si="1"/>
        <v>32.520000000000003</v>
      </c>
      <c r="N31" s="91">
        <f t="shared" si="2"/>
        <v>32.520000000000003</v>
      </c>
      <c r="O31" s="91">
        <f t="shared" si="3"/>
        <v>32.520000000000003</v>
      </c>
      <c r="P31" s="91">
        <f t="shared" si="4"/>
        <v>32.520000000000003</v>
      </c>
      <c r="Q31" s="91">
        <f t="shared" si="5"/>
        <v>32.520000000000003</v>
      </c>
    </row>
    <row r="32" spans="1:18" ht="20.100000000000001" customHeight="1" x14ac:dyDescent="0.2">
      <c r="A32" s="81">
        <v>27</v>
      </c>
      <c r="B32" s="82" t="s">
        <v>218</v>
      </c>
      <c r="C32" s="83" t="s">
        <v>176</v>
      </c>
      <c r="D32" s="88">
        <v>2</v>
      </c>
      <c r="E32" s="88">
        <v>2</v>
      </c>
      <c r="F32" s="88">
        <v>2</v>
      </c>
      <c r="G32" s="88">
        <v>2</v>
      </c>
      <c r="H32" s="88">
        <v>2</v>
      </c>
      <c r="I32" s="88">
        <v>2</v>
      </c>
      <c r="J32" s="89">
        <f t="shared" si="0"/>
        <v>12</v>
      </c>
      <c r="K32" s="90">
        <v>6.9450000000000003</v>
      </c>
      <c r="L32" s="91">
        <f t="shared" si="6"/>
        <v>13.89</v>
      </c>
      <c r="M32" s="91">
        <f t="shared" si="1"/>
        <v>13.89</v>
      </c>
      <c r="N32" s="91">
        <f t="shared" si="2"/>
        <v>13.89</v>
      </c>
      <c r="O32" s="91">
        <f t="shared" si="3"/>
        <v>13.89</v>
      </c>
      <c r="P32" s="91">
        <f t="shared" si="4"/>
        <v>13.89</v>
      </c>
      <c r="Q32" s="91">
        <f t="shared" si="5"/>
        <v>13.89</v>
      </c>
    </row>
    <row r="33" spans="1:17" ht="20.100000000000001" customHeight="1" x14ac:dyDescent="0.2">
      <c r="A33" s="81">
        <v>28</v>
      </c>
      <c r="B33" s="92" t="s">
        <v>219</v>
      </c>
      <c r="C33" s="83" t="s">
        <v>176</v>
      </c>
      <c r="D33" s="88">
        <v>3</v>
      </c>
      <c r="E33" s="88">
        <v>3</v>
      </c>
      <c r="F33" s="88">
        <v>3</v>
      </c>
      <c r="G33" s="88">
        <v>3</v>
      </c>
      <c r="H33" s="88">
        <v>3</v>
      </c>
      <c r="I33" s="88">
        <v>3</v>
      </c>
      <c r="J33" s="89">
        <f t="shared" si="0"/>
        <v>18</v>
      </c>
      <c r="K33" s="90">
        <v>6.915</v>
      </c>
      <c r="L33" s="91">
        <f t="shared" si="6"/>
        <v>20.75</v>
      </c>
      <c r="M33" s="91">
        <f t="shared" si="1"/>
        <v>20.75</v>
      </c>
      <c r="N33" s="91">
        <f t="shared" si="2"/>
        <v>20.75</v>
      </c>
      <c r="O33" s="91">
        <f t="shared" si="3"/>
        <v>20.75</v>
      </c>
      <c r="P33" s="91">
        <f t="shared" si="4"/>
        <v>20.75</v>
      </c>
      <c r="Q33" s="91">
        <f t="shared" si="5"/>
        <v>20.75</v>
      </c>
    </row>
    <row r="34" spans="1:17" ht="20.100000000000001" customHeight="1" x14ac:dyDescent="0.2">
      <c r="A34" s="81">
        <v>29</v>
      </c>
      <c r="B34" s="92" t="s">
        <v>220</v>
      </c>
      <c r="C34" s="83" t="s">
        <v>176</v>
      </c>
      <c r="D34" s="88">
        <v>3</v>
      </c>
      <c r="E34" s="88">
        <v>3</v>
      </c>
      <c r="F34" s="88">
        <v>3</v>
      </c>
      <c r="G34" s="88">
        <v>3</v>
      </c>
      <c r="H34" s="88">
        <v>3</v>
      </c>
      <c r="I34" s="88">
        <v>3</v>
      </c>
      <c r="J34" s="89">
        <f t="shared" si="0"/>
        <v>18</v>
      </c>
      <c r="K34" s="90">
        <v>6.68</v>
      </c>
      <c r="L34" s="91">
        <f t="shared" si="6"/>
        <v>20.04</v>
      </c>
      <c r="M34" s="91">
        <f t="shared" si="1"/>
        <v>20.04</v>
      </c>
      <c r="N34" s="91">
        <f t="shared" si="2"/>
        <v>20.04</v>
      </c>
      <c r="O34" s="91">
        <f t="shared" si="3"/>
        <v>20.04</v>
      </c>
      <c r="P34" s="91">
        <f t="shared" si="4"/>
        <v>20.04</v>
      </c>
      <c r="Q34" s="91">
        <f t="shared" si="5"/>
        <v>20.04</v>
      </c>
    </row>
    <row r="35" spans="1:17" ht="20.100000000000001" customHeight="1" x14ac:dyDescent="0.2">
      <c r="A35" s="81">
        <v>30</v>
      </c>
      <c r="B35" s="92" t="s">
        <v>221</v>
      </c>
      <c r="C35" s="83" t="s">
        <v>176</v>
      </c>
      <c r="D35" s="88">
        <v>8</v>
      </c>
      <c r="E35" s="88">
        <v>8</v>
      </c>
      <c r="F35" s="88">
        <v>8</v>
      </c>
      <c r="G35" s="88">
        <v>8</v>
      </c>
      <c r="H35" s="88">
        <v>8</v>
      </c>
      <c r="I35" s="88">
        <v>8</v>
      </c>
      <c r="J35" s="89">
        <f t="shared" si="0"/>
        <v>48</v>
      </c>
      <c r="K35" s="90">
        <v>7.5250000000000004</v>
      </c>
      <c r="L35" s="91">
        <f t="shared" si="6"/>
        <v>60.2</v>
      </c>
      <c r="M35" s="91">
        <f t="shared" si="1"/>
        <v>60.2</v>
      </c>
      <c r="N35" s="91">
        <f t="shared" si="2"/>
        <v>60.2</v>
      </c>
      <c r="O35" s="91">
        <f t="shared" si="3"/>
        <v>60.2</v>
      </c>
      <c r="P35" s="91">
        <f t="shared" si="4"/>
        <v>60.2</v>
      </c>
      <c r="Q35" s="91">
        <f t="shared" si="5"/>
        <v>60.2</v>
      </c>
    </row>
    <row r="36" spans="1:17" ht="20.100000000000001" customHeight="1" x14ac:dyDescent="0.2">
      <c r="A36" s="81">
        <v>31</v>
      </c>
      <c r="B36" s="82" t="s">
        <v>222</v>
      </c>
      <c r="C36" s="83" t="s">
        <v>176</v>
      </c>
      <c r="D36" s="88">
        <v>24</v>
      </c>
      <c r="E36" s="88">
        <v>24</v>
      </c>
      <c r="F36" s="88">
        <v>24</v>
      </c>
      <c r="G36" s="88">
        <v>24</v>
      </c>
      <c r="H36" s="88">
        <v>24</v>
      </c>
      <c r="I36" s="88">
        <v>24</v>
      </c>
      <c r="J36" s="89">
        <f t="shared" si="0"/>
        <v>144</v>
      </c>
      <c r="K36" s="90">
        <v>5.6950000000000003</v>
      </c>
      <c r="L36" s="91">
        <f t="shared" si="6"/>
        <v>136.68</v>
      </c>
      <c r="M36" s="91">
        <f t="shared" si="1"/>
        <v>136.68</v>
      </c>
      <c r="N36" s="91">
        <f t="shared" si="2"/>
        <v>136.68</v>
      </c>
      <c r="O36" s="91">
        <f t="shared" si="3"/>
        <v>136.68</v>
      </c>
      <c r="P36" s="91">
        <f t="shared" si="4"/>
        <v>136.68</v>
      </c>
      <c r="Q36" s="91">
        <f t="shared" si="5"/>
        <v>136.68</v>
      </c>
    </row>
    <row r="37" spans="1:17" ht="20.100000000000001" customHeight="1" x14ac:dyDescent="0.2">
      <c r="A37" s="81">
        <v>32</v>
      </c>
      <c r="B37" s="82" t="s">
        <v>223</v>
      </c>
      <c r="C37" s="83" t="s">
        <v>187</v>
      </c>
      <c r="D37" s="88">
        <v>10</v>
      </c>
      <c r="E37" s="88">
        <v>10</v>
      </c>
      <c r="F37" s="88">
        <v>10</v>
      </c>
      <c r="G37" s="88">
        <v>20</v>
      </c>
      <c r="H37" s="88">
        <v>10</v>
      </c>
      <c r="I37" s="88">
        <v>10</v>
      </c>
      <c r="J37" s="89">
        <f t="shared" si="0"/>
        <v>70</v>
      </c>
      <c r="K37" s="90">
        <v>18.75</v>
      </c>
      <c r="L37" s="91">
        <f t="shared" si="6"/>
        <v>187.5</v>
      </c>
      <c r="M37" s="91">
        <f t="shared" si="1"/>
        <v>187.5</v>
      </c>
      <c r="N37" s="91">
        <f t="shared" si="2"/>
        <v>187.5</v>
      </c>
      <c r="O37" s="91">
        <f t="shared" si="3"/>
        <v>375</v>
      </c>
      <c r="P37" s="91">
        <f t="shared" si="4"/>
        <v>187.5</v>
      </c>
      <c r="Q37" s="91">
        <f t="shared" si="5"/>
        <v>187.5</v>
      </c>
    </row>
    <row r="38" spans="1:17" ht="20.100000000000001" customHeight="1" x14ac:dyDescent="0.2">
      <c r="A38" s="81">
        <v>33</v>
      </c>
      <c r="B38" s="82" t="s">
        <v>224</v>
      </c>
      <c r="C38" s="83" t="s">
        <v>200</v>
      </c>
      <c r="D38" s="88">
        <v>60</v>
      </c>
      <c r="E38" s="88">
        <v>60</v>
      </c>
      <c r="F38" s="88">
        <v>60</v>
      </c>
      <c r="G38" s="88">
        <v>60</v>
      </c>
      <c r="H38" s="88">
        <v>60</v>
      </c>
      <c r="I38" s="88">
        <v>60</v>
      </c>
      <c r="J38" s="89">
        <f t="shared" si="0"/>
        <v>360</v>
      </c>
      <c r="K38" s="90">
        <v>15.5</v>
      </c>
      <c r="L38" s="91">
        <f>ROUND(K38*D38,2)</f>
        <v>930</v>
      </c>
      <c r="M38" s="91">
        <f t="shared" si="1"/>
        <v>930</v>
      </c>
      <c r="N38" s="91">
        <f t="shared" si="2"/>
        <v>930</v>
      </c>
      <c r="O38" s="91">
        <f t="shared" si="3"/>
        <v>930</v>
      </c>
      <c r="P38" s="91">
        <f t="shared" si="4"/>
        <v>930</v>
      </c>
      <c r="Q38" s="91">
        <f t="shared" si="5"/>
        <v>930</v>
      </c>
    </row>
    <row r="39" spans="1:17" ht="20.100000000000001" customHeight="1" x14ac:dyDescent="0.2">
      <c r="A39" s="81">
        <v>34</v>
      </c>
      <c r="B39" s="82" t="s">
        <v>225</v>
      </c>
      <c r="C39" s="83" t="s">
        <v>200</v>
      </c>
      <c r="D39" s="88">
        <v>24</v>
      </c>
      <c r="E39" s="88">
        <v>24</v>
      </c>
      <c r="F39" s="88">
        <v>24</v>
      </c>
      <c r="G39" s="88">
        <v>30</v>
      </c>
      <c r="H39" s="88">
        <v>24</v>
      </c>
      <c r="I39" s="88">
        <v>24</v>
      </c>
      <c r="J39" s="89">
        <f t="shared" si="0"/>
        <v>150</v>
      </c>
      <c r="K39" s="90">
        <v>13</v>
      </c>
      <c r="L39" s="91">
        <f t="shared" si="6"/>
        <v>312</v>
      </c>
      <c r="M39" s="91">
        <f t="shared" si="1"/>
        <v>312</v>
      </c>
      <c r="N39" s="91">
        <f t="shared" si="2"/>
        <v>312</v>
      </c>
      <c r="O39" s="91">
        <f t="shared" si="3"/>
        <v>390</v>
      </c>
      <c r="P39" s="91">
        <f t="shared" si="4"/>
        <v>312</v>
      </c>
      <c r="Q39" s="91">
        <f t="shared" si="5"/>
        <v>312</v>
      </c>
    </row>
    <row r="40" spans="1:17" ht="20.100000000000001" customHeight="1" x14ac:dyDescent="0.2">
      <c r="A40" s="81">
        <v>35</v>
      </c>
      <c r="B40" s="82" t="s">
        <v>226</v>
      </c>
      <c r="C40" s="83" t="s">
        <v>200</v>
      </c>
      <c r="D40" s="88">
        <v>30</v>
      </c>
      <c r="E40" s="88">
        <v>30</v>
      </c>
      <c r="F40" s="88">
        <v>30</v>
      </c>
      <c r="G40" s="88">
        <v>30</v>
      </c>
      <c r="H40" s="88">
        <v>30</v>
      </c>
      <c r="I40" s="88">
        <v>30</v>
      </c>
      <c r="J40" s="89">
        <f t="shared" si="0"/>
        <v>180</v>
      </c>
      <c r="K40" s="90">
        <v>26.6</v>
      </c>
      <c r="L40" s="91">
        <f t="shared" si="6"/>
        <v>798</v>
      </c>
      <c r="M40" s="91">
        <f t="shared" si="1"/>
        <v>798</v>
      </c>
      <c r="N40" s="91">
        <f t="shared" si="2"/>
        <v>798</v>
      </c>
      <c r="O40" s="91">
        <f t="shared" si="3"/>
        <v>798</v>
      </c>
      <c r="P40" s="91">
        <f t="shared" si="4"/>
        <v>798</v>
      </c>
      <c r="Q40" s="91">
        <f t="shared" si="5"/>
        <v>798</v>
      </c>
    </row>
    <row r="41" spans="1:17" ht="20.100000000000001" customHeight="1" x14ac:dyDescent="0.2">
      <c r="A41" s="81">
        <v>36</v>
      </c>
      <c r="B41" s="82" t="s">
        <v>227</v>
      </c>
      <c r="C41" s="83" t="s">
        <v>228</v>
      </c>
      <c r="D41" s="88">
        <v>20</v>
      </c>
      <c r="E41" s="88">
        <v>20</v>
      </c>
      <c r="F41" s="88">
        <v>20</v>
      </c>
      <c r="G41" s="88">
        <v>20</v>
      </c>
      <c r="H41" s="88">
        <v>20</v>
      </c>
      <c r="I41" s="88">
        <v>20</v>
      </c>
      <c r="J41" s="89">
        <f t="shared" si="0"/>
        <v>120</v>
      </c>
      <c r="K41" s="90">
        <v>3.34</v>
      </c>
      <c r="L41" s="91">
        <f t="shared" si="6"/>
        <v>66.8</v>
      </c>
      <c r="M41" s="91">
        <f t="shared" si="1"/>
        <v>66.8</v>
      </c>
      <c r="N41" s="91">
        <f t="shared" si="2"/>
        <v>66.8</v>
      </c>
      <c r="O41" s="91">
        <f t="shared" si="3"/>
        <v>66.8</v>
      </c>
      <c r="P41" s="91">
        <f t="shared" si="4"/>
        <v>66.8</v>
      </c>
      <c r="Q41" s="91">
        <f t="shared" si="5"/>
        <v>66.8</v>
      </c>
    </row>
    <row r="42" spans="1:17" ht="20.100000000000001" customHeight="1" x14ac:dyDescent="0.2">
      <c r="A42" s="81">
        <v>37</v>
      </c>
      <c r="B42" s="82" t="s">
        <v>229</v>
      </c>
      <c r="C42" s="83" t="s">
        <v>176</v>
      </c>
      <c r="D42" s="88">
        <v>2</v>
      </c>
      <c r="E42" s="88">
        <v>2</v>
      </c>
      <c r="F42" s="88">
        <v>2</v>
      </c>
      <c r="G42" s="88">
        <v>2</v>
      </c>
      <c r="H42" s="88">
        <v>2</v>
      </c>
      <c r="I42" s="88">
        <v>2</v>
      </c>
      <c r="J42" s="89">
        <f t="shared" si="0"/>
        <v>12</v>
      </c>
      <c r="K42" s="90">
        <v>13.3</v>
      </c>
      <c r="L42" s="91">
        <f t="shared" si="6"/>
        <v>26.6</v>
      </c>
      <c r="M42" s="91">
        <f t="shared" si="1"/>
        <v>26.6</v>
      </c>
      <c r="N42" s="91">
        <f t="shared" si="2"/>
        <v>26.6</v>
      </c>
      <c r="O42" s="91">
        <f t="shared" si="3"/>
        <v>26.6</v>
      </c>
      <c r="P42" s="91">
        <f t="shared" si="4"/>
        <v>26.6</v>
      </c>
      <c r="Q42" s="91">
        <f t="shared" si="5"/>
        <v>26.6</v>
      </c>
    </row>
    <row r="43" spans="1:17" ht="20.100000000000001" customHeight="1" x14ac:dyDescent="0.2">
      <c r="A43" s="81">
        <v>38</v>
      </c>
      <c r="B43" s="82" t="s">
        <v>230</v>
      </c>
      <c r="C43" s="83" t="s">
        <v>176</v>
      </c>
      <c r="D43" s="88">
        <v>0</v>
      </c>
      <c r="E43" s="88">
        <v>0</v>
      </c>
      <c r="F43" s="88">
        <v>0</v>
      </c>
      <c r="G43" s="88">
        <v>1</v>
      </c>
      <c r="H43" s="88">
        <v>1</v>
      </c>
      <c r="I43" s="88">
        <v>1</v>
      </c>
      <c r="J43" s="89">
        <f t="shared" si="0"/>
        <v>3</v>
      </c>
      <c r="K43" s="90">
        <v>26</v>
      </c>
      <c r="L43" s="91">
        <f t="shared" si="6"/>
        <v>0</v>
      </c>
      <c r="M43" s="91">
        <f t="shared" si="1"/>
        <v>0</v>
      </c>
      <c r="N43" s="91">
        <f t="shared" si="2"/>
        <v>0</v>
      </c>
      <c r="O43" s="91">
        <f t="shared" si="3"/>
        <v>26</v>
      </c>
      <c r="P43" s="91">
        <f t="shared" si="4"/>
        <v>26</v>
      </c>
      <c r="Q43" s="91">
        <f t="shared" si="5"/>
        <v>26</v>
      </c>
    </row>
    <row r="44" spans="1:17" ht="20.100000000000001" customHeight="1" x14ac:dyDescent="0.2">
      <c r="A44" s="81">
        <v>39</v>
      </c>
      <c r="B44" s="82" t="s">
        <v>231</v>
      </c>
      <c r="C44" s="83" t="s">
        <v>176</v>
      </c>
      <c r="D44" s="88">
        <v>5</v>
      </c>
      <c r="E44" s="88">
        <v>5</v>
      </c>
      <c r="F44" s="88">
        <v>5</v>
      </c>
      <c r="G44" s="88">
        <v>5</v>
      </c>
      <c r="H44" s="88">
        <v>5</v>
      </c>
      <c r="I44" s="88">
        <v>5</v>
      </c>
      <c r="J44" s="89">
        <f t="shared" si="0"/>
        <v>30</v>
      </c>
      <c r="K44" s="90">
        <v>4.6749999999999998</v>
      </c>
      <c r="L44" s="91">
        <f t="shared" si="6"/>
        <v>23.38</v>
      </c>
      <c r="M44" s="91">
        <f t="shared" si="1"/>
        <v>23.38</v>
      </c>
      <c r="N44" s="91">
        <f t="shared" si="2"/>
        <v>23.38</v>
      </c>
      <c r="O44" s="91">
        <f t="shared" si="3"/>
        <v>23.38</v>
      </c>
      <c r="P44" s="91">
        <f t="shared" si="4"/>
        <v>23.38</v>
      </c>
      <c r="Q44" s="91">
        <f t="shared" si="5"/>
        <v>23.38</v>
      </c>
    </row>
    <row r="45" spans="1:17" ht="20.100000000000001" customHeight="1" x14ac:dyDescent="0.2">
      <c r="A45" s="95" t="s">
        <v>232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7">
        <f t="shared" ref="L45:Q45" si="7">SUM(L6:L44)</f>
        <v>7150.9800000000023</v>
      </c>
      <c r="M45" s="97">
        <f t="shared" si="7"/>
        <v>7420.3600000000024</v>
      </c>
      <c r="N45" s="97">
        <f t="shared" si="7"/>
        <v>6585.8700000000008</v>
      </c>
      <c r="O45" s="97">
        <f t="shared" si="7"/>
        <v>9837.99</v>
      </c>
      <c r="P45" s="97">
        <f t="shared" si="7"/>
        <v>8184.3600000000024</v>
      </c>
      <c r="Q45" s="97">
        <f t="shared" si="7"/>
        <v>6567.1</v>
      </c>
    </row>
    <row r="46" spans="1:17" ht="20.100000000000001" customHeight="1" x14ac:dyDescent="0.2">
      <c r="A46" s="295" t="s">
        <v>233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98">
        <f t="shared" ref="L46:Q46" si="8">ROUND(L45/20,0)</f>
        <v>358</v>
      </c>
      <c r="M46" s="98">
        <f t="shared" si="8"/>
        <v>371</v>
      </c>
      <c r="N46" s="98">
        <f t="shared" si="8"/>
        <v>329</v>
      </c>
      <c r="O46" s="98">
        <f t="shared" si="8"/>
        <v>492</v>
      </c>
      <c r="P46" s="98">
        <f t="shared" si="8"/>
        <v>409</v>
      </c>
      <c r="Q46" s="98">
        <f t="shared" si="8"/>
        <v>328</v>
      </c>
    </row>
    <row r="47" spans="1:17" ht="20.100000000000001" customHeight="1" x14ac:dyDescent="0.2">
      <c r="A47" s="295" t="s">
        <v>234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99">
        <v>1</v>
      </c>
      <c r="M47" s="99">
        <v>1</v>
      </c>
      <c r="N47" s="99">
        <v>1</v>
      </c>
      <c r="O47" s="99">
        <v>2</v>
      </c>
      <c r="P47" s="99">
        <v>2</v>
      </c>
      <c r="Q47" s="99">
        <v>1</v>
      </c>
    </row>
    <row r="48" spans="1:17" ht="20.100000000000001" customHeight="1" x14ac:dyDescent="0.2">
      <c r="A48" s="297" t="s">
        <v>235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100">
        <f t="shared" ref="L48:Q48" si="9">ROUND(L46/L47,0)</f>
        <v>358</v>
      </c>
      <c r="M48" s="100">
        <f t="shared" si="9"/>
        <v>371</v>
      </c>
      <c r="N48" s="100">
        <f t="shared" si="9"/>
        <v>329</v>
      </c>
      <c r="O48" s="100">
        <f t="shared" si="9"/>
        <v>246</v>
      </c>
      <c r="P48" s="100">
        <f t="shared" si="9"/>
        <v>205</v>
      </c>
      <c r="Q48" s="100">
        <f t="shared" si="9"/>
        <v>328</v>
      </c>
    </row>
    <row r="49" spans="1:20" ht="20.100000000000001" customHeight="1" x14ac:dyDescent="0.2">
      <c r="A49" s="295" t="s">
        <v>176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9"/>
      <c r="L49" s="77" t="s">
        <v>180</v>
      </c>
      <c r="M49" s="77" t="s">
        <v>181</v>
      </c>
      <c r="N49" s="77" t="s">
        <v>182</v>
      </c>
      <c r="O49" s="77" t="s">
        <v>183</v>
      </c>
      <c r="P49" s="77" t="s">
        <v>184</v>
      </c>
      <c r="Q49" s="77" t="s">
        <v>185</v>
      </c>
    </row>
    <row r="50" spans="1:20" ht="20.100000000000001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2"/>
      <c r="O50" s="102"/>
      <c r="P50" s="102"/>
      <c r="Q50" s="102"/>
      <c r="R50" s="102"/>
      <c r="S50" s="102"/>
      <c r="T50" s="103"/>
    </row>
    <row r="51" spans="1:20" ht="20.100000000000001" customHeight="1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102"/>
      <c r="O51" s="102"/>
      <c r="P51" s="102"/>
      <c r="Q51" s="102"/>
      <c r="R51" s="102"/>
      <c r="S51" s="103"/>
    </row>
    <row r="52" spans="1:20" ht="20.100000000000001" customHeight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  <c r="N52" s="102"/>
      <c r="O52" s="102"/>
      <c r="P52" s="102"/>
      <c r="Q52" s="102"/>
    </row>
    <row r="53" spans="1:20" ht="20.100000000000001" customHeight="1" x14ac:dyDescent="0.2">
      <c r="A53" s="292" t="s">
        <v>236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</row>
    <row r="54" spans="1:20" ht="9.9499999999999993" customHeight="1" x14ac:dyDescent="0.2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80"/>
      <c r="N54" s="80"/>
      <c r="O54" s="80"/>
      <c r="P54" s="80"/>
      <c r="Q54" s="80"/>
    </row>
    <row r="55" spans="1:20" ht="31.5" customHeight="1" x14ac:dyDescent="0.2">
      <c r="D55" s="292" t="s">
        <v>239</v>
      </c>
      <c r="E55" s="292"/>
      <c r="F55" s="292"/>
      <c r="G55" s="292"/>
      <c r="H55" s="292"/>
      <c r="I55" s="292"/>
      <c r="K55" s="293" t="s">
        <v>178</v>
      </c>
      <c r="L55" s="294" t="s">
        <v>240</v>
      </c>
      <c r="M55" s="294"/>
      <c r="N55" s="294"/>
      <c r="O55" s="294"/>
      <c r="P55" s="294"/>
      <c r="Q55" s="294"/>
    </row>
    <row r="56" spans="1:20" ht="30.75" customHeight="1" x14ac:dyDescent="0.2">
      <c r="A56" s="170" t="s">
        <v>174</v>
      </c>
      <c r="B56" s="170" t="s">
        <v>237</v>
      </c>
      <c r="C56" s="171" t="s">
        <v>238</v>
      </c>
      <c r="D56" s="76" t="s">
        <v>180</v>
      </c>
      <c r="E56" s="76" t="s">
        <v>181</v>
      </c>
      <c r="F56" s="76" t="s">
        <v>182</v>
      </c>
      <c r="G56" s="76" t="s">
        <v>183</v>
      </c>
      <c r="H56" s="76" t="s">
        <v>184</v>
      </c>
      <c r="I56" s="76" t="s">
        <v>185</v>
      </c>
      <c r="J56" s="172" t="s">
        <v>353</v>
      </c>
      <c r="K56" s="293"/>
      <c r="L56" s="76" t="s">
        <v>180</v>
      </c>
      <c r="M56" s="76" t="s">
        <v>181</v>
      </c>
      <c r="N56" s="76" t="s">
        <v>182</v>
      </c>
      <c r="O56" s="76" t="s">
        <v>183</v>
      </c>
      <c r="P56" s="76" t="s">
        <v>184</v>
      </c>
      <c r="Q56" s="76" t="s">
        <v>185</v>
      </c>
    </row>
    <row r="57" spans="1:20" ht="36" x14ac:dyDescent="0.2">
      <c r="A57" s="81">
        <v>1</v>
      </c>
      <c r="B57" s="105" t="s">
        <v>241</v>
      </c>
      <c r="C57" s="83">
        <v>20</v>
      </c>
      <c r="D57" s="106">
        <v>1</v>
      </c>
      <c r="E57" s="107">
        <v>1</v>
      </c>
      <c r="F57" s="107">
        <v>1</v>
      </c>
      <c r="G57" s="107">
        <v>1</v>
      </c>
      <c r="H57" s="107">
        <v>1</v>
      </c>
      <c r="I57" s="107">
        <v>1</v>
      </c>
      <c r="J57" s="89">
        <f t="shared" ref="J57:J72" si="10">SUM(D57:I57)</f>
        <v>6</v>
      </c>
      <c r="K57" s="90">
        <v>1041.9000000000001</v>
      </c>
      <c r="L57" s="104">
        <f t="shared" ref="L57:Q72" si="11">ROUND(($K57/$C57)*D57,2)</f>
        <v>52.1</v>
      </c>
      <c r="M57" s="104">
        <f t="shared" si="11"/>
        <v>52.1</v>
      </c>
      <c r="N57" s="104">
        <f t="shared" si="11"/>
        <v>52.1</v>
      </c>
      <c r="O57" s="104">
        <f t="shared" si="11"/>
        <v>52.1</v>
      </c>
      <c r="P57" s="104">
        <f t="shared" si="11"/>
        <v>52.1</v>
      </c>
      <c r="Q57" s="104">
        <f t="shared" si="11"/>
        <v>52.1</v>
      </c>
    </row>
    <row r="58" spans="1:20" ht="36" x14ac:dyDescent="0.2">
      <c r="A58" s="81">
        <v>2</v>
      </c>
      <c r="B58" s="105" t="s">
        <v>242</v>
      </c>
      <c r="C58" s="83">
        <v>60</v>
      </c>
      <c r="D58" s="106"/>
      <c r="E58" s="107">
        <v>1</v>
      </c>
      <c r="F58" s="107">
        <v>1</v>
      </c>
      <c r="G58" s="107">
        <v>1</v>
      </c>
      <c r="H58" s="107">
        <v>1</v>
      </c>
      <c r="I58" s="107">
        <v>1</v>
      </c>
      <c r="J58" s="89">
        <f t="shared" si="10"/>
        <v>5</v>
      </c>
      <c r="K58" s="90">
        <v>228</v>
      </c>
      <c r="L58" s="104">
        <f t="shared" si="11"/>
        <v>0</v>
      </c>
      <c r="M58" s="104">
        <f t="shared" si="11"/>
        <v>3.8</v>
      </c>
      <c r="N58" s="104">
        <f t="shared" si="11"/>
        <v>3.8</v>
      </c>
      <c r="O58" s="104">
        <f t="shared" si="11"/>
        <v>3.8</v>
      </c>
      <c r="P58" s="104">
        <f t="shared" si="11"/>
        <v>3.8</v>
      </c>
      <c r="Q58" s="104">
        <f t="shared" si="11"/>
        <v>3.8</v>
      </c>
    </row>
    <row r="59" spans="1:20" ht="24" x14ac:dyDescent="0.2">
      <c r="A59" s="81">
        <v>3</v>
      </c>
      <c r="B59" s="105" t="s">
        <v>243</v>
      </c>
      <c r="C59" s="83">
        <v>60</v>
      </c>
      <c r="D59" s="106">
        <v>1</v>
      </c>
      <c r="E59" s="107">
        <v>1</v>
      </c>
      <c r="F59" s="107">
        <v>1</v>
      </c>
      <c r="G59" s="107">
        <v>1</v>
      </c>
      <c r="H59" s="107">
        <v>1</v>
      </c>
      <c r="I59" s="107">
        <v>1</v>
      </c>
      <c r="J59" s="89">
        <f t="shared" si="10"/>
        <v>6</v>
      </c>
      <c r="K59" s="90">
        <v>600</v>
      </c>
      <c r="L59" s="104">
        <f t="shared" si="11"/>
        <v>10</v>
      </c>
      <c r="M59" s="104">
        <f t="shared" si="11"/>
        <v>10</v>
      </c>
      <c r="N59" s="104">
        <f t="shared" si="11"/>
        <v>10</v>
      </c>
      <c r="O59" s="104">
        <f t="shared" si="11"/>
        <v>10</v>
      </c>
      <c r="P59" s="104">
        <f t="shared" si="11"/>
        <v>10</v>
      </c>
      <c r="Q59" s="104">
        <f t="shared" si="11"/>
        <v>10</v>
      </c>
    </row>
    <row r="60" spans="1:20" ht="24" x14ac:dyDescent="0.2">
      <c r="A60" s="81">
        <v>4</v>
      </c>
      <c r="B60" s="105" t="s">
        <v>244</v>
      </c>
      <c r="C60" s="83">
        <v>60</v>
      </c>
      <c r="D60" s="106">
        <v>1</v>
      </c>
      <c r="E60" s="107">
        <v>1</v>
      </c>
      <c r="F60" s="107">
        <v>1</v>
      </c>
      <c r="G60" s="107">
        <v>1</v>
      </c>
      <c r="H60" s="107">
        <v>1</v>
      </c>
      <c r="I60" s="107">
        <v>1</v>
      </c>
      <c r="J60" s="89">
        <f t="shared" si="10"/>
        <v>6</v>
      </c>
      <c r="K60" s="90">
        <v>1041.99</v>
      </c>
      <c r="L60" s="104">
        <f t="shared" si="11"/>
        <v>17.37</v>
      </c>
      <c r="M60" s="104">
        <f t="shared" si="11"/>
        <v>17.37</v>
      </c>
      <c r="N60" s="104">
        <f t="shared" si="11"/>
        <v>17.37</v>
      </c>
      <c r="O60" s="104">
        <f t="shared" si="11"/>
        <v>17.37</v>
      </c>
      <c r="P60" s="104">
        <f t="shared" si="11"/>
        <v>17.37</v>
      </c>
      <c r="Q60" s="104">
        <f t="shared" si="11"/>
        <v>17.37</v>
      </c>
    </row>
    <row r="61" spans="1:20" ht="36" x14ac:dyDescent="0.2">
      <c r="A61" s="81">
        <v>5</v>
      </c>
      <c r="B61" s="105" t="s">
        <v>245</v>
      </c>
      <c r="C61" s="83">
        <v>60</v>
      </c>
      <c r="D61" s="106">
        <v>3</v>
      </c>
      <c r="E61" s="107">
        <v>4</v>
      </c>
      <c r="F61" s="107">
        <v>4</v>
      </c>
      <c r="G61" s="107">
        <v>7</v>
      </c>
      <c r="H61" s="107">
        <v>17</v>
      </c>
      <c r="I61" s="107">
        <v>1</v>
      </c>
      <c r="J61" s="89">
        <f t="shared" si="10"/>
        <v>36</v>
      </c>
      <c r="K61" s="90">
        <v>33.49</v>
      </c>
      <c r="L61" s="104">
        <f t="shared" si="11"/>
        <v>1.67</v>
      </c>
      <c r="M61" s="104">
        <f t="shared" si="11"/>
        <v>2.23</v>
      </c>
      <c r="N61" s="104">
        <f t="shared" si="11"/>
        <v>2.23</v>
      </c>
      <c r="O61" s="104">
        <f t="shared" si="11"/>
        <v>3.91</v>
      </c>
      <c r="P61" s="104">
        <f t="shared" si="11"/>
        <v>9.49</v>
      </c>
      <c r="Q61" s="104">
        <f t="shared" si="11"/>
        <v>0.56000000000000005</v>
      </c>
    </row>
    <row r="62" spans="1:20" ht="36" x14ac:dyDescent="0.2">
      <c r="A62" s="81">
        <v>6</v>
      </c>
      <c r="B62" s="105" t="s">
        <v>246</v>
      </c>
      <c r="C62" s="83">
        <v>60</v>
      </c>
      <c r="D62" s="106">
        <v>3</v>
      </c>
      <c r="E62" s="107">
        <v>4</v>
      </c>
      <c r="F62" s="107">
        <v>4</v>
      </c>
      <c r="G62" s="107">
        <v>7</v>
      </c>
      <c r="H62" s="107">
        <v>10</v>
      </c>
      <c r="I62" s="107">
        <v>1</v>
      </c>
      <c r="J62" s="89">
        <f t="shared" si="10"/>
        <v>29</v>
      </c>
      <c r="K62" s="90">
        <v>28</v>
      </c>
      <c r="L62" s="104">
        <f t="shared" si="11"/>
        <v>1.4</v>
      </c>
      <c r="M62" s="104">
        <f t="shared" si="11"/>
        <v>1.87</v>
      </c>
      <c r="N62" s="104">
        <f t="shared" si="11"/>
        <v>1.87</v>
      </c>
      <c r="O62" s="104">
        <f t="shared" si="11"/>
        <v>3.27</v>
      </c>
      <c r="P62" s="104">
        <f t="shared" si="11"/>
        <v>4.67</v>
      </c>
      <c r="Q62" s="104">
        <f t="shared" si="11"/>
        <v>0.47</v>
      </c>
    </row>
    <row r="63" spans="1:20" ht="24" x14ac:dyDescent="0.2">
      <c r="A63" s="81">
        <v>7</v>
      </c>
      <c r="B63" s="105" t="s">
        <v>247</v>
      </c>
      <c r="C63" s="83">
        <v>60</v>
      </c>
      <c r="D63" s="106">
        <v>3</v>
      </c>
      <c r="E63" s="107">
        <v>4</v>
      </c>
      <c r="F63" s="107">
        <v>4</v>
      </c>
      <c r="G63" s="107">
        <v>7</v>
      </c>
      <c r="H63" s="107">
        <v>10</v>
      </c>
      <c r="I63" s="107">
        <v>1</v>
      </c>
      <c r="J63" s="89">
        <f t="shared" si="10"/>
        <v>29</v>
      </c>
      <c r="K63" s="90">
        <v>23.89</v>
      </c>
      <c r="L63" s="104">
        <f t="shared" si="11"/>
        <v>1.19</v>
      </c>
      <c r="M63" s="104">
        <f t="shared" si="11"/>
        <v>1.59</v>
      </c>
      <c r="N63" s="104">
        <f t="shared" si="11"/>
        <v>1.59</v>
      </c>
      <c r="O63" s="104">
        <f t="shared" si="11"/>
        <v>2.79</v>
      </c>
      <c r="P63" s="104">
        <f t="shared" si="11"/>
        <v>3.98</v>
      </c>
      <c r="Q63" s="104">
        <f t="shared" si="11"/>
        <v>0.4</v>
      </c>
    </row>
    <row r="64" spans="1:20" ht="24" x14ac:dyDescent="0.2">
      <c r="A64" s="81">
        <v>8</v>
      </c>
      <c r="B64" s="105" t="s">
        <v>248</v>
      </c>
      <c r="C64" s="83">
        <v>60</v>
      </c>
      <c r="D64" s="106"/>
      <c r="E64" s="107"/>
      <c r="F64" s="107"/>
      <c r="G64" s="107">
        <v>1</v>
      </c>
      <c r="H64" s="107">
        <v>1</v>
      </c>
      <c r="I64" s="107">
        <v>1</v>
      </c>
      <c r="J64" s="89">
        <f t="shared" si="10"/>
        <v>3</v>
      </c>
      <c r="K64" s="90">
        <v>149</v>
      </c>
      <c r="L64" s="104">
        <f t="shared" si="11"/>
        <v>0</v>
      </c>
      <c r="M64" s="104">
        <f t="shared" si="11"/>
        <v>0</v>
      </c>
      <c r="N64" s="104">
        <f t="shared" si="11"/>
        <v>0</v>
      </c>
      <c r="O64" s="104">
        <f t="shared" si="11"/>
        <v>2.48</v>
      </c>
      <c r="P64" s="104">
        <f t="shared" si="11"/>
        <v>2.48</v>
      </c>
      <c r="Q64" s="104">
        <f t="shared" si="11"/>
        <v>2.48</v>
      </c>
    </row>
    <row r="65" spans="1:19" ht="40.5" customHeight="1" x14ac:dyDescent="0.2">
      <c r="A65" s="81">
        <v>9</v>
      </c>
      <c r="B65" s="105" t="s">
        <v>249</v>
      </c>
      <c r="C65" s="83">
        <v>12</v>
      </c>
      <c r="D65" s="106">
        <v>1</v>
      </c>
      <c r="E65" s="107">
        <v>1</v>
      </c>
      <c r="F65" s="107">
        <v>1</v>
      </c>
      <c r="G65" s="107">
        <v>1</v>
      </c>
      <c r="H65" s="107">
        <v>1</v>
      </c>
      <c r="I65" s="107">
        <v>1</v>
      </c>
      <c r="J65" s="89">
        <f t="shared" si="10"/>
        <v>6</v>
      </c>
      <c r="K65" s="90">
        <v>336.9</v>
      </c>
      <c r="L65" s="104">
        <f t="shared" si="11"/>
        <v>28.08</v>
      </c>
      <c r="M65" s="104">
        <f t="shared" si="11"/>
        <v>28.08</v>
      </c>
      <c r="N65" s="104">
        <f t="shared" si="11"/>
        <v>28.08</v>
      </c>
      <c r="O65" s="104">
        <f t="shared" si="11"/>
        <v>28.08</v>
      </c>
      <c r="P65" s="104">
        <f t="shared" si="11"/>
        <v>28.08</v>
      </c>
      <c r="Q65" s="104">
        <f t="shared" si="11"/>
        <v>28.08</v>
      </c>
    </row>
    <row r="66" spans="1:19" ht="24" x14ac:dyDescent="0.2">
      <c r="A66" s="81">
        <v>10</v>
      </c>
      <c r="B66" s="105" t="s">
        <v>250</v>
      </c>
      <c r="C66" s="83">
        <v>60</v>
      </c>
      <c r="D66" s="106">
        <v>1</v>
      </c>
      <c r="E66" s="107"/>
      <c r="F66" s="107"/>
      <c r="G66" s="107">
        <v>1</v>
      </c>
      <c r="H66" s="107">
        <v>1</v>
      </c>
      <c r="I66" s="107">
        <v>1</v>
      </c>
      <c r="J66" s="89">
        <f t="shared" si="10"/>
        <v>4</v>
      </c>
      <c r="K66" s="90">
        <v>45.62</v>
      </c>
      <c r="L66" s="104">
        <f t="shared" si="11"/>
        <v>0.76</v>
      </c>
      <c r="M66" s="104">
        <f t="shared" si="11"/>
        <v>0</v>
      </c>
      <c r="N66" s="104">
        <f t="shared" si="11"/>
        <v>0</v>
      </c>
      <c r="O66" s="104">
        <f t="shared" si="11"/>
        <v>0.76</v>
      </c>
      <c r="P66" s="104">
        <f t="shared" si="11"/>
        <v>0.76</v>
      </c>
      <c r="Q66" s="104">
        <f t="shared" si="11"/>
        <v>0.76</v>
      </c>
    </row>
    <row r="67" spans="1:19" ht="36" x14ac:dyDescent="0.2">
      <c r="A67" s="81">
        <v>11</v>
      </c>
      <c r="B67" s="105" t="s">
        <v>251</v>
      </c>
      <c r="C67" s="83">
        <v>12</v>
      </c>
      <c r="D67" s="106">
        <v>1</v>
      </c>
      <c r="E67" s="107">
        <v>1</v>
      </c>
      <c r="F67" s="107">
        <v>1</v>
      </c>
      <c r="G67" s="107">
        <v>1</v>
      </c>
      <c r="H67" s="107">
        <v>1</v>
      </c>
      <c r="I67" s="107">
        <v>1</v>
      </c>
      <c r="J67" s="89">
        <f t="shared" si="10"/>
        <v>6</v>
      </c>
      <c r="K67" s="90">
        <v>645.16</v>
      </c>
      <c r="L67" s="104">
        <f t="shared" si="11"/>
        <v>53.76</v>
      </c>
      <c r="M67" s="104">
        <f t="shared" si="11"/>
        <v>53.76</v>
      </c>
      <c r="N67" s="104">
        <f t="shared" si="11"/>
        <v>53.76</v>
      </c>
      <c r="O67" s="104">
        <f t="shared" si="11"/>
        <v>53.76</v>
      </c>
      <c r="P67" s="104">
        <f t="shared" si="11"/>
        <v>53.76</v>
      </c>
      <c r="Q67" s="104">
        <f t="shared" si="11"/>
        <v>53.76</v>
      </c>
    </row>
    <row r="68" spans="1:19" ht="24" x14ac:dyDescent="0.2">
      <c r="A68" s="81">
        <v>12</v>
      </c>
      <c r="B68" s="105" t="s">
        <v>252</v>
      </c>
      <c r="C68" s="83">
        <v>60</v>
      </c>
      <c r="D68" s="106">
        <v>1</v>
      </c>
      <c r="E68" s="107">
        <v>1</v>
      </c>
      <c r="F68" s="107">
        <v>1</v>
      </c>
      <c r="G68" s="107">
        <v>1</v>
      </c>
      <c r="H68" s="107">
        <v>1</v>
      </c>
      <c r="I68" s="107">
        <v>1</v>
      </c>
      <c r="J68" s="89">
        <f t="shared" si="10"/>
        <v>6</v>
      </c>
      <c r="K68" s="90">
        <v>141.33000000000001</v>
      </c>
      <c r="L68" s="104">
        <f t="shared" si="11"/>
        <v>2.36</v>
      </c>
      <c r="M68" s="104">
        <f t="shared" si="11"/>
        <v>2.36</v>
      </c>
      <c r="N68" s="104">
        <f t="shared" si="11"/>
        <v>2.36</v>
      </c>
      <c r="O68" s="104">
        <f t="shared" si="11"/>
        <v>2.36</v>
      </c>
      <c r="P68" s="104">
        <f t="shared" si="11"/>
        <v>2.36</v>
      </c>
      <c r="Q68" s="104">
        <f t="shared" si="11"/>
        <v>2.36</v>
      </c>
    </row>
    <row r="69" spans="1:19" ht="63" customHeight="1" x14ac:dyDescent="0.2">
      <c r="A69" s="81">
        <v>13</v>
      </c>
      <c r="B69" s="105" t="s">
        <v>253</v>
      </c>
      <c r="C69" s="83">
        <v>60</v>
      </c>
      <c r="D69" s="106">
        <v>1</v>
      </c>
      <c r="E69" s="107">
        <v>1</v>
      </c>
      <c r="F69" s="107">
        <v>1</v>
      </c>
      <c r="G69" s="107">
        <v>1</v>
      </c>
      <c r="H69" s="107">
        <v>1</v>
      </c>
      <c r="I69" s="107">
        <v>1</v>
      </c>
      <c r="J69" s="89">
        <f t="shared" si="10"/>
        <v>6</v>
      </c>
      <c r="K69" s="90">
        <v>15</v>
      </c>
      <c r="L69" s="104">
        <f t="shared" si="11"/>
        <v>0.25</v>
      </c>
      <c r="M69" s="104">
        <f t="shared" si="11"/>
        <v>0.25</v>
      </c>
      <c r="N69" s="104">
        <f t="shared" si="11"/>
        <v>0.25</v>
      </c>
      <c r="O69" s="104">
        <f t="shared" si="11"/>
        <v>0.25</v>
      </c>
      <c r="P69" s="104">
        <f t="shared" si="11"/>
        <v>0.25</v>
      </c>
      <c r="Q69" s="104">
        <f t="shared" si="11"/>
        <v>0.25</v>
      </c>
    </row>
    <row r="70" spans="1:19" ht="63" customHeight="1" x14ac:dyDescent="0.2">
      <c r="A70" s="81">
        <v>14</v>
      </c>
      <c r="B70" s="105" t="s">
        <v>254</v>
      </c>
      <c r="C70" s="83">
        <v>60</v>
      </c>
      <c r="D70" s="106">
        <v>1</v>
      </c>
      <c r="E70" s="107">
        <v>1</v>
      </c>
      <c r="F70" s="107">
        <v>1</v>
      </c>
      <c r="G70" s="107">
        <v>1</v>
      </c>
      <c r="H70" s="107">
        <v>1</v>
      </c>
      <c r="I70" s="107">
        <v>1</v>
      </c>
      <c r="J70" s="89">
        <f t="shared" si="10"/>
        <v>6</v>
      </c>
      <c r="K70" s="90">
        <v>15</v>
      </c>
      <c r="L70" s="104">
        <f t="shared" si="11"/>
        <v>0.25</v>
      </c>
      <c r="M70" s="104">
        <f t="shared" si="11"/>
        <v>0.25</v>
      </c>
      <c r="N70" s="104">
        <f t="shared" si="11"/>
        <v>0.25</v>
      </c>
      <c r="O70" s="104">
        <f t="shared" si="11"/>
        <v>0.25</v>
      </c>
      <c r="P70" s="104">
        <f t="shared" si="11"/>
        <v>0.25</v>
      </c>
      <c r="Q70" s="104">
        <f t="shared" si="11"/>
        <v>0.25</v>
      </c>
    </row>
    <row r="71" spans="1:19" ht="63" customHeight="1" x14ac:dyDescent="0.2">
      <c r="A71" s="81">
        <v>15</v>
      </c>
      <c r="B71" s="105" t="s">
        <v>255</v>
      </c>
      <c r="C71" s="83">
        <v>60</v>
      </c>
      <c r="D71" s="106"/>
      <c r="E71" s="107"/>
      <c r="F71" s="107"/>
      <c r="G71" s="107">
        <v>1</v>
      </c>
      <c r="H71" s="107">
        <v>1</v>
      </c>
      <c r="I71" s="107">
        <v>1</v>
      </c>
      <c r="J71" s="89">
        <f t="shared" si="10"/>
        <v>3</v>
      </c>
      <c r="K71" s="90">
        <v>834.76</v>
      </c>
      <c r="L71" s="104">
        <f t="shared" si="11"/>
        <v>0</v>
      </c>
      <c r="M71" s="104">
        <f t="shared" si="11"/>
        <v>0</v>
      </c>
      <c r="N71" s="104">
        <f t="shared" si="11"/>
        <v>0</v>
      </c>
      <c r="O71" s="104">
        <f t="shared" si="11"/>
        <v>13.91</v>
      </c>
      <c r="P71" s="104">
        <f t="shared" si="11"/>
        <v>13.91</v>
      </c>
      <c r="Q71" s="104">
        <f t="shared" si="11"/>
        <v>13.91</v>
      </c>
    </row>
    <row r="72" spans="1:19" ht="63" customHeight="1" x14ac:dyDescent="0.2">
      <c r="A72" s="81">
        <v>16</v>
      </c>
      <c r="B72" s="105" t="s">
        <v>256</v>
      </c>
      <c r="C72" s="83">
        <v>24</v>
      </c>
      <c r="D72" s="106"/>
      <c r="E72" s="107"/>
      <c r="F72" s="107"/>
      <c r="G72" s="107">
        <v>1</v>
      </c>
      <c r="H72" s="107">
        <v>1</v>
      </c>
      <c r="I72" s="107">
        <v>1</v>
      </c>
      <c r="J72" s="89">
        <f t="shared" si="10"/>
        <v>3</v>
      </c>
      <c r="K72" s="90">
        <v>1409.77</v>
      </c>
      <c r="L72" s="104">
        <f t="shared" si="11"/>
        <v>0</v>
      </c>
      <c r="M72" s="104">
        <f t="shared" si="11"/>
        <v>0</v>
      </c>
      <c r="N72" s="104">
        <f t="shared" si="11"/>
        <v>0</v>
      </c>
      <c r="O72" s="104">
        <f t="shared" si="11"/>
        <v>58.74</v>
      </c>
      <c r="P72" s="104">
        <f t="shared" si="11"/>
        <v>58.74</v>
      </c>
      <c r="Q72" s="104">
        <f t="shared" si="11"/>
        <v>58.74</v>
      </c>
    </row>
    <row r="73" spans="1:19" ht="20.100000000000001" customHeight="1" x14ac:dyDescent="0.2">
      <c r="A73" s="300" t="s">
        <v>257</v>
      </c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108">
        <f t="shared" ref="L73:Q73" si="12">SUM(L57:L72)</f>
        <v>169.19000000000003</v>
      </c>
      <c r="M73" s="108">
        <f t="shared" si="12"/>
        <v>173.66000000000003</v>
      </c>
      <c r="N73" s="108">
        <f t="shared" si="12"/>
        <v>173.66000000000003</v>
      </c>
      <c r="O73" s="108">
        <f t="shared" si="12"/>
        <v>253.83000000000004</v>
      </c>
      <c r="P73" s="108">
        <f t="shared" si="12"/>
        <v>262</v>
      </c>
      <c r="Q73" s="108">
        <f t="shared" si="12"/>
        <v>245.29000000000005</v>
      </c>
    </row>
    <row r="74" spans="1:19" ht="20.100000000000001" customHeight="1" x14ac:dyDescent="0.2">
      <c r="A74" s="295" t="s">
        <v>233</v>
      </c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98">
        <f>ROUND(L73/20,2)</f>
        <v>8.4600000000000009</v>
      </c>
      <c r="M74" s="98">
        <f t="shared" ref="M74:Q74" si="13">ROUND(M73/20,2)</f>
        <v>8.68</v>
      </c>
      <c r="N74" s="98">
        <f t="shared" si="13"/>
        <v>8.68</v>
      </c>
      <c r="O74" s="98">
        <f t="shared" si="13"/>
        <v>12.69</v>
      </c>
      <c r="P74" s="98">
        <f t="shared" si="13"/>
        <v>13.1</v>
      </c>
      <c r="Q74" s="98">
        <f t="shared" si="13"/>
        <v>12.26</v>
      </c>
    </row>
    <row r="75" spans="1:19" ht="20.100000000000001" customHeight="1" x14ac:dyDescent="0.2">
      <c r="A75" s="300" t="s">
        <v>234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109">
        <v>1</v>
      </c>
      <c r="M75" s="109">
        <v>1</v>
      </c>
      <c r="N75" s="109">
        <v>1</v>
      </c>
      <c r="O75" s="109">
        <v>2</v>
      </c>
      <c r="P75" s="109">
        <v>2</v>
      </c>
      <c r="Q75" s="110">
        <v>1</v>
      </c>
    </row>
    <row r="76" spans="1:19" ht="20.100000000000001" customHeight="1" x14ac:dyDescent="0.2">
      <c r="A76" s="295" t="s">
        <v>258</v>
      </c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98">
        <f>ROUND(L74/L75,2)</f>
        <v>8.4600000000000009</v>
      </c>
      <c r="M76" s="98">
        <f t="shared" ref="M76:Q76" si="14">ROUND(M74/M75,2)</f>
        <v>8.68</v>
      </c>
      <c r="N76" s="98">
        <f t="shared" si="14"/>
        <v>8.68</v>
      </c>
      <c r="O76" s="98">
        <f t="shared" si="14"/>
        <v>6.35</v>
      </c>
      <c r="P76" s="98">
        <f t="shared" si="14"/>
        <v>6.55</v>
      </c>
      <c r="Q76" s="98">
        <f t="shared" si="14"/>
        <v>12.26</v>
      </c>
    </row>
    <row r="77" spans="1:19" ht="20.100000000000001" customHeight="1" x14ac:dyDescent="0.2">
      <c r="A77" s="295" t="s">
        <v>176</v>
      </c>
      <c r="B77" s="296"/>
      <c r="C77" s="296"/>
      <c r="D77" s="296"/>
      <c r="E77" s="296"/>
      <c r="F77" s="296"/>
      <c r="G77" s="296"/>
      <c r="H77" s="296"/>
      <c r="I77" s="296"/>
      <c r="J77" s="296"/>
      <c r="K77" s="299"/>
      <c r="L77" s="77" t="s">
        <v>180</v>
      </c>
      <c r="M77" s="77" t="s">
        <v>181</v>
      </c>
      <c r="N77" s="77" t="s">
        <v>182</v>
      </c>
      <c r="O77" s="77" t="s">
        <v>183</v>
      </c>
      <c r="P77" s="77" t="s">
        <v>184</v>
      </c>
      <c r="Q77" s="77" t="s">
        <v>185</v>
      </c>
      <c r="R77" s="103"/>
    </row>
    <row r="78" spans="1:19" ht="20.100000000000001" customHeight="1" x14ac:dyDescent="0.2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2"/>
      <c r="N78" s="102"/>
      <c r="O78" s="102"/>
      <c r="P78" s="102"/>
      <c r="Q78" s="102"/>
      <c r="R78" s="102"/>
      <c r="S78" s="103"/>
    </row>
    <row r="79" spans="1:19" ht="18.95" customHeight="1" x14ac:dyDescent="0.2">
      <c r="A79" s="302" t="s">
        <v>259</v>
      </c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111"/>
    </row>
    <row r="80" spans="1:19" ht="9.9499999999999993" customHeight="1" x14ac:dyDescent="0.2">
      <c r="A80" s="112"/>
      <c r="B80" s="112"/>
      <c r="C80" s="112"/>
      <c r="D80" s="112"/>
      <c r="E80" s="112"/>
      <c r="F80" s="112"/>
      <c r="G80" s="112"/>
      <c r="H80" s="112"/>
      <c r="I80" s="112"/>
    </row>
    <row r="81" spans="1:11" ht="18.95" customHeight="1" x14ac:dyDescent="0.2">
      <c r="A81" s="113" t="s">
        <v>174</v>
      </c>
      <c r="B81" s="303" t="s">
        <v>260</v>
      </c>
      <c r="C81" s="304"/>
      <c r="D81" s="304"/>
      <c r="E81" s="304"/>
      <c r="F81" s="305"/>
      <c r="G81" s="306" t="s">
        <v>178</v>
      </c>
      <c r="H81" s="307"/>
      <c r="I81" s="114" t="s">
        <v>261</v>
      </c>
      <c r="J81" s="308" t="s">
        <v>262</v>
      </c>
      <c r="K81" s="308"/>
    </row>
    <row r="82" spans="1:11" ht="18.95" customHeight="1" x14ac:dyDescent="0.2">
      <c r="A82" s="81">
        <v>1</v>
      </c>
      <c r="B82" s="309" t="s">
        <v>263</v>
      </c>
      <c r="C82" s="310"/>
      <c r="D82" s="310"/>
      <c r="E82" s="310"/>
      <c r="F82" s="311"/>
      <c r="G82" s="312">
        <v>35.799999999999997</v>
      </c>
      <c r="H82" s="313"/>
      <c r="I82" s="115">
        <v>1</v>
      </c>
      <c r="J82" s="314">
        <f t="shared" ref="J82:J90" si="15">G82*I82</f>
        <v>35.799999999999997</v>
      </c>
      <c r="K82" s="314"/>
    </row>
    <row r="83" spans="1:11" ht="18.95" customHeight="1" x14ac:dyDescent="0.2">
      <c r="A83" s="81">
        <v>2</v>
      </c>
      <c r="B83" s="309" t="s">
        <v>264</v>
      </c>
      <c r="C83" s="310"/>
      <c r="D83" s="310"/>
      <c r="E83" s="310"/>
      <c r="F83" s="311"/>
      <c r="G83" s="315">
        <v>54.49</v>
      </c>
      <c r="H83" s="316"/>
      <c r="I83" s="115">
        <v>1</v>
      </c>
      <c r="J83" s="314">
        <f t="shared" si="15"/>
        <v>54.49</v>
      </c>
      <c r="K83" s="314"/>
    </row>
    <row r="84" spans="1:11" ht="18.95" customHeight="1" x14ac:dyDescent="0.2">
      <c r="A84" s="81">
        <v>3</v>
      </c>
      <c r="B84" s="317" t="s">
        <v>265</v>
      </c>
      <c r="C84" s="317"/>
      <c r="D84" s="317"/>
      <c r="E84" s="317"/>
      <c r="F84" s="317"/>
      <c r="G84" s="315">
        <v>54.19</v>
      </c>
      <c r="H84" s="316"/>
      <c r="I84" s="115">
        <v>1</v>
      </c>
      <c r="J84" s="314">
        <f t="shared" si="15"/>
        <v>54.19</v>
      </c>
      <c r="K84" s="314"/>
    </row>
    <row r="85" spans="1:11" ht="18.95" customHeight="1" x14ac:dyDescent="0.2">
      <c r="A85" s="81">
        <v>4</v>
      </c>
      <c r="B85" s="318" t="s">
        <v>266</v>
      </c>
      <c r="C85" s="318"/>
      <c r="D85" s="318"/>
      <c r="E85" s="318"/>
      <c r="F85" s="318"/>
      <c r="G85" s="312">
        <v>16.91</v>
      </c>
      <c r="H85" s="313"/>
      <c r="I85" s="115">
        <v>4</v>
      </c>
      <c r="J85" s="314">
        <f t="shared" si="15"/>
        <v>67.64</v>
      </c>
      <c r="K85" s="314"/>
    </row>
    <row r="86" spans="1:11" ht="18.95" customHeight="1" x14ac:dyDescent="0.2">
      <c r="A86" s="81">
        <v>5</v>
      </c>
      <c r="B86" s="318" t="s">
        <v>267</v>
      </c>
      <c r="C86" s="318"/>
      <c r="D86" s="318"/>
      <c r="E86" s="318"/>
      <c r="F86" s="318"/>
      <c r="G86" s="312">
        <v>26.25</v>
      </c>
      <c r="H86" s="313"/>
      <c r="I86" s="115">
        <v>4</v>
      </c>
      <c r="J86" s="314">
        <f t="shared" si="15"/>
        <v>105</v>
      </c>
      <c r="K86" s="314"/>
    </row>
    <row r="87" spans="1:11" ht="18.95" customHeight="1" x14ac:dyDescent="0.2">
      <c r="A87" s="81">
        <v>6</v>
      </c>
      <c r="B87" s="317" t="s">
        <v>268</v>
      </c>
      <c r="C87" s="317"/>
      <c r="D87" s="317"/>
      <c r="E87" s="317"/>
      <c r="F87" s="317"/>
      <c r="G87" s="312">
        <v>5.28</v>
      </c>
      <c r="H87" s="313"/>
      <c r="I87" s="115">
        <v>3</v>
      </c>
      <c r="J87" s="314">
        <f t="shared" si="15"/>
        <v>15.84</v>
      </c>
      <c r="K87" s="314"/>
    </row>
    <row r="88" spans="1:11" ht="18.95" customHeight="1" x14ac:dyDescent="0.2">
      <c r="A88" s="81">
        <v>7</v>
      </c>
      <c r="B88" s="317" t="s">
        <v>269</v>
      </c>
      <c r="C88" s="317"/>
      <c r="D88" s="317"/>
      <c r="E88" s="317"/>
      <c r="F88" s="317"/>
      <c r="G88" s="312">
        <v>5.2</v>
      </c>
      <c r="H88" s="313"/>
      <c r="I88" s="115">
        <v>1</v>
      </c>
      <c r="J88" s="314">
        <f t="shared" si="15"/>
        <v>5.2</v>
      </c>
      <c r="K88" s="314"/>
    </row>
    <row r="89" spans="1:11" ht="18.95" customHeight="1" x14ac:dyDescent="0.2">
      <c r="A89" s="81">
        <v>8</v>
      </c>
      <c r="B89" s="322" t="s">
        <v>270</v>
      </c>
      <c r="C89" s="323"/>
      <c r="D89" s="323"/>
      <c r="E89" s="323"/>
      <c r="F89" s="324"/>
      <c r="G89" s="312">
        <v>75</v>
      </c>
      <c r="H89" s="313"/>
      <c r="I89" s="115">
        <v>3</v>
      </c>
      <c r="J89" s="312">
        <f t="shared" si="15"/>
        <v>225</v>
      </c>
      <c r="K89" s="313"/>
    </row>
    <row r="90" spans="1:11" ht="18.95" customHeight="1" x14ac:dyDescent="0.2">
      <c r="A90" s="81">
        <v>9</v>
      </c>
      <c r="B90" s="322" t="s">
        <v>271</v>
      </c>
      <c r="C90" s="323"/>
      <c r="D90" s="323"/>
      <c r="E90" s="323"/>
      <c r="F90" s="324"/>
      <c r="G90" s="312">
        <v>3.74</v>
      </c>
      <c r="H90" s="313"/>
      <c r="I90" s="115">
        <v>1</v>
      </c>
      <c r="J90" s="312">
        <f t="shared" si="15"/>
        <v>3.74</v>
      </c>
      <c r="K90" s="313"/>
    </row>
    <row r="91" spans="1:11" ht="18.95" customHeight="1" x14ac:dyDescent="0.2">
      <c r="A91" s="319" t="s">
        <v>272</v>
      </c>
      <c r="B91" s="319"/>
      <c r="C91" s="319"/>
      <c r="D91" s="319"/>
      <c r="E91" s="319"/>
      <c r="F91" s="319"/>
      <c r="G91" s="319"/>
      <c r="H91" s="319"/>
      <c r="I91" s="319"/>
      <c r="J91" s="320">
        <f>SUM(J82:J90)</f>
        <v>566.9</v>
      </c>
      <c r="K91" s="320"/>
    </row>
    <row r="92" spans="1:11" ht="18.95" customHeight="1" x14ac:dyDescent="0.2">
      <c r="A92" s="319" t="s">
        <v>273</v>
      </c>
      <c r="B92" s="319"/>
      <c r="C92" s="319"/>
      <c r="D92" s="319"/>
      <c r="E92" s="319"/>
      <c r="F92" s="319"/>
      <c r="G92" s="319"/>
      <c r="H92" s="319"/>
      <c r="I92" s="319"/>
      <c r="J92" s="321">
        <f>ROUND(J91/12,0)</f>
        <v>47</v>
      </c>
      <c r="K92" s="321"/>
    </row>
    <row r="93" spans="1:11" ht="18.95" customHeight="1" x14ac:dyDescent="0.2"/>
    <row r="94" spans="1:11" ht="18.95" customHeight="1" x14ac:dyDescent="0.2"/>
    <row r="95" spans="1:11" ht="18.95" customHeight="1" x14ac:dyDescent="0.2"/>
    <row r="96" spans="1:11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</sheetData>
  <mergeCells count="52">
    <mergeCell ref="A91:I91"/>
    <mergeCell ref="J91:K91"/>
    <mergeCell ref="A92:I92"/>
    <mergeCell ref="J92:K92"/>
    <mergeCell ref="B89:F89"/>
    <mergeCell ref="G89:H89"/>
    <mergeCell ref="J89:K89"/>
    <mergeCell ref="B90:F90"/>
    <mergeCell ref="G90:H90"/>
    <mergeCell ref="J90:K90"/>
    <mergeCell ref="B87:F87"/>
    <mergeCell ref="G87:H87"/>
    <mergeCell ref="J87:K87"/>
    <mergeCell ref="B88:F88"/>
    <mergeCell ref="G88:H88"/>
    <mergeCell ref="J88:K88"/>
    <mergeCell ref="B85:F85"/>
    <mergeCell ref="G85:H85"/>
    <mergeCell ref="J85:K85"/>
    <mergeCell ref="B86:F86"/>
    <mergeCell ref="G86:H86"/>
    <mergeCell ref="J86:K86"/>
    <mergeCell ref="B83:F83"/>
    <mergeCell ref="G83:H83"/>
    <mergeCell ref="J83:K83"/>
    <mergeCell ref="B84:F84"/>
    <mergeCell ref="G84:H84"/>
    <mergeCell ref="J84:K84"/>
    <mergeCell ref="B81:F81"/>
    <mergeCell ref="G81:H81"/>
    <mergeCell ref="J81:K81"/>
    <mergeCell ref="B82:F82"/>
    <mergeCell ref="G82:H82"/>
    <mergeCell ref="J82:K82"/>
    <mergeCell ref="A73:K73"/>
    <mergeCell ref="A74:K74"/>
    <mergeCell ref="A75:K75"/>
    <mergeCell ref="A79:K79"/>
    <mergeCell ref="D55:I55"/>
    <mergeCell ref="K55:K56"/>
    <mergeCell ref="A77:K77"/>
    <mergeCell ref="A76:K76"/>
    <mergeCell ref="A2:Q2"/>
    <mergeCell ref="D4:I4"/>
    <mergeCell ref="K4:K5"/>
    <mergeCell ref="L4:Q4"/>
    <mergeCell ref="L55:Q55"/>
    <mergeCell ref="A46:K46"/>
    <mergeCell ref="A47:K47"/>
    <mergeCell ref="A48:K48"/>
    <mergeCell ref="A49:K49"/>
    <mergeCell ref="A53:Q53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65" orientation="landscape" r:id="rId1"/>
  <headerFooter>
    <oddFooter xml:space="preserve">&amp;CInsumos Diversos 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CONSOLIDAÇÃO G2</vt:lpstr>
      <vt:lpstr>G2 BGR-MT Servente</vt:lpstr>
      <vt:lpstr>M² Barra das Garças</vt:lpstr>
      <vt:lpstr>G2 ROO-MT Servente</vt:lpstr>
      <vt:lpstr>M² Rondonópolis</vt:lpstr>
      <vt:lpstr>G2 TSE-MT Servente</vt:lpstr>
      <vt:lpstr>M² Tangará da Serra</vt:lpstr>
      <vt:lpstr>G2 CAC-MT Servente</vt:lpstr>
      <vt:lpstr>M² Cáceres</vt:lpstr>
      <vt:lpstr>G2 CORIXA-MT Servente</vt:lpstr>
      <vt:lpstr>M² Corixa</vt:lpstr>
      <vt:lpstr>G2 DVAVG-MT Servente</vt:lpstr>
      <vt:lpstr>M² DVAVG</vt:lpstr>
      <vt:lpstr>G2 - Qtd Servente</vt:lpstr>
      <vt:lpstr>Insumos Diversos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Ticiane Lima Alencar Sousa</dc:creator>
  <cp:lastModifiedBy>Ticiane Lima Alencar Sousa</cp:lastModifiedBy>
  <cp:lastPrinted>2024-05-24T11:50:40Z</cp:lastPrinted>
  <dcterms:created xsi:type="dcterms:W3CDTF">2024-03-25T14:49:10Z</dcterms:created>
  <dcterms:modified xsi:type="dcterms:W3CDTF">2024-05-24T11:50:47Z</dcterms:modified>
</cp:coreProperties>
</file>