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fbgov-my.sharepoint.com/personal/marcio_teixeira_rfb_gov_br/Documents/RFB/A AA LICITAÇÕES/1. PREGÕES/2024/8. PE SRRF01 Nº 90008_2024_LIMPEZA/Z FASE EXTERNA 14133/2. DOCUMENTOS PARA PUBLICAÇÃO/"/>
    </mc:Choice>
  </mc:AlternateContent>
  <xr:revisionPtr revIDLastSave="5" documentId="13_ncr:1_{5F29A4F9-4D63-4893-82DC-1FA0AAD9A233}" xr6:coauthVersionLast="47" xr6:coauthVersionMax="47" xr10:uidLastSave="{937CBC5D-EE8F-41A7-B89A-6945952AE66D}"/>
  <bookViews>
    <workbookView xWindow="-28920" yWindow="-120" windowWidth="29040" windowHeight="15840" tabRatio="875" activeTab="1" xr2:uid="{2E6E5DCD-E8BD-40C5-9EFE-28880F4E0224}"/>
  </bookViews>
  <sheets>
    <sheet name="CONSOLIDAÇÃO G1" sheetId="12" r:id="rId1"/>
    <sheet name="G1 PAL-TO Encarregado" sheetId="3" r:id="rId2"/>
    <sheet name="G1 PAL-TO Servente com Insal." sheetId="1" r:id="rId3"/>
    <sheet name="G1 PAL-TO Servente sem Insal." sheetId="14" r:id="rId4"/>
    <sheet name="G1 PAL-TO Jardineiro" sheetId="13" r:id="rId5"/>
    <sheet name="M² Palmas" sheetId="4" r:id="rId6"/>
    <sheet name="G1 ARA - TO Servente" sheetId="6" r:id="rId7"/>
    <sheet name="M² Araguaína" sheetId="7" r:id="rId8"/>
    <sheet name="G1 GUR - TO Servente" sheetId="8" r:id="rId9"/>
    <sheet name="M² Gurupi" sheetId="9" r:id="rId10"/>
    <sheet name="G1 PAR - TO Servente" sheetId="10" r:id="rId11"/>
    <sheet name="M² Paraíso" sheetId="11" r:id="rId12"/>
    <sheet name="G1 - Qtd Servente" sheetId="16" r:id="rId13"/>
    <sheet name="Insumos Diversos" sheetId="15" r:id="rId14"/>
  </sheets>
  <externalReferences>
    <externalReference r:id="rId15"/>
  </externalReferences>
  <definedNames>
    <definedName name="Excel_BuiltIn_Print_Area" localSheetId="12">#REF!</definedName>
    <definedName name="Excel_BuiltIn_Print_Area">#REF!</definedName>
    <definedName name="SHARED_FORMULA_10_33_10_33_3">"""#ref!""-""#ref!"""</definedName>
    <definedName name="SHARED_FORMULA_13_33_13_33_3">"""#ref!""-""#ref!"""</definedName>
    <definedName name="SHARED_FORMULA_7_22_7_22_3">"""#ref!""/""#ref!"""</definedName>
    <definedName name="Tipo">[1]TABELA!$B$7:$B$16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3" l="1"/>
  <c r="E35" i="4"/>
  <c r="E34" i="4"/>
  <c r="G25" i="10"/>
  <c r="G25" i="8"/>
  <c r="G25" i="6"/>
  <c r="G25" i="1"/>
  <c r="J111" i="15"/>
  <c r="J110" i="15"/>
  <c r="J109" i="15"/>
  <c r="J108" i="15"/>
  <c r="J107" i="15"/>
  <c r="J106" i="15"/>
  <c r="J105" i="15"/>
  <c r="J112" i="15" l="1"/>
  <c r="J113" i="15" s="1"/>
  <c r="G80" i="3" s="1" a="1"/>
  <c r="G80" i="3" s="1"/>
  <c r="H58" i="16"/>
  <c r="I58" i="16" s="1"/>
  <c r="H57" i="16"/>
  <c r="I57" i="16" s="1"/>
  <c r="H56" i="16"/>
  <c r="I56" i="16" s="1"/>
  <c r="H55" i="16"/>
  <c r="I55" i="16" s="1"/>
  <c r="H54" i="16"/>
  <c r="I54" i="16" s="1"/>
  <c r="H53" i="16"/>
  <c r="I53" i="16" s="1"/>
  <c r="H52" i="16"/>
  <c r="I52" i="16" s="1"/>
  <c r="H51" i="16"/>
  <c r="I51" i="16" s="1"/>
  <c r="H50" i="16"/>
  <c r="I50" i="16" s="1"/>
  <c r="H49" i="16"/>
  <c r="I49" i="16" s="1"/>
  <c r="H48" i="16"/>
  <c r="I48" i="16" s="1"/>
  <c r="H47" i="16"/>
  <c r="I47" i="16" s="1"/>
  <c r="H46" i="16"/>
  <c r="I46" i="16" s="1"/>
  <c r="H45" i="16"/>
  <c r="I45" i="16" s="1"/>
  <c r="H43" i="16"/>
  <c r="I43" i="16" s="1"/>
  <c r="H42" i="16"/>
  <c r="I42" i="16" s="1"/>
  <c r="H41" i="16"/>
  <c r="I41" i="16" s="1"/>
  <c r="H40" i="16"/>
  <c r="I40" i="16" s="1"/>
  <c r="H39" i="16"/>
  <c r="I39" i="16" s="1"/>
  <c r="H38" i="16"/>
  <c r="I38" i="16" s="1"/>
  <c r="H37" i="16"/>
  <c r="I37" i="16" s="1"/>
  <c r="H36" i="16"/>
  <c r="I36" i="16" s="1"/>
  <c r="H35" i="16"/>
  <c r="I35" i="16" s="1"/>
  <c r="H34" i="16"/>
  <c r="I34" i="16" s="1"/>
  <c r="H33" i="16"/>
  <c r="I33" i="16" s="1"/>
  <c r="H32" i="16"/>
  <c r="I32" i="16" s="1"/>
  <c r="H31" i="16"/>
  <c r="I31" i="16" s="1"/>
  <c r="H29" i="16"/>
  <c r="I29" i="16" s="1"/>
  <c r="H28" i="16"/>
  <c r="I28" i="16" s="1"/>
  <c r="H27" i="16"/>
  <c r="I27" i="16" s="1"/>
  <c r="H26" i="16"/>
  <c r="I26" i="16" s="1"/>
  <c r="H25" i="16"/>
  <c r="I25" i="16" s="1"/>
  <c r="H24" i="16"/>
  <c r="I24" i="16" s="1"/>
  <c r="H23" i="16"/>
  <c r="I23" i="16" s="1"/>
  <c r="H22" i="16"/>
  <c r="I22" i="16" s="1"/>
  <c r="H21" i="16"/>
  <c r="I21" i="16" s="1"/>
  <c r="H20" i="16"/>
  <c r="I20" i="16" s="1"/>
  <c r="H19" i="16"/>
  <c r="I19" i="16" s="1"/>
  <c r="H18" i="16"/>
  <c r="I18" i="16" s="1"/>
  <c r="H17" i="16"/>
  <c r="I17" i="16" s="1"/>
  <c r="H15" i="16"/>
  <c r="I15" i="16" s="1"/>
  <c r="H14" i="16"/>
  <c r="I14" i="16" s="1"/>
  <c r="H13" i="16"/>
  <c r="I13" i="16" s="1"/>
  <c r="H12" i="16"/>
  <c r="I12" i="16" s="1"/>
  <c r="H11" i="16"/>
  <c r="I11" i="16" s="1"/>
  <c r="H10" i="16"/>
  <c r="I10" i="16" s="1"/>
  <c r="H9" i="16"/>
  <c r="I9" i="16" s="1"/>
  <c r="H8" i="16"/>
  <c r="I8" i="16" s="1"/>
  <c r="H7" i="16"/>
  <c r="I7" i="16" s="1"/>
  <c r="H6" i="16"/>
  <c r="I6" i="16" s="1"/>
  <c r="H5" i="16"/>
  <c r="I5" i="16" s="1"/>
  <c r="H4" i="16"/>
  <c r="I4" i="16" s="1"/>
  <c r="H3" i="16"/>
  <c r="I3" i="16" s="1"/>
  <c r="I30" i="16" l="1"/>
  <c r="I16" i="16"/>
  <c r="I59" i="16"/>
  <c r="I44" i="16"/>
  <c r="E41" i="4" l="1"/>
  <c r="E40" i="4"/>
  <c r="E13" i="7"/>
  <c r="J47" i="15"/>
  <c r="K47" i="15"/>
  <c r="L47" i="15"/>
  <c r="M47" i="15"/>
  <c r="H47" i="15"/>
  <c r="N47" i="15" l="1"/>
  <c r="F45" i="15"/>
  <c r="E45" i="15"/>
  <c r="D45" i="15"/>
  <c r="D29" i="15"/>
  <c r="F22" i="15"/>
  <c r="E22" i="15"/>
  <c r="D22" i="15"/>
  <c r="D19" i="15"/>
  <c r="F17" i="15"/>
  <c r="E17" i="15"/>
  <c r="D16" i="15"/>
  <c r="D12" i="15"/>
  <c r="H5" i="15"/>
  <c r="J5" i="15"/>
  <c r="K5" i="15"/>
  <c r="L5" i="15"/>
  <c r="M5" i="15"/>
  <c r="H6" i="15"/>
  <c r="J6" i="15"/>
  <c r="K6" i="15"/>
  <c r="L6" i="15"/>
  <c r="M6" i="15"/>
  <c r="H7" i="15"/>
  <c r="J7" i="15"/>
  <c r="K7" i="15"/>
  <c r="L7" i="15"/>
  <c r="M7" i="15"/>
  <c r="H8" i="15"/>
  <c r="J8" i="15"/>
  <c r="K8" i="15"/>
  <c r="L8" i="15"/>
  <c r="M8" i="15"/>
  <c r="N7" i="15" l="1"/>
  <c r="N5" i="15"/>
  <c r="N6" i="15"/>
  <c r="N8" i="15"/>
  <c r="M79" i="15" l="1"/>
  <c r="M80" i="15"/>
  <c r="M81" i="15"/>
  <c r="L79" i="15"/>
  <c r="L80" i="15"/>
  <c r="L81" i="15"/>
  <c r="K79" i="15"/>
  <c r="K80" i="15"/>
  <c r="K81" i="15"/>
  <c r="J79" i="15"/>
  <c r="J80" i="15"/>
  <c r="J81" i="15"/>
  <c r="H79" i="15"/>
  <c r="H80" i="15"/>
  <c r="H81" i="15"/>
  <c r="N81" i="15" l="1"/>
  <c r="N80" i="15"/>
  <c r="N79" i="15"/>
  <c r="J99" i="15"/>
  <c r="J98" i="15"/>
  <c r="J97" i="15"/>
  <c r="J96" i="15"/>
  <c r="J95" i="15"/>
  <c r="J94" i="15"/>
  <c r="J93" i="15"/>
  <c r="J92" i="15"/>
  <c r="J91" i="15"/>
  <c r="M78" i="15"/>
  <c r="L78" i="15"/>
  <c r="K78" i="15"/>
  <c r="J78" i="15"/>
  <c r="H78" i="15"/>
  <c r="M77" i="15"/>
  <c r="L77" i="15"/>
  <c r="K77" i="15"/>
  <c r="J77" i="15"/>
  <c r="H77" i="15"/>
  <c r="M76" i="15"/>
  <c r="L76" i="15"/>
  <c r="K76" i="15"/>
  <c r="J76" i="15"/>
  <c r="H76" i="15"/>
  <c r="M75" i="15"/>
  <c r="L75" i="15"/>
  <c r="K75" i="15"/>
  <c r="J75" i="15"/>
  <c r="H75" i="15"/>
  <c r="M74" i="15"/>
  <c r="L74" i="15"/>
  <c r="K74" i="15"/>
  <c r="J74" i="15"/>
  <c r="H74" i="15"/>
  <c r="M73" i="15"/>
  <c r="L73" i="15"/>
  <c r="K73" i="15"/>
  <c r="J73" i="15"/>
  <c r="H73" i="15"/>
  <c r="M72" i="15"/>
  <c r="L72" i="15"/>
  <c r="K72" i="15"/>
  <c r="J72" i="15"/>
  <c r="H72" i="15"/>
  <c r="M71" i="15"/>
  <c r="L71" i="15"/>
  <c r="K71" i="15"/>
  <c r="J71" i="15"/>
  <c r="H71" i="15"/>
  <c r="M70" i="15"/>
  <c r="L70" i="15"/>
  <c r="K70" i="15"/>
  <c r="J70" i="15"/>
  <c r="H70" i="15"/>
  <c r="M69" i="15"/>
  <c r="L69" i="15"/>
  <c r="K69" i="15"/>
  <c r="J69" i="15"/>
  <c r="H69" i="15"/>
  <c r="M68" i="15"/>
  <c r="L68" i="15"/>
  <c r="K68" i="15"/>
  <c r="J68" i="15"/>
  <c r="H68" i="15"/>
  <c r="M67" i="15"/>
  <c r="L67" i="15"/>
  <c r="K67" i="15"/>
  <c r="J67" i="15"/>
  <c r="H67" i="15"/>
  <c r="M66" i="15"/>
  <c r="L66" i="15"/>
  <c r="K66" i="15"/>
  <c r="J66" i="15"/>
  <c r="H66" i="15"/>
  <c r="M65" i="15"/>
  <c r="L65" i="15"/>
  <c r="K65" i="15"/>
  <c r="J65" i="15"/>
  <c r="H65" i="15"/>
  <c r="M64" i="15"/>
  <c r="L64" i="15"/>
  <c r="K64" i="15"/>
  <c r="J64" i="15"/>
  <c r="H64" i="15"/>
  <c r="M63" i="15"/>
  <c r="L63" i="15"/>
  <c r="K63" i="15"/>
  <c r="J63" i="15"/>
  <c r="H63" i="15"/>
  <c r="M62" i="15"/>
  <c r="L62" i="15"/>
  <c r="K62" i="15"/>
  <c r="J62" i="15"/>
  <c r="H62" i="15"/>
  <c r="M61" i="15"/>
  <c r="L61" i="15"/>
  <c r="K61" i="15"/>
  <c r="J61" i="15"/>
  <c r="H61" i="15"/>
  <c r="M60" i="15"/>
  <c r="L60" i="15"/>
  <c r="K60" i="15"/>
  <c r="J60" i="15"/>
  <c r="H60" i="15"/>
  <c r="M46" i="15"/>
  <c r="L46" i="15"/>
  <c r="K46" i="15"/>
  <c r="J46" i="15"/>
  <c r="H46" i="15"/>
  <c r="M45" i="15"/>
  <c r="L45" i="15"/>
  <c r="K45" i="15"/>
  <c r="J45" i="15"/>
  <c r="M44" i="15"/>
  <c r="L44" i="15"/>
  <c r="K44" i="15"/>
  <c r="J44" i="15"/>
  <c r="H44" i="15"/>
  <c r="M43" i="15"/>
  <c r="L43" i="15"/>
  <c r="K43" i="15"/>
  <c r="J43" i="15"/>
  <c r="H43" i="15"/>
  <c r="M42" i="15"/>
  <c r="L42" i="15"/>
  <c r="K42" i="15"/>
  <c r="J42" i="15"/>
  <c r="H42" i="15"/>
  <c r="M41" i="15"/>
  <c r="L41" i="15"/>
  <c r="K41" i="15"/>
  <c r="J41" i="15"/>
  <c r="H41" i="15"/>
  <c r="M40" i="15"/>
  <c r="L40" i="15"/>
  <c r="K40" i="15"/>
  <c r="J40" i="15"/>
  <c r="H40" i="15"/>
  <c r="M39" i="15"/>
  <c r="L39" i="15"/>
  <c r="K39" i="15"/>
  <c r="J39" i="15"/>
  <c r="H39" i="15"/>
  <c r="M38" i="15"/>
  <c r="L38" i="15"/>
  <c r="K38" i="15"/>
  <c r="J38" i="15"/>
  <c r="H38" i="15"/>
  <c r="M37" i="15"/>
  <c r="L37" i="15"/>
  <c r="K37" i="15"/>
  <c r="J37" i="15"/>
  <c r="H37" i="15"/>
  <c r="M36" i="15"/>
  <c r="L36" i="15"/>
  <c r="K36" i="15"/>
  <c r="J36" i="15"/>
  <c r="H36" i="15"/>
  <c r="M35" i="15"/>
  <c r="L35" i="15"/>
  <c r="K35" i="15"/>
  <c r="J35" i="15"/>
  <c r="H35" i="15"/>
  <c r="M34" i="15"/>
  <c r="L34" i="15"/>
  <c r="K34" i="15"/>
  <c r="J34" i="15"/>
  <c r="H34" i="15"/>
  <c r="M33" i="15"/>
  <c r="L33" i="15"/>
  <c r="K33" i="15"/>
  <c r="J33" i="15"/>
  <c r="H33" i="15"/>
  <c r="M32" i="15"/>
  <c r="L32" i="15"/>
  <c r="K32" i="15"/>
  <c r="J32" i="15"/>
  <c r="H32" i="15"/>
  <c r="M31" i="15"/>
  <c r="L31" i="15"/>
  <c r="K31" i="15"/>
  <c r="J31" i="15"/>
  <c r="H31" i="15"/>
  <c r="M30" i="15"/>
  <c r="L30" i="15"/>
  <c r="K30" i="15"/>
  <c r="J30" i="15"/>
  <c r="H30" i="15"/>
  <c r="M29" i="15"/>
  <c r="L29" i="15"/>
  <c r="K29" i="15"/>
  <c r="M28" i="15"/>
  <c r="L28" i="15"/>
  <c r="K28" i="15"/>
  <c r="H28" i="15"/>
  <c r="M27" i="15"/>
  <c r="L27" i="15"/>
  <c r="K27" i="15"/>
  <c r="J27" i="15"/>
  <c r="H27" i="15"/>
  <c r="M26" i="15"/>
  <c r="L26" i="15"/>
  <c r="K26" i="15"/>
  <c r="J26" i="15"/>
  <c r="M25" i="15"/>
  <c r="L25" i="15"/>
  <c r="K25" i="15"/>
  <c r="J25" i="15"/>
  <c r="H25" i="15"/>
  <c r="M24" i="15"/>
  <c r="L24" i="15"/>
  <c r="K24" i="15"/>
  <c r="J24" i="15"/>
  <c r="H24" i="15"/>
  <c r="M23" i="15"/>
  <c r="L23" i="15"/>
  <c r="K23" i="15"/>
  <c r="J23" i="15"/>
  <c r="H23" i="15"/>
  <c r="M22" i="15"/>
  <c r="L22" i="15"/>
  <c r="K22" i="15"/>
  <c r="J22" i="15"/>
  <c r="M21" i="15"/>
  <c r="L21" i="15"/>
  <c r="K21" i="15"/>
  <c r="J21" i="15"/>
  <c r="H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H18" i="15"/>
  <c r="J17" i="15"/>
  <c r="M17" i="15"/>
  <c r="L17" i="15"/>
  <c r="K17" i="15"/>
  <c r="M16" i="15"/>
  <c r="L16" i="15"/>
  <c r="K16" i="15"/>
  <c r="H16" i="15"/>
  <c r="M15" i="15"/>
  <c r="L15" i="15"/>
  <c r="K15" i="15"/>
  <c r="J15" i="15"/>
  <c r="H15" i="15"/>
  <c r="M14" i="15"/>
  <c r="L14" i="15"/>
  <c r="K14" i="15"/>
  <c r="J14" i="15"/>
  <c r="H14" i="15"/>
  <c r="M13" i="15"/>
  <c r="L13" i="15"/>
  <c r="K13" i="15"/>
  <c r="M12" i="15"/>
  <c r="L12" i="15"/>
  <c r="K12" i="15"/>
  <c r="J12" i="15"/>
  <c r="M11" i="15"/>
  <c r="L11" i="15"/>
  <c r="K11" i="15"/>
  <c r="J11" i="15"/>
  <c r="H11" i="15"/>
  <c r="M10" i="15"/>
  <c r="L10" i="15"/>
  <c r="K10" i="15"/>
  <c r="J10" i="15"/>
  <c r="H10" i="15"/>
  <c r="M9" i="15"/>
  <c r="L9" i="15"/>
  <c r="K9" i="15"/>
  <c r="J9" i="15"/>
  <c r="H9" i="15"/>
  <c r="E88" i="14"/>
  <c r="E72" i="14"/>
  <c r="E70" i="14"/>
  <c r="E68" i="14"/>
  <c r="E66" i="14"/>
  <c r="E58" i="14"/>
  <c r="E57" i="14"/>
  <c r="E54" i="14"/>
  <c r="G49" i="14"/>
  <c r="G48" i="14"/>
  <c r="G46" i="14"/>
  <c r="G50" i="14" s="1"/>
  <c r="F44" i="14"/>
  <c r="E34" i="14"/>
  <c r="G24" i="14"/>
  <c r="G47" i="14" s="1"/>
  <c r="G25" i="13"/>
  <c r="K48" i="15" l="1"/>
  <c r="K49" i="15" s="1"/>
  <c r="K51" i="15" s="1"/>
  <c r="G81" i="6" s="1"/>
  <c r="L48" i="15"/>
  <c r="M48" i="15"/>
  <c r="M49" i="15" s="1"/>
  <c r="M51" i="15" s="1"/>
  <c r="G81" i="10" s="1"/>
  <c r="M82" i="15"/>
  <c r="M83" i="15" s="1"/>
  <c r="M85" i="15" s="1"/>
  <c r="G82" i="10" s="1"/>
  <c r="J82" i="15"/>
  <c r="J83" i="15" s="1"/>
  <c r="J85" i="15" s="1"/>
  <c r="K82" i="15"/>
  <c r="K83" i="15" s="1"/>
  <c r="K85" i="15" s="1"/>
  <c r="G82" i="6" s="1"/>
  <c r="L82" i="15"/>
  <c r="L83" i="15" s="1"/>
  <c r="L85" i="15" s="1"/>
  <c r="G82" i="8" s="1"/>
  <c r="N76" i="15"/>
  <c r="J28" i="15"/>
  <c r="N73" i="15"/>
  <c r="N17" i="15"/>
  <c r="N62" i="15"/>
  <c r="N66" i="15"/>
  <c r="N70" i="15"/>
  <c r="N10" i="15"/>
  <c r="H26" i="15"/>
  <c r="J16" i="15"/>
  <c r="N16" i="15" s="1"/>
  <c r="N26" i="15"/>
  <c r="N31" i="15"/>
  <c r="N40" i="15"/>
  <c r="N44" i="15"/>
  <c r="N11" i="15"/>
  <c r="N25" i="15"/>
  <c r="H13" i="15"/>
  <c r="N20" i="15"/>
  <c r="N30" i="15"/>
  <c r="N37" i="15"/>
  <c r="N43" i="15"/>
  <c r="N63" i="15"/>
  <c r="N77" i="15"/>
  <c r="N41" i="15"/>
  <c r="N64" i="15"/>
  <c r="N68" i="15"/>
  <c r="N71" i="15"/>
  <c r="N75" i="15"/>
  <c r="N78" i="15"/>
  <c r="N12" i="15"/>
  <c r="N23" i="15"/>
  <c r="N35" i="15"/>
  <c r="N9" i="15"/>
  <c r="N15" i="15"/>
  <c r="H17" i="15"/>
  <c r="N21" i="15"/>
  <c r="N27" i="15"/>
  <c r="N33" i="15"/>
  <c r="N36" i="15"/>
  <c r="N42" i="15"/>
  <c r="N46" i="15"/>
  <c r="N65" i="15"/>
  <c r="N72" i="15"/>
  <c r="L49" i="15"/>
  <c r="L51" i="15" s="1"/>
  <c r="G81" i="8" s="1"/>
  <c r="J13" i="15"/>
  <c r="N13" i="15" s="1"/>
  <c r="N14" i="15"/>
  <c r="N19" i="15"/>
  <c r="N22" i="15"/>
  <c r="N24" i="15"/>
  <c r="N32" i="15"/>
  <c r="N38" i="15"/>
  <c r="N60" i="15"/>
  <c r="N67" i="15"/>
  <c r="N74" i="15"/>
  <c r="H20" i="15"/>
  <c r="H12" i="15"/>
  <c r="J29" i="15"/>
  <c r="N29" i="15" s="1"/>
  <c r="H29" i="15"/>
  <c r="N18" i="15"/>
  <c r="N34" i="15"/>
  <c r="N39" i="15"/>
  <c r="N45" i="15"/>
  <c r="N61" i="15"/>
  <c r="N69" i="15"/>
  <c r="J100" i="15"/>
  <c r="J101" i="15" s="1"/>
  <c r="H19" i="15"/>
  <c r="H22" i="15"/>
  <c r="H45" i="15"/>
  <c r="G25" i="14"/>
  <c r="G27" i="14"/>
  <c r="N28" i="15" l="1"/>
  <c r="J48" i="15"/>
  <c r="N48" i="15" s="1"/>
  <c r="N82" i="15"/>
  <c r="G80" i="1" a="1"/>
  <c r="G80" i="1" s="1"/>
  <c r="G80" i="10" a="1"/>
  <c r="G80" i="10" s="1"/>
  <c r="G80" i="6" a="1"/>
  <c r="G80" i="6" s="1"/>
  <c r="G80" i="14" a="1"/>
  <c r="G80" i="14" s="1"/>
  <c r="G80" i="8" a="1"/>
  <c r="G80" i="8" s="1"/>
  <c r="G80" i="13" a="1"/>
  <c r="G80" i="13" s="1"/>
  <c r="G82" i="14"/>
  <c r="G82" i="13"/>
  <c r="G82" i="1"/>
  <c r="G33" i="14"/>
  <c r="G32" i="14"/>
  <c r="G98" i="14"/>
  <c r="G72" i="14"/>
  <c r="J49" i="15" l="1"/>
  <c r="J51" i="15" s="1"/>
  <c r="G34" i="14"/>
  <c r="G39" i="14" s="1"/>
  <c r="G38" i="14"/>
  <c r="G37" i="14"/>
  <c r="G43" i="14"/>
  <c r="G36" i="14"/>
  <c r="G41" i="14"/>
  <c r="G42" i="14"/>
  <c r="G59" i="14"/>
  <c r="G40" i="14"/>
  <c r="G54" i="14"/>
  <c r="G57" i="14"/>
  <c r="G58" i="14" s="1"/>
  <c r="G81" i="14" l="1"/>
  <c r="G83" i="14" s="1"/>
  <c r="G102" i="14" s="1"/>
  <c r="G81" i="13"/>
  <c r="G81" i="1"/>
  <c r="G56" i="14"/>
  <c r="G60" i="14" s="1"/>
  <c r="G100" i="14" s="1"/>
  <c r="G44" i="14"/>
  <c r="G51" i="14" l="1"/>
  <c r="G70" i="14"/>
  <c r="G68" i="14"/>
  <c r="G66" i="14"/>
  <c r="G99" i="14" l="1"/>
  <c r="G64" i="14"/>
  <c r="G74" i="14" s="1"/>
  <c r="G77" i="14" s="1"/>
  <c r="G101" i="14" s="1"/>
  <c r="G103" i="14" l="1"/>
  <c r="G86" i="14" l="1"/>
  <c r="G87" i="14" l="1"/>
  <c r="G105" i="14" s="1"/>
  <c r="C9" i="4" l="1"/>
  <c r="C13" i="4" s="1"/>
  <c r="G90" i="14"/>
  <c r="G93" i="14"/>
  <c r="G89" i="14"/>
  <c r="G108" i="14"/>
  <c r="G110" i="14" s="1"/>
  <c r="G112" i="14" s="1"/>
  <c r="C25" i="4" s="1"/>
  <c r="G92" i="14"/>
  <c r="G91" i="14"/>
  <c r="G114" i="14" l="1"/>
  <c r="G94" i="14"/>
  <c r="G95" i="14" s="1"/>
  <c r="G104" i="14" s="1"/>
  <c r="E88" i="13" l="1"/>
  <c r="G83" i="13"/>
  <c r="G102" i="13" s="1"/>
  <c r="E72" i="13"/>
  <c r="E70" i="13"/>
  <c r="E68" i="13"/>
  <c r="E66" i="13"/>
  <c r="E57" i="13"/>
  <c r="E54" i="13"/>
  <c r="G49" i="13"/>
  <c r="G48" i="13"/>
  <c r="G46" i="13"/>
  <c r="F44" i="13"/>
  <c r="E58" i="13" s="1"/>
  <c r="E34" i="13"/>
  <c r="G24" i="13"/>
  <c r="G27" i="13" s="1"/>
  <c r="E88" i="10"/>
  <c r="G83" i="10"/>
  <c r="G102" i="10" s="1"/>
  <c r="E72" i="10"/>
  <c r="E70" i="10"/>
  <c r="E68" i="10"/>
  <c r="E66" i="10"/>
  <c r="E58" i="10"/>
  <c r="E57" i="10"/>
  <c r="E54" i="10"/>
  <c r="G49" i="10"/>
  <c r="G48" i="10"/>
  <c r="G47" i="10"/>
  <c r="G46" i="10"/>
  <c r="G50" i="10" s="1"/>
  <c r="F44" i="10"/>
  <c r="E34" i="10"/>
  <c r="G24" i="10"/>
  <c r="G27" i="10" s="1"/>
  <c r="E88" i="8"/>
  <c r="G83" i="8"/>
  <c r="G102" i="8" s="1"/>
  <c r="E72" i="8"/>
  <c r="G72" i="8" s="1"/>
  <c r="E70" i="8"/>
  <c r="E68" i="8"/>
  <c r="E66" i="8"/>
  <c r="E57" i="8"/>
  <c r="E54" i="8"/>
  <c r="G49" i="8"/>
  <c r="G48" i="8"/>
  <c r="G47" i="8"/>
  <c r="G46" i="8"/>
  <c r="G50" i="8" s="1"/>
  <c r="F44" i="8"/>
  <c r="E58" i="8" s="1"/>
  <c r="E34" i="8"/>
  <c r="G27" i="8"/>
  <c r="G24" i="8"/>
  <c r="E88" i="6"/>
  <c r="G83" i="6"/>
  <c r="G102" i="6" s="1"/>
  <c r="E72" i="6"/>
  <c r="E70" i="6"/>
  <c r="E68" i="6"/>
  <c r="E66" i="6"/>
  <c r="E58" i="6"/>
  <c r="E57" i="6"/>
  <c r="E54" i="6"/>
  <c r="G49" i="6"/>
  <c r="G48" i="6"/>
  <c r="G46" i="6"/>
  <c r="G50" i="6" s="1"/>
  <c r="F44" i="6"/>
  <c r="E34" i="6"/>
  <c r="G24" i="6"/>
  <c r="G47" i="6" s="1"/>
  <c r="G47" i="13" l="1"/>
  <c r="G50" i="13" s="1"/>
  <c r="G33" i="13"/>
  <c r="G32" i="13"/>
  <c r="G98" i="13"/>
  <c r="G72" i="13"/>
  <c r="G72" i="10"/>
  <c r="G33" i="10"/>
  <c r="G32" i="10"/>
  <c r="G98" i="10"/>
  <c r="G32" i="8"/>
  <c r="G33" i="8"/>
  <c r="G98" i="8"/>
  <c r="G27" i="6"/>
  <c r="G34" i="13" l="1"/>
  <c r="G36" i="13" s="1"/>
  <c r="G37" i="13"/>
  <c r="G38" i="13"/>
  <c r="G39" i="13"/>
  <c r="G40" i="13"/>
  <c r="G41" i="13"/>
  <c r="G34" i="10"/>
  <c r="G34" i="8"/>
  <c r="G32" i="6"/>
  <c r="G98" i="6"/>
  <c r="G72" i="6"/>
  <c r="G33" i="6"/>
  <c r="G34" i="6" l="1"/>
  <c r="G57" i="6" s="1"/>
  <c r="G58" i="6" s="1"/>
  <c r="G42" i="13"/>
  <c r="G57" i="13"/>
  <c r="G58" i="13" s="1"/>
  <c r="G43" i="13"/>
  <c r="G44" i="13" s="1"/>
  <c r="G54" i="13"/>
  <c r="G59" i="13"/>
  <c r="G42" i="10"/>
  <c r="G39" i="10"/>
  <c r="G54" i="10"/>
  <c r="G59" i="10"/>
  <c r="G37" i="10"/>
  <c r="G36" i="10"/>
  <c r="G38" i="10"/>
  <c r="G41" i="10"/>
  <c r="G57" i="10"/>
  <c r="G58" i="10" s="1"/>
  <c r="G40" i="10"/>
  <c r="G43" i="10"/>
  <c r="G43" i="8"/>
  <c r="G57" i="8"/>
  <c r="G58" i="8" s="1"/>
  <c r="G37" i="8"/>
  <c r="G59" i="8"/>
  <c r="G36" i="8"/>
  <c r="G38" i="8"/>
  <c r="G39" i="8"/>
  <c r="G40" i="8"/>
  <c r="G41" i="8"/>
  <c r="G42" i="8"/>
  <c r="G54" i="8"/>
  <c r="G41" i="6"/>
  <c r="G43" i="6"/>
  <c r="G54" i="6"/>
  <c r="G38" i="6"/>
  <c r="G59" i="6"/>
  <c r="G40" i="6"/>
  <c r="G37" i="6"/>
  <c r="G39" i="6"/>
  <c r="G36" i="6"/>
  <c r="G42" i="6"/>
  <c r="G44" i="8" l="1"/>
  <c r="G56" i="13"/>
  <c r="G60" i="13" s="1"/>
  <c r="G100" i="13" s="1"/>
  <c r="G51" i="13"/>
  <c r="G68" i="13"/>
  <c r="G70" i="13"/>
  <c r="G66" i="13"/>
  <c r="G44" i="10"/>
  <c r="G56" i="10"/>
  <c r="G60" i="10" s="1"/>
  <c r="G100" i="10" s="1"/>
  <c r="G56" i="8"/>
  <c r="G60" i="8"/>
  <c r="G100" i="8" s="1"/>
  <c r="G70" i="8"/>
  <c r="G68" i="8"/>
  <c r="G56" i="6"/>
  <c r="G60" i="6" s="1"/>
  <c r="G100" i="6" s="1"/>
  <c r="G44" i="6"/>
  <c r="G51" i="8" l="1"/>
  <c r="G99" i="8" s="1"/>
  <c r="G66" i="8"/>
  <c r="G99" i="13"/>
  <c r="G64" i="13"/>
  <c r="G74" i="13" s="1"/>
  <c r="G77" i="13" s="1"/>
  <c r="G101" i="13" s="1"/>
  <c r="G51" i="10"/>
  <c r="G70" i="10"/>
  <c r="G68" i="10"/>
  <c r="G66" i="10"/>
  <c r="G64" i="8"/>
  <c r="G74" i="8" s="1"/>
  <c r="G77" i="8" s="1"/>
  <c r="G101" i="8" s="1"/>
  <c r="G103" i="8" s="1"/>
  <c r="G51" i="6"/>
  <c r="G68" i="6"/>
  <c r="G70" i="6"/>
  <c r="G66" i="6"/>
  <c r="G103" i="13" l="1"/>
  <c r="G99" i="10"/>
  <c r="G64" i="10"/>
  <c r="G74" i="10" s="1"/>
  <c r="G77" i="10" s="1"/>
  <c r="G101" i="10" s="1"/>
  <c r="G86" i="8"/>
  <c r="G87" i="8" s="1"/>
  <c r="G105" i="8" s="1"/>
  <c r="G99" i="6"/>
  <c r="G64" i="6"/>
  <c r="G74" i="6" s="1"/>
  <c r="G77" i="6" s="1"/>
  <c r="G101" i="6" s="1"/>
  <c r="C8" i="9" l="1"/>
  <c r="G86" i="13"/>
  <c r="G103" i="10"/>
  <c r="G91" i="8"/>
  <c r="G90" i="8"/>
  <c r="G93" i="8"/>
  <c r="G89" i="8"/>
  <c r="G108" i="8"/>
  <c r="G110" i="8" s="1"/>
  <c r="G112" i="8" s="1"/>
  <c r="G92" i="8"/>
  <c r="G103" i="6"/>
  <c r="E88" i="3"/>
  <c r="G83" i="3"/>
  <c r="G102" i="3" s="1"/>
  <c r="E72" i="3"/>
  <c r="E70" i="3"/>
  <c r="E68" i="3"/>
  <c r="E66" i="3"/>
  <c r="E57" i="3"/>
  <c r="G49" i="3"/>
  <c r="G48" i="3"/>
  <c r="G46" i="3"/>
  <c r="F44" i="3"/>
  <c r="E58" i="3" s="1"/>
  <c r="E34" i="3"/>
  <c r="G24" i="3"/>
  <c r="E88" i="1"/>
  <c r="G83" i="1"/>
  <c r="G102" i="1" s="1"/>
  <c r="E72" i="1"/>
  <c r="E70" i="1"/>
  <c r="E68" i="1"/>
  <c r="E66" i="1"/>
  <c r="E57" i="1"/>
  <c r="E54" i="1"/>
  <c r="G49" i="1"/>
  <c r="G48" i="1"/>
  <c r="G46" i="1"/>
  <c r="F44" i="1"/>
  <c r="E58" i="1" s="1"/>
  <c r="E34" i="1"/>
  <c r="G24" i="1"/>
  <c r="G114" i="8" l="1"/>
  <c r="G47" i="3"/>
  <c r="G25" i="3"/>
  <c r="C11" i="9"/>
  <c r="D11" i="9" s="1"/>
  <c r="D8" i="9"/>
  <c r="C18" i="9"/>
  <c r="D18" i="9" s="1"/>
  <c r="G87" i="13"/>
  <c r="G105" i="13" s="1"/>
  <c r="G86" i="10"/>
  <c r="G94" i="8"/>
  <c r="G95" i="8" s="1"/>
  <c r="G104" i="8" s="1"/>
  <c r="G86" i="6"/>
  <c r="G50" i="3"/>
  <c r="G27" i="3"/>
  <c r="G27" i="1"/>
  <c r="G72" i="1" s="1"/>
  <c r="G47" i="1"/>
  <c r="G50" i="1" s="1"/>
  <c r="C29" i="4" l="1"/>
  <c r="G91" i="13"/>
  <c r="G90" i="13"/>
  <c r="G93" i="13"/>
  <c r="G89" i="13"/>
  <c r="G108" i="13"/>
  <c r="G110" i="13" s="1"/>
  <c r="G112" i="13" s="1"/>
  <c r="G92" i="13"/>
  <c r="G87" i="10"/>
  <c r="G105" i="10" s="1"/>
  <c r="G87" i="6"/>
  <c r="G105" i="6" s="1"/>
  <c r="G98" i="3"/>
  <c r="G32" i="3"/>
  <c r="G72" i="3"/>
  <c r="G33" i="3"/>
  <c r="G32" i="1"/>
  <c r="G33" i="1"/>
  <c r="G98" i="1"/>
  <c r="G114" i="13" l="1"/>
  <c r="C8" i="11"/>
  <c r="C8" i="7"/>
  <c r="G94" i="13"/>
  <c r="G95" i="13" s="1"/>
  <c r="G104" i="13" s="1"/>
  <c r="G91" i="10"/>
  <c r="G92" i="10"/>
  <c r="G90" i="10"/>
  <c r="G93" i="10"/>
  <c r="G89" i="10"/>
  <c r="G108" i="10"/>
  <c r="G110" i="10" s="1"/>
  <c r="G112" i="10" s="1"/>
  <c r="G91" i="6"/>
  <c r="G93" i="6"/>
  <c r="G89" i="6"/>
  <c r="G108" i="6"/>
  <c r="G110" i="6" s="1"/>
  <c r="G112" i="6" s="1"/>
  <c r="G92" i="6"/>
  <c r="G90" i="6"/>
  <c r="G34" i="3"/>
  <c r="G34" i="1"/>
  <c r="G40" i="1" s="1"/>
  <c r="G114" i="10" l="1"/>
  <c r="G114" i="6"/>
  <c r="C18" i="11"/>
  <c r="D18" i="11" s="1"/>
  <c r="D8" i="11"/>
  <c r="C11" i="11"/>
  <c r="D11" i="11" s="1"/>
  <c r="G94" i="10"/>
  <c r="G95" i="10" s="1"/>
  <c r="G104" i="10" s="1"/>
  <c r="D8" i="7"/>
  <c r="F13" i="7"/>
  <c r="G13" i="7" s="1"/>
  <c r="G14" i="7" s="1"/>
  <c r="G94" i="6"/>
  <c r="G95" i="6" s="1"/>
  <c r="G104" i="6" s="1"/>
  <c r="G43" i="1"/>
  <c r="G37" i="1"/>
  <c r="G36" i="3"/>
  <c r="G40" i="3"/>
  <c r="G54" i="3"/>
  <c r="G37" i="3"/>
  <c r="G41" i="3"/>
  <c r="G39" i="3"/>
  <c r="G38" i="3"/>
  <c r="G42" i="3"/>
  <c r="G43" i="3"/>
  <c r="G59" i="3"/>
  <c r="G57" i="3"/>
  <c r="G58" i="3" s="1"/>
  <c r="G54" i="1"/>
  <c r="G56" i="1" s="1"/>
  <c r="G57" i="1"/>
  <c r="G58" i="1" s="1"/>
  <c r="G39" i="1"/>
  <c r="G42" i="1"/>
  <c r="G38" i="1"/>
  <c r="G41" i="1"/>
  <c r="G36" i="1"/>
  <c r="G59" i="1"/>
  <c r="G44" i="3" l="1"/>
  <c r="G56" i="3"/>
  <c r="G60" i="3" s="1"/>
  <c r="G100" i="3" s="1"/>
  <c r="G60" i="1"/>
  <c r="G100" i="1" s="1"/>
  <c r="G44" i="1"/>
  <c r="G51" i="1" s="1"/>
  <c r="G70" i="1" l="1"/>
  <c r="G70" i="3"/>
  <c r="G66" i="3"/>
  <c r="G68" i="3"/>
  <c r="G51" i="3"/>
  <c r="G68" i="1"/>
  <c r="G66" i="1"/>
  <c r="G99" i="1"/>
  <c r="G64" i="1"/>
  <c r="G99" i="3" l="1"/>
  <c r="G64" i="3"/>
  <c r="G74" i="3" s="1"/>
  <c r="G77" i="3" s="1"/>
  <c r="G101" i="3" s="1"/>
  <c r="G74" i="1"/>
  <c r="G77" i="1" s="1"/>
  <c r="G101" i="1" s="1"/>
  <c r="G103" i="1" s="1"/>
  <c r="G103" i="3" l="1"/>
  <c r="G86" i="3" s="1"/>
  <c r="G87" i="3" s="1"/>
  <c r="G105" i="3" s="1"/>
  <c r="G86" i="1"/>
  <c r="C8" i="4" l="1"/>
  <c r="D8" i="4" s="1"/>
  <c r="G91" i="3"/>
  <c r="G90" i="3"/>
  <c r="G93" i="3"/>
  <c r="G89" i="3"/>
  <c r="G108" i="3"/>
  <c r="G110" i="3" s="1"/>
  <c r="G112" i="3" s="1"/>
  <c r="G92" i="3"/>
  <c r="G87" i="1"/>
  <c r="G105" i="1" s="1"/>
  <c r="G114" i="3" l="1"/>
  <c r="C17" i="4"/>
  <c r="D17" i="4" s="1"/>
  <c r="D9" i="11"/>
  <c r="D18" i="12" s="1"/>
  <c r="E18" i="12" s="1"/>
  <c r="C24" i="4"/>
  <c r="D24" i="4" s="1"/>
  <c r="F40" i="4"/>
  <c r="G40" i="4" s="1"/>
  <c r="C12" i="4"/>
  <c r="D12" i="4" s="1"/>
  <c r="F34" i="4"/>
  <c r="G34" i="4" s="1"/>
  <c r="C28" i="4"/>
  <c r="D28" i="4" s="1"/>
  <c r="C16" i="4"/>
  <c r="D16" i="4" s="1"/>
  <c r="D9" i="9"/>
  <c r="D14" i="12" s="1"/>
  <c r="E14" i="12" s="1"/>
  <c r="D12" i="12"/>
  <c r="E12" i="12" s="1"/>
  <c r="D9" i="7"/>
  <c r="D11" i="12" s="1"/>
  <c r="E11" i="12" s="1"/>
  <c r="D29" i="4"/>
  <c r="D9" i="4"/>
  <c r="F41" i="4"/>
  <c r="G41" i="4" s="1"/>
  <c r="D25" i="4"/>
  <c r="F35" i="4"/>
  <c r="G35" i="4" s="1"/>
  <c r="D13" i="4"/>
  <c r="G94" i="3"/>
  <c r="G95" i="3" s="1"/>
  <c r="G104" i="3" s="1"/>
  <c r="G91" i="1"/>
  <c r="G90" i="1"/>
  <c r="G93" i="1"/>
  <c r="G89" i="1"/>
  <c r="G108" i="1"/>
  <c r="G110" i="1" s="1"/>
  <c r="G112" i="1" s="1"/>
  <c r="G92" i="1"/>
  <c r="G114" i="1" l="1"/>
  <c r="D12" i="9"/>
  <c r="D15" i="12" s="1"/>
  <c r="E15" i="12" s="1"/>
  <c r="D12" i="11"/>
  <c r="D19" i="12" s="1"/>
  <c r="E19" i="12" s="1"/>
  <c r="D19" i="9"/>
  <c r="D16" i="12" s="1"/>
  <c r="E16" i="12" s="1"/>
  <c r="D19" i="11"/>
  <c r="D20" i="12" s="1"/>
  <c r="E20" i="12" s="1"/>
  <c r="D10" i="4"/>
  <c r="D3" i="12" s="1"/>
  <c r="E3" i="12" s="1"/>
  <c r="D26" i="4"/>
  <c r="D6" i="12" s="1"/>
  <c r="E6" i="12" s="1"/>
  <c r="G36" i="4"/>
  <c r="D8" i="12" s="1"/>
  <c r="E8" i="12" s="1"/>
  <c r="E13" i="12"/>
  <c r="F13" i="12" s="1"/>
  <c r="D18" i="4"/>
  <c r="D5" i="12" s="1"/>
  <c r="E5" i="12" s="1"/>
  <c r="D14" i="4"/>
  <c r="D4" i="12" s="1"/>
  <c r="E4" i="12" s="1"/>
  <c r="D30" i="4"/>
  <c r="D7" i="12" s="1"/>
  <c r="E7" i="12" s="1"/>
  <c r="G42" i="4"/>
  <c r="D9" i="12" s="1"/>
  <c r="E9" i="12" s="1"/>
  <c r="G94" i="1"/>
  <c r="G95" i="1" s="1"/>
  <c r="G104" i="1" s="1"/>
  <c r="E21" i="12" l="1"/>
  <c r="F21" i="12" s="1"/>
  <c r="E17" i="12"/>
  <c r="F17" i="12" s="1"/>
  <c r="E10" i="12"/>
  <c r="E22" i="12" l="1"/>
  <c r="F23" i="12" s="1"/>
  <c r="F10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<sst xmlns="http://schemas.openxmlformats.org/spreadsheetml/2006/main" count="1751" uniqueCount="387">
  <si>
    <t>PLANILHA DE CUSTOS E FORMAÇÃO DE PREÇOS</t>
  </si>
  <si>
    <t xml:space="preserve">Número do  Processo: </t>
  </si>
  <si>
    <t>Número da Licitação:</t>
  </si>
  <si>
    <t>Data da Proposta _____/_____/________  às ____:_____ horas</t>
  </si>
  <si>
    <t>DADOS REFERENTES À CONTRATAÇÃO E DISCRIMINAÇÃO DOS SERVIÇOS</t>
  </si>
  <si>
    <t>A</t>
  </si>
  <si>
    <t>Município:</t>
  </si>
  <si>
    <t>B</t>
  </si>
  <si>
    <t>Sindicatos Vinculados (CNPJ) OU CCT Registrada:</t>
  </si>
  <si>
    <t>C</t>
  </si>
  <si>
    <t xml:space="preserve">Ano do Acordo, Convenção ou Sentença Normativa em Dissídio Coletivo: </t>
  </si>
  <si>
    <t>D</t>
  </si>
  <si>
    <t>Categoria profissional (vinculada a execução contratual):</t>
  </si>
  <si>
    <t>E</t>
  </si>
  <si>
    <t>Classificação Brasileira de Ocupações (CBO)</t>
  </si>
  <si>
    <t>F</t>
  </si>
  <si>
    <t>Data base da categoria:</t>
  </si>
  <si>
    <t>1º de janeiro</t>
  </si>
  <si>
    <t>G</t>
  </si>
  <si>
    <t>Piso salarial específico da categoria</t>
  </si>
  <si>
    <t>H</t>
  </si>
  <si>
    <t>Número de meses de execução contratual:</t>
  </si>
  <si>
    <t>I</t>
  </si>
  <si>
    <t>Unidade de medida:</t>
  </si>
  <si>
    <t>Posto</t>
  </si>
  <si>
    <t>J</t>
  </si>
  <si>
    <t>Quantidade total a contratar em função da unidade de medida (qtde de postos)</t>
  </si>
  <si>
    <t>MÓDULO 1 - COMPOSIÇÃO DA REMUNERAÇÃO</t>
  </si>
  <si>
    <t>VALOR</t>
  </si>
  <si>
    <t>Salário Base Mensal</t>
  </si>
  <si>
    <t>TOTAL - MÓDULO 1 - REMUNERAÇÃO</t>
  </si>
  <si>
    <t>MÓDULO 2 - ENCARGOS E BENEFÍCIOS ANUAIS, MENSAIS E DIÁRIOS</t>
  </si>
  <si>
    <t>Submódulo 2.1 - 13º Salário  e Adicional de Férias</t>
  </si>
  <si>
    <t>Alíquota</t>
  </si>
  <si>
    <r>
      <t>13º Salário</t>
    </r>
    <r>
      <rPr>
        <sz val="9"/>
        <color rgb="FF000000"/>
        <rFont val="Arial"/>
        <family val="2"/>
      </rPr>
      <t xml:space="preserve"> </t>
    </r>
    <r>
      <rPr>
        <sz val="8"/>
        <color rgb="FFC00000"/>
        <rFont val="Arial"/>
        <family val="2"/>
      </rPr>
      <t>{Cálculo do Valor = Remuneração X 8,33%}</t>
    </r>
  </si>
  <si>
    <r>
      <t>Adicional de Férias</t>
    </r>
    <r>
      <rPr>
        <sz val="8"/>
        <color rgb="FF000000"/>
        <rFont val="Arial"/>
        <family val="2"/>
      </rPr>
      <t xml:space="preserve"> </t>
    </r>
    <r>
      <rPr>
        <sz val="8"/>
        <color rgb="FFC00000"/>
        <rFont val="Arial"/>
        <family val="2"/>
      </rPr>
      <t>{Cálculo do Valor = Remuneração X 2,78%}</t>
    </r>
    <r>
      <rPr>
        <sz val="11"/>
        <color rgb="FF000000"/>
        <rFont val="Arial"/>
        <family val="2"/>
      </rPr>
      <t xml:space="preserve">
</t>
    </r>
  </si>
  <si>
    <t>TOTAL Submódulo 2.1</t>
  </si>
  <si>
    <t>Submódulo 2.2 - Encargos Previdenciários (GPS), Fundo de Garantia (FGTS) e Outas Contribuições</t>
  </si>
  <si>
    <t>INSS</t>
  </si>
  <si>
    <t>{Cálculo do Valor = Remuneração mensal e remuneração anual X Percentual Legal}</t>
  </si>
  <si>
    <t>Salário Educação</t>
  </si>
  <si>
    <t>{Cálculo do Valor =  Remuneração mensal e remuneração anual  X Percentual Legal}</t>
  </si>
  <si>
    <r>
      <t xml:space="preserve">Seguro Acidente de Trabalho = RAT x FAP </t>
    </r>
    <r>
      <rPr>
        <sz val="9"/>
        <color rgb="FFFF0000"/>
        <rFont val="Arial"/>
        <family val="2"/>
      </rPr>
      <t xml:space="preserve"> </t>
    </r>
    <r>
      <rPr>
        <sz val="8"/>
        <color rgb="FFC00000"/>
        <rFont val="Arial"/>
        <family val="2"/>
      </rPr>
      <t>{Estimativa de Valor Máximo Aceitável = 3% X 2,0000 = 6%}</t>
    </r>
  </si>
  <si>
    <t xml:space="preserve"> {Cálculo do Valor =  Remuneração mensal e remuneração anual  X Percentual Risco Leve, Médio ou Grave  X FAP (Fator - FapWeb - Obrigatório Comprovação)}</t>
  </si>
  <si>
    <t>SESC ou SESI</t>
  </si>
  <si>
    <t>SENAI ou SENAC</t>
  </si>
  <si>
    <t>SEBRAE</t>
  </si>
  <si>
    <t>INCRA</t>
  </si>
  <si>
    <t>FGTS</t>
  </si>
  <si>
    <t>TOTAL Submódulo 2.2</t>
  </si>
  <si>
    <t>Submódulo 2.3 - Benefícios Mensais e Diários</t>
  </si>
  <si>
    <r>
      <t>Auxílio Alimentação</t>
    </r>
    <r>
      <rPr>
        <sz val="8"/>
        <color rgb="FFC00000"/>
        <rFont val="Arial"/>
        <family val="2"/>
      </rPr>
      <t xml:space="preserve"> [Cálculo do valor = [(22 dias x VA ou VA mensal) x (1 - % de participação do empregado)]]</t>
    </r>
  </si>
  <si>
    <r>
      <t xml:space="preserve">Vale Transporte </t>
    </r>
    <r>
      <rPr>
        <sz val="8"/>
        <color rgb="FFC00000"/>
        <rFont val="Arial"/>
        <family val="2"/>
      </rPr>
      <t>{Cálculo do Valor: [(2 X VT X 22)]  - 6% X SB]}</t>
    </r>
  </si>
  <si>
    <t>TOTAL Submódulo 2.3</t>
  </si>
  <si>
    <t>TOTAL - MÓDULO 2 - ENCARGOS E BENEFÍCIOS ANUAIS, MENSAIS E DIÁRIOS</t>
  </si>
  <si>
    <t>MÓDULO 3 - PROVISÃO PARA RESCISÃO</t>
  </si>
  <si>
    <r>
      <t xml:space="preserve">Aviso Prévio Indenizado: Ocorrências ao longa da execução </t>
    </r>
    <r>
      <rPr>
        <sz val="8"/>
        <color rgb="FFC00000"/>
        <rFont val="Arial"/>
        <family val="2"/>
      </rPr>
      <t xml:space="preserve"> [Cálculo do valor = [(1/12) X 5%] = 0,42%. BC: remuneração mensal e a remuneração anual.] </t>
    </r>
  </si>
  <si>
    <r>
      <t xml:space="preserve">Percentual de dispensa sem justa causa com aviso Prévio Indenizado </t>
    </r>
    <r>
      <rPr>
        <sz val="8"/>
        <color rgb="FFC00000"/>
        <rFont val="Arial"/>
        <family val="2"/>
      </rPr>
      <t>(Considerado o percentual de 5% de probabilidade de dispensa. A empresa deverá cotar este percentual de acordo com a sua realidade e a quantidade de empregados no posto de trabalho.)</t>
    </r>
  </si>
  <si>
    <r>
      <t>Incidência do FGTS sobre o Aviso Prévio Indenizado</t>
    </r>
    <r>
      <rPr>
        <sz val="9"/>
        <color rgb="FFC00000"/>
        <rFont val="Arial"/>
        <family val="2"/>
      </rPr>
      <t xml:space="preserve"> [Cálculo do Valor: (Valor do Aviso Prévio Indenizado X Perc. FGTS)]</t>
    </r>
  </si>
  <si>
    <r>
      <t xml:space="preserve">Aviso Prévio Trabalhado: Término do Contrato </t>
    </r>
    <r>
      <rPr>
        <sz val="8"/>
        <color rgb="FFC00000"/>
        <rFont val="Arial"/>
        <family val="2"/>
      </rPr>
      <t>[Cálculo do valor:  [(7/30)/12] =1,94%; BC: remuneração mensal e a remuneração anual.] OBS: Após o primeiro ano de contrato ajustar o percentual: ((3/30)/12)=0,83%</t>
    </r>
  </si>
  <si>
    <t>Incidência dos encargos do submódulo 2.2 sobre o Aviso Prévio Trabalhado</t>
  </si>
  <si>
    <r>
      <t>Multa do FGTS sobre o Aviso Prévio Indenizado e Sobre o Aviso Prévio Trabalhado</t>
    </r>
    <r>
      <rPr>
        <sz val="9"/>
        <color rgb="FFC9211E"/>
        <rFont val="Arial"/>
        <family val="2"/>
      </rPr>
      <t xml:space="preserve"> [Cálculo do percentual = [40%x8%x 100% (Rem+13º+Férias+1/3xFérias)] = [(8% X 40%) X 100%] X [1+ 5/56 + 5/56 + 5/168] = 3,85%</t>
    </r>
  </si>
  <si>
    <t>TOTAL - MÓDULO 3 - PROVISÃO PARA RESCISÃO</t>
  </si>
  <si>
    <t>MÓDULO 4 - CUSTO DE REPOSIÇÃO DO PROFISSIONAL AUSENTE</t>
  </si>
  <si>
    <t>Submódulo 4.1 - Substituto nas Ausências Legais</t>
  </si>
  <si>
    <t>Férias</t>
  </si>
  <si>
    <r>
      <t>Percentual de férias</t>
    </r>
    <r>
      <rPr>
        <sz val="8"/>
        <color rgb="FFC00000"/>
        <rFont val="Arial"/>
        <family val="2"/>
      </rPr>
      <t xml:space="preserve">   {Percentual de 8,33% (1/12); BC: MOD 1, 2 e 3.}</t>
    </r>
  </si>
  <si>
    <t>Ausências Legais</t>
  </si>
  <si>
    <r>
      <t xml:space="preserve">Percentual de ausências legais </t>
    </r>
    <r>
      <rPr>
        <sz val="8"/>
        <color rgb="FFC00000"/>
        <rFont val="Arial"/>
        <family val="2"/>
      </rPr>
      <t>(Considerado 6 dias de afastamento por anos (atestados médicos, casamento, falecimento de parente, doação de sangue, ... e 360 dias anuais: (6/360) - BC: Remuneração, Encargos e Benefícios Anuais. A empresa deverá cotar este percentual de acordo com a sua realidade e a quantidade de empregados no posto de trabalho.)</t>
    </r>
  </si>
  <si>
    <t>Paternidade</t>
  </si>
  <si>
    <r>
      <t xml:space="preserve">Percentual de Afastamento Paternidade </t>
    </r>
    <r>
      <rPr>
        <sz val="8"/>
        <color rgb="FFC00000"/>
        <rFont val="Arial"/>
        <family val="2"/>
      </rPr>
      <t>{Considerado 5 dias de licença, 360 dias anuais e 1,399% de frequência anual estimada de paternidade [(5/360) X 1,399%] (fonte IBGE) BC: Remuneração, Encargos e Benefícios Anuais.}</t>
    </r>
  </si>
  <si>
    <t>Acidente trabalho</t>
  </si>
  <si>
    <r>
      <t xml:space="preserve">Percentual de Acidente de Trabalho </t>
    </r>
    <r>
      <rPr>
        <sz val="8"/>
        <color rgb="FFC00000"/>
        <rFont val="Arial"/>
        <family val="2"/>
      </rPr>
      <t>{Considerado 15 dias de licença, 360 dias anuais, 2,16% de percentual de frequência anual estimada BEPS dez/2019 ((15/360) X 2,16%) BC: Remuneração, Encargos e Benefícios Anuais.}</t>
    </r>
  </si>
  <si>
    <t>Maternidade</t>
  </si>
  <si>
    <r>
      <t>Percentual de Afastamento Maternidade</t>
    </r>
    <r>
      <rPr>
        <sz val="8"/>
        <color rgb="FFC00000"/>
        <rFont val="Arial"/>
        <family val="2"/>
      </rPr>
      <t xml:space="preserve"> {Considerado 50% dos trabalhadores do sexo feminino, 1,399% taxa de natalidade Brasil2020 e 4 meses de afastamento [50% * 1,399% * (4/12) * (8,93% + 8,93% + 2,98%)]; BC: Remuneração.}</t>
    </r>
  </si>
  <si>
    <t>TOTAL Submódulo 4.1</t>
  </si>
  <si>
    <t>TOTAL - MÓDULO 4 - CUSTO DE REPOSIÇÃO DO PROFISSIONAL AUSENTE</t>
  </si>
  <si>
    <t>MÓDULO 5 - INSUMOS DIVERSOS</t>
  </si>
  <si>
    <t>Uniformes</t>
  </si>
  <si>
    <t>Ferramentas e Equipamentos</t>
  </si>
  <si>
    <t>TOTAL - MÓDULO 5 - INSUMOS DIVERSOS</t>
  </si>
  <si>
    <t>MÓDULO 6 - CUSTOS INDIRETOS, TRIBUTOS E LUCRO</t>
  </si>
  <si>
    <r>
      <t xml:space="preserve">Custos Indiretos </t>
    </r>
    <r>
      <rPr>
        <sz val="8"/>
        <color rgb="FFC00000"/>
        <rFont val="Arial"/>
        <family val="2"/>
      </rPr>
      <t>(BC: Módulos 1 a 5)</t>
    </r>
  </si>
  <si>
    <r>
      <t xml:space="preserve">Lucro </t>
    </r>
    <r>
      <rPr>
        <sz val="8"/>
        <color rgb="FFC00000"/>
        <rFont val="Arial"/>
        <family val="2"/>
      </rPr>
      <t>(BC: Módulos 1 a 5 e Valor dos Custos Indiretos)</t>
    </r>
  </si>
  <si>
    <r>
      <t>Tributos</t>
    </r>
    <r>
      <rPr>
        <sz val="8"/>
        <color rgb="FFC00000"/>
        <rFont val="Arial"/>
        <family val="2"/>
      </rPr>
      <t xml:space="preserve"> (BC: Valor mensal total por empregado.)</t>
    </r>
  </si>
  <si>
    <t>Tributos Federais</t>
  </si>
  <si>
    <t>PIS</t>
  </si>
  <si>
    <t>COFINS</t>
  </si>
  <si>
    <t>OUTROS</t>
  </si>
  <si>
    <t>ISSQN</t>
  </si>
  <si>
    <r>
      <t>INSS PATRONAL</t>
    </r>
    <r>
      <rPr>
        <sz val="8"/>
        <color rgb="FFC00000"/>
        <rFont val="Arial"/>
        <family val="2"/>
      </rPr>
      <t xml:space="preserve"> (em caso de desoneração da folha de pagmentos - Lei 14.288 de 31/12/2021))</t>
    </r>
  </si>
  <si>
    <t>Total de tributos</t>
  </si>
  <si>
    <t>TOTAL - MÓDULO 6 - CUSTOS INDIRETOS, TRIBUTOS E LUCRO</t>
  </si>
  <si>
    <t>VALOR POR EMPREGADO - QUADRO RESUMO</t>
  </si>
  <si>
    <t>Módulo 1 - Composição da Remuneração</t>
  </si>
  <si>
    <t>Módulo 2 - Encargos e Benefícios Anuais, Mensais e Diários</t>
  </si>
  <si>
    <t>Módulo 3 - Provisão para Rescisão</t>
  </si>
  <si>
    <t>Módulo 4 - Custo para Reposição do Profissional Ausente</t>
  </si>
  <si>
    <t>Módulo 5 - Insumos Diversos</t>
  </si>
  <si>
    <t>Subtotal (Mód 1 + Mód 2 + Mód 3 + Mód 4 + Mód 5)</t>
  </si>
  <si>
    <t>Módulo 6 - Custos Indiretos, Tributos e Lucros</t>
  </si>
  <si>
    <r>
      <t xml:space="preserve">VALOR MENSAL TOTAL POR EMPREGADO                                                                                                </t>
    </r>
    <r>
      <rPr>
        <b/>
        <sz val="8"/>
        <color theme="2" tint="-0.249977111117893"/>
        <rFont val="Arial"/>
        <family val="2"/>
      </rPr>
      <t>{Cálculado na fórmula: =(Subtotal Mód. 1 a 5 + Lucro + Custos Indiretos) / (1 - Percentual total dos tributos)}</t>
    </r>
  </si>
  <si>
    <t>VALOR MENSAL E GLOBAL DOS SERVIÇOS</t>
  </si>
  <si>
    <t>VALOR MENSAL POR EMPREGADO (A)</t>
  </si>
  <si>
    <t>QTDE DE EMPREGADOS POR POSTO (B)</t>
  </si>
  <si>
    <t>VALOR MENSAL POR POSTO (C) = (A) X (B)</t>
  </si>
  <si>
    <t>QUANTIDADE DE POSTOS (D)</t>
  </si>
  <si>
    <t>VALOR MENSAL TOTAL (E) = (C) x (D)</t>
  </si>
  <si>
    <t xml:space="preserve">Serviços de Limpeza - Servente </t>
  </si>
  <si>
    <t>TO 000017/2024</t>
  </si>
  <si>
    <t>Servente de Limpeza</t>
  </si>
  <si>
    <t>5143-20</t>
  </si>
  <si>
    <t>2024/2025</t>
  </si>
  <si>
    <t>Cláusula 3ª, CCT TO 000017/2024</t>
  </si>
  <si>
    <t>Adicional de Insalubridade</t>
  </si>
  <si>
    <t>Outros (especificar)</t>
  </si>
  <si>
    <t>Cláusula 11ª, CCT TO 000017/2024, c/c § 6º.</t>
  </si>
  <si>
    <t>Cláusula 12ª, CCT TO 000017/2024 c/c Decreto nº 2.214/2022</t>
  </si>
  <si>
    <t>Amparo Social</t>
  </si>
  <si>
    <t>Cláusula 15ª, CCT TO 000017/2024.</t>
  </si>
  <si>
    <r>
      <t xml:space="preserve">Tributos Municipais </t>
    </r>
    <r>
      <rPr>
        <sz val="8"/>
        <color rgb="FFC00000"/>
        <rFont val="Arial"/>
        <family val="2"/>
      </rPr>
      <t>(Lei Complementar nº 107, de 30/09/2005, art. 14, I.)</t>
    </r>
  </si>
  <si>
    <t>Palmas/TO</t>
  </si>
  <si>
    <t>Serviços de Limpeza - Encarregado</t>
  </si>
  <si>
    <t>Cláusula 3ª, CCT TO 000017/2024, item 12.</t>
  </si>
  <si>
    <t>ÁREAS INTERNAS</t>
  </si>
  <si>
    <t xml:space="preserve">MÃO DE OBRA </t>
  </si>
  <si>
    <t xml:space="preserve">(1 X 2)                                         </t>
  </si>
  <si>
    <t>PRODUTIVIDADE</t>
  </si>
  <si>
    <t>PREÇO HOMEM-MÊS</t>
  </si>
  <si>
    <t xml:space="preserve">SUBTOTAL                            </t>
  </si>
  <si>
    <t>(1/M²)</t>
  </si>
  <si>
    <t>(R$)</t>
  </si>
  <si>
    <t>(R$/M²)</t>
  </si>
  <si>
    <t>PISOS FRIOS</t>
  </si>
  <si>
    <t>ENCARREGADO</t>
  </si>
  <si>
    <t>SERVENTE</t>
  </si>
  <si>
    <t>1/1200</t>
  </si>
  <si>
    <t>ÁREAS COM ESPAÇOS LIVRES - SAGUÃO, HALL  e SALÃO</t>
  </si>
  <si>
    <t>1/1500</t>
  </si>
  <si>
    <t>BANHEIROS</t>
  </si>
  <si>
    <t>1/300</t>
  </si>
  <si>
    <t>ÁREAS EXTERNAS</t>
  </si>
  <si>
    <t>PISOS PAVIMENTADOS ADJACENTES / CONTÍGUOS ÀS EDIFICAÇÕES</t>
  </si>
  <si>
    <t>1/2700</t>
  </si>
  <si>
    <t>PÁTIOS E ÁREAS VERDES COM MÉDIA FREQUENCIA</t>
  </si>
  <si>
    <t xml:space="preserve">ESQUADRIAS EXTERNAS </t>
  </si>
  <si>
    <t>Face Interna</t>
  </si>
  <si>
    <t>(1) PRODUTI-VIDADE (1/M²)</t>
  </si>
  <si>
    <t>(4)  = (1 X 2 X 3)   Ke</t>
  </si>
  <si>
    <t>(5) PREÇO HOMEM-MÊS           (R$)</t>
  </si>
  <si>
    <t>(6) = (4 X 5) SUBTOTAL (R$/M²)</t>
  </si>
  <si>
    <t>1/188,76</t>
  </si>
  <si>
    <t>1/380</t>
  </si>
  <si>
    <t>1/(4x160)</t>
  </si>
  <si>
    <t>1/1132,6</t>
  </si>
  <si>
    <t>1/160</t>
  </si>
  <si>
    <t>M² DRF PALMAS TO</t>
  </si>
  <si>
    <t>PREÇO HOMEM/MÊS</t>
  </si>
  <si>
    <t>Total</t>
  </si>
  <si>
    <t>(2) FREQUÊN-CIA NO MÊS (horas)</t>
  </si>
  <si>
    <t>(1) PRODUTI-VIDADE (1/m²)</t>
  </si>
  <si>
    <t>(6) = (4 X 5) SUBTOTAL (R$/m²)</t>
  </si>
  <si>
    <t>(1/m²)</t>
  </si>
  <si>
    <t>(R$/m²)</t>
  </si>
  <si>
    <t>PREÇO MENSAL UNITÁRIO POR M²</t>
  </si>
  <si>
    <t>LOCAL</t>
  </si>
  <si>
    <t>TIPO DE ÁREA</t>
  </si>
  <si>
    <t>ÁREA                   M²</t>
  </si>
  <si>
    <t>Produtividade</t>
  </si>
  <si>
    <t>Nº de Serventes</t>
  </si>
  <si>
    <t>DRF/PAL</t>
  </si>
  <si>
    <t xml:space="preserve">Área interna - Pisos Frios </t>
  </si>
  <si>
    <t>Área interna - Áreas com espaços livres - Saguão, Hall e Salão</t>
  </si>
  <si>
    <t>Área interna - Banheiros</t>
  </si>
  <si>
    <t>Áreas ext - Pisos pav. Adj./com. às edif.</t>
  </si>
  <si>
    <t>Áreas ext - Pátios áreas verdes / média freq.</t>
  </si>
  <si>
    <t>Esquadrias ext. Face Interna</t>
  </si>
  <si>
    <t>Esquadrias ext. - Face ext. c/ exp a sit de risco</t>
  </si>
  <si>
    <r>
      <t xml:space="preserve">ARF/ARA </t>
    </r>
    <r>
      <rPr>
        <sz val="10"/>
        <rFont val="Lucida Sans"/>
        <family val="2"/>
      </rPr>
      <t/>
    </r>
  </si>
  <si>
    <t xml:space="preserve">Área interna Pisos Frios </t>
  </si>
  <si>
    <r>
      <t>ARF/GUR</t>
    </r>
    <r>
      <rPr>
        <sz val="10"/>
        <rFont val="Lucida Sans"/>
        <family val="2"/>
      </rPr>
      <t/>
    </r>
  </si>
  <si>
    <t>ARF/PAR</t>
  </si>
  <si>
    <t>VALOR PARA 20 MESES</t>
  </si>
  <si>
    <t>Cláusula 12ª, CCT TO 000017/2024 c/c Decreto nº 134/2019.</t>
  </si>
  <si>
    <r>
      <t xml:space="preserve">Tributos Municipais </t>
    </r>
    <r>
      <rPr>
        <sz val="8"/>
        <color rgb="FFC00000"/>
        <rFont val="Arial"/>
        <family val="2"/>
      </rPr>
      <t>(Lei Complementar nº 58, de 30/12/2017, art. 290, IV)</t>
    </r>
  </si>
  <si>
    <t>Araguaína/TO</t>
  </si>
  <si>
    <t>(4)  = (1 X 2 X 3)   Ki</t>
  </si>
  <si>
    <t>M² DRF ARAGUAINA TO</t>
  </si>
  <si>
    <t>Cláusula 12ª, CCT TO 000017/2024 c/c Contrato nº 169/2023</t>
  </si>
  <si>
    <r>
      <t xml:space="preserve">Tributos Municipais </t>
    </r>
    <r>
      <rPr>
        <sz val="8"/>
        <color rgb="FFC00000"/>
        <rFont val="Arial"/>
        <family val="2"/>
      </rPr>
      <t>(Lei Complementar nº 957, de 20/12/1991, Anexo II, Tabela I, 7.10)</t>
    </r>
  </si>
  <si>
    <t>Gurupi/TO</t>
  </si>
  <si>
    <t>Cláusula 12ª, CCT TO 000017/2024 c/c Lei nº 1958/2017.</t>
  </si>
  <si>
    <r>
      <t xml:space="preserve">Tributos Municipais </t>
    </r>
    <r>
      <rPr>
        <sz val="8"/>
        <color rgb="FFC00000"/>
        <rFont val="Arial"/>
        <family val="2"/>
      </rPr>
      <t>(Lei Complementar nº 31, de 24/06/2010, Anexo II, 7.10)</t>
    </r>
  </si>
  <si>
    <t>Paraíso do Tocantins/TO</t>
  </si>
  <si>
    <t>M² DRF PARAISO TO</t>
  </si>
  <si>
    <t>M² DRF GURUPI TO</t>
  </si>
  <si>
    <t>FACE EXTERNA COM EXPOSIÇÃO A SITUAÇÃO DE RISCO</t>
  </si>
  <si>
    <t>(3) JORNADA DE TRABALHO NO SEMESTRE (horas)</t>
  </si>
  <si>
    <t>(2) FREQUÊNCIA NO SEMESTRE (horas)</t>
  </si>
  <si>
    <t>(3) JORNADA DE TRABALHO NO MÊS (horas)</t>
  </si>
  <si>
    <t>PÁTIOS E ÁREAS VERDES COM MÉDIA FREQUÊNCIA</t>
  </si>
  <si>
    <t>G1 - RESUMO DA CONTRAÇÃO</t>
  </si>
  <si>
    <t>Preço Unitário Mensal (R$/m²)</t>
  </si>
  <si>
    <t xml:space="preserve">G1 - Valor Total Mensal </t>
  </si>
  <si>
    <t>G1 - Valor Total para 20 meses</t>
  </si>
  <si>
    <t>Jardineiro</t>
  </si>
  <si>
    <t>6220-10</t>
  </si>
  <si>
    <t>JARDINEIRO</t>
  </si>
  <si>
    <t>VALOR MENSAL</t>
  </si>
  <si>
    <t>VALOR TOTAL (20 meses)</t>
  </si>
  <si>
    <t>ESTIMATIVA DE MATERIAIS E UTENSÍLIOS</t>
  </si>
  <si>
    <t>Item</t>
  </si>
  <si>
    <t xml:space="preserve">Materiais e Utensílios </t>
  </si>
  <si>
    <t>Unidade</t>
  </si>
  <si>
    <t>Quantidade Estimada para 20 Meses</t>
  </si>
  <si>
    <t>Valor Estimado para 20 Meses</t>
  </si>
  <si>
    <t>PAL</t>
  </si>
  <si>
    <t>ARA</t>
  </si>
  <si>
    <t>GUR</t>
  </si>
  <si>
    <t>PAR</t>
  </si>
  <si>
    <t>Preço (Mediana)</t>
  </si>
  <si>
    <t>Água Sanitária de 1ª qualidade</t>
  </si>
  <si>
    <t>5 litros</t>
  </si>
  <si>
    <t>Álcool de limpeza, 70º</t>
  </si>
  <si>
    <t>1 litro</t>
  </si>
  <si>
    <t>500 ml</t>
  </si>
  <si>
    <t>Balde plástico – 10L</t>
  </si>
  <si>
    <t>Cabo de chapa de aço c/ rosca 140cm</t>
  </si>
  <si>
    <t>Desinfetante líquido uso geral</t>
  </si>
  <si>
    <t>Desodorante sanitário pedra</t>
  </si>
  <si>
    <t>Detergente líquido para lavar louça</t>
  </si>
  <si>
    <t>Detergente líquido piso</t>
  </si>
  <si>
    <t xml:space="preserve">Escova nylon oval plástica </t>
  </si>
  <si>
    <t>Espanador penas c/ cabo</t>
  </si>
  <si>
    <t>Pacote</t>
  </si>
  <si>
    <t>Esponja dupla face</t>
  </si>
  <si>
    <t>Flanela de limpeza 28x58</t>
  </si>
  <si>
    <t>Limpa vidros</t>
  </si>
  <si>
    <t>Limpador multiuso</t>
  </si>
  <si>
    <t>Lustra móveis lavanda (200 ml)</t>
  </si>
  <si>
    <t xml:space="preserve">Luva latex c/ forro amarela </t>
  </si>
  <si>
    <t>Mangueira 50 metros</t>
  </si>
  <si>
    <t>Pá de plástico com cabo</t>
  </si>
  <si>
    <t>Pá de plástico sem cabo</t>
  </si>
  <si>
    <t xml:space="preserve">Pano de chão </t>
  </si>
  <si>
    <t>Pano de prato 50x70</t>
  </si>
  <si>
    <t>Fardo</t>
  </si>
  <si>
    <t>Papel toalha, branco, 2 dobras, pacote com 1.250 fls de 21 x 22,5cm</t>
  </si>
  <si>
    <t>pct c/ 1000 fls</t>
  </si>
  <si>
    <t>Pulverizador c/ gatilho 500ml</t>
  </si>
  <si>
    <t>Sabão em barra</t>
  </si>
  <si>
    <t>Sabão em pó multi-ação - 1kg</t>
  </si>
  <si>
    <t>Sabonete líquido para mãos, cremoso</t>
  </si>
  <si>
    <t>Saco de lixo preto c/ 100 – 020L</t>
  </si>
  <si>
    <t>Saco de lixo preto c/ 100 – 040L</t>
  </si>
  <si>
    <t>Saco de lixo preto c/ 100 – 100L</t>
  </si>
  <si>
    <t>Saponáceo em pó ou cremoso com cloro</t>
  </si>
  <si>
    <t>250ml</t>
  </si>
  <si>
    <t xml:space="preserve">Vassoura nylon c/ cabo </t>
  </si>
  <si>
    <t>Vassoura palha</t>
  </si>
  <si>
    <t>Vassoura sanitária c/ pote</t>
  </si>
  <si>
    <t>Desentupidor de pia</t>
  </si>
  <si>
    <t>Desentupidor de sanitário</t>
  </si>
  <si>
    <t>Limpa Alumínio 500ml</t>
  </si>
  <si>
    <t>Lixeiras de plástico 7 litros</t>
  </si>
  <si>
    <t xml:space="preserve">Estimativa por Undidade </t>
  </si>
  <si>
    <t>Estimativa Mensal (20 meses)</t>
  </si>
  <si>
    <t>Número de Serventes</t>
  </si>
  <si>
    <t>Estimativa Mensal por Servente (Materiais e Utensílios)</t>
  </si>
  <si>
    <t>ESTIMATIVA DE EQUIPAMENTOS (TAXA DE DEPRECIAÇÃO)</t>
  </si>
  <si>
    <t>Equipamentos</t>
  </si>
  <si>
    <t>Depreciação (em meses)</t>
  </si>
  <si>
    <t>Quantidade Estimada (20 meses)</t>
  </si>
  <si>
    <t>Valor Estimado (20 meses)</t>
  </si>
  <si>
    <t>Preço Médio</t>
  </si>
  <si>
    <t>Escada 5 degraus</t>
  </si>
  <si>
    <t>Kit Carrinho MOP completo com 30 litros(balde, espremedor, cabo, refil de algodão e  placa sinalizadora)</t>
  </si>
  <si>
    <t>Lavadora de alta pressão</t>
  </si>
  <si>
    <t>Aparador de grama. Elétrico, com fio de nylon com avanço atomático. Aplicação acabamentos.</t>
  </si>
  <si>
    <t>Aspirador de pó. Potência em torno de 1200W.</t>
  </si>
  <si>
    <t>Carrinho de limpeza para carregar produtos como vassouras e baldes.</t>
  </si>
  <si>
    <t>Dispenser para papel higiênico. Tamanho e modelo a depender do papel higiênico.</t>
  </si>
  <si>
    <t>Dispenser para papel toalha. Tamanho e modelo a depender do papel toalha a ser fornecido.</t>
  </si>
  <si>
    <t>Dispenser (reservatório) para sabonete líquido.</t>
  </si>
  <si>
    <t>EPI para operador de roçadeira (kit óculos, luva, chapéu etc.</t>
  </si>
  <si>
    <t>Escada de alumínio com 8 degraus, fabricada conforme critérios da ABNT.</t>
  </si>
  <si>
    <t>Lava-jato de alta pressão de aproximadamente 1700 libras, 1400W e 3 metros de mangueira.</t>
  </si>
  <si>
    <t>Lixeira plástica com capacidade de 100 L, com rodas.</t>
  </si>
  <si>
    <t>Placa sinalizadora em polipropeleno injetado de 65X30 cm, pesando aproximadamente 1,1 Kg com os dizeres: Cuidado! Piso molhado.</t>
  </si>
  <si>
    <t>Placa sinalizadora em polipropeleno injetado de 65X30 cm, pesando aproximadamente 1,1 kg com os dizeres: "WC fora de uso".</t>
  </si>
  <si>
    <t>Roçadeira, semelhante ao modelo FS 160 Stihl, à gasolina.</t>
  </si>
  <si>
    <t>Soprador</t>
  </si>
  <si>
    <t>Rastelo</t>
  </si>
  <si>
    <t>Extensão</t>
  </si>
  <si>
    <t>Estimativa por Undidade</t>
  </si>
  <si>
    <t>Estimativa Mensal por Servente (taxa de depreciação)</t>
  </si>
  <si>
    <t>UNIFORMES</t>
  </si>
  <si>
    <t>Descrição</t>
  </si>
  <si>
    <t>Preço Mediana</t>
  </si>
  <si>
    <t>Quant.</t>
  </si>
  <si>
    <t>Valor Total</t>
  </si>
  <si>
    <t>Bota de borracha</t>
  </si>
  <si>
    <t>Botina em couro, com elático e bico de PVC</t>
  </si>
  <si>
    <t>Calçado profissional tênis softwork com atiderrapante</t>
  </si>
  <si>
    <t>Camiseta manga curta/poliéster e viscose</t>
  </si>
  <si>
    <t>Camiseta manga longa/poliéster e viscose</t>
  </si>
  <si>
    <t>Meias</t>
  </si>
  <si>
    <t>Óculos de Proteção</t>
  </si>
  <si>
    <t>Calça com elástico</t>
  </si>
  <si>
    <t>Crachá</t>
  </si>
  <si>
    <t>Custo do Uniforme para uma servente</t>
  </si>
  <si>
    <t>Valor mensal do Uniforme por servente (12 meses)</t>
  </si>
  <si>
    <r>
      <t xml:space="preserve">Desodorizador de ar em spray </t>
    </r>
    <r>
      <rPr>
        <sz val="10"/>
        <color rgb="FFC9211E"/>
        <rFont val="Arial"/>
        <family val="2"/>
      </rPr>
      <t>(Bom ar 400 ml)</t>
    </r>
  </si>
  <si>
    <r>
      <t>Esponja de aço</t>
    </r>
    <r>
      <rPr>
        <sz val="10"/>
        <color rgb="FFC9211E"/>
        <rFont val="Arial"/>
        <family val="2"/>
      </rPr>
      <t xml:space="preserve"> ptc c/ 08</t>
    </r>
  </si>
  <si>
    <r>
      <t xml:space="preserve">Papel higiênico branco de 1ª qualidade, contendo 30m cada rolo, folha dupla, </t>
    </r>
    <r>
      <rPr>
        <sz val="10"/>
        <color rgb="FFC9211E"/>
        <rFont val="Arial"/>
        <family val="2"/>
      </rPr>
      <t>(fardo com 64 rolos).</t>
    </r>
  </si>
  <si>
    <r>
      <t>Rodo plast.</t>
    </r>
    <r>
      <rPr>
        <sz val="10"/>
        <color rgb="FFC9211E"/>
        <rFont val="Arial"/>
        <family val="2"/>
      </rPr>
      <t xml:space="preserve"> 60 cm </t>
    </r>
    <r>
      <rPr>
        <sz val="10"/>
        <color rgb="FF3F3F76"/>
        <rFont val="Arial"/>
        <family val="2"/>
      </rPr>
      <t xml:space="preserve">c/ cabo 120 cm </t>
    </r>
  </si>
  <si>
    <r>
      <t>Rodo plast.</t>
    </r>
    <r>
      <rPr>
        <sz val="10"/>
        <color rgb="FFC9211E"/>
        <rFont val="Arial"/>
        <family val="2"/>
      </rPr>
      <t xml:space="preserve"> 40 cm</t>
    </r>
    <r>
      <rPr>
        <sz val="10"/>
        <color rgb="FF3F3F76"/>
        <rFont val="Arial"/>
        <family val="2"/>
      </rPr>
      <t xml:space="preserve"> c/ cabo 120 cm </t>
    </r>
  </si>
  <si>
    <t>Material de Limpeza</t>
  </si>
  <si>
    <t>Materiais</t>
  </si>
  <si>
    <t>Tesoura para jardim</t>
  </si>
  <si>
    <t>Enxada</t>
  </si>
  <si>
    <t>Facão</t>
  </si>
  <si>
    <t>4101-05</t>
  </si>
  <si>
    <t>Papel higiênico branco de 1ª qualidade, contendo 300m cada rolo, folha dupla, (fardo com 8 rolos).</t>
  </si>
  <si>
    <t>Serviços de Limpeza - Servente/Jardineiro</t>
  </si>
  <si>
    <t>SERVENTE COM INSALUBRIDADE</t>
  </si>
  <si>
    <t>Quant. Total para 20 meses</t>
  </si>
  <si>
    <t>QUANTITATIVOS MÍNIMOS DE SERVENTES POR IMÓVEL</t>
  </si>
  <si>
    <t>DIAS/SEMANA</t>
  </si>
  <si>
    <t>DIAS/MÊS</t>
  </si>
  <si>
    <t>DIAS/QUINZENA</t>
  </si>
  <si>
    <t>DIAS/ANO</t>
  </si>
  <si>
    <t>Frequência</t>
  </si>
  <si>
    <t>Periodicidade</t>
  </si>
  <si>
    <t>Metragem limpa por dia</t>
  </si>
  <si>
    <t>SEG A SÁB.</t>
  </si>
  <si>
    <t>DRF/PAL/TO</t>
  </si>
  <si>
    <t>Áreas Internas</t>
  </si>
  <si>
    <t>Pisos Acarpetados</t>
  </si>
  <si>
    <t>DIÁRIA</t>
  </si>
  <si>
    <t>Produtividade (mínima e máxima)</t>
  </si>
  <si>
    <t xml:space="preserve">Pisos Frios </t>
  </si>
  <si>
    <t>Almoxarifados/Galpões</t>
  </si>
  <si>
    <t>Áreas com espaços livres - Saguão, Hall e Salão</t>
  </si>
  <si>
    <t>Oficinas</t>
  </si>
  <si>
    <t>Banheiros</t>
  </si>
  <si>
    <t>Áreas com espaços livres</t>
  </si>
  <si>
    <t>Áreas Externas</t>
  </si>
  <si>
    <t>Pisos pavimentos adjacentes/contíguos às edificações</t>
  </si>
  <si>
    <t>Varrição de passeios e arruamentos</t>
  </si>
  <si>
    <t>Pisos pavimentos adjacentes</t>
  </si>
  <si>
    <t>Pátios e áreas verdes com alta/média frequência</t>
  </si>
  <si>
    <t>Coleta de detritos em pátio e áreas verdes com frequência diária</t>
  </si>
  <si>
    <t>Pátios e áreas verdes com alta frequência</t>
  </si>
  <si>
    <t>Esquadrias</t>
  </si>
  <si>
    <t>Face externa com exposição à situação de risco</t>
  </si>
  <si>
    <t>QUINZENAL</t>
  </si>
  <si>
    <t>Pátios e áreas verdes com média frequência</t>
  </si>
  <si>
    <t>Face externa sem exposição à situação de risco</t>
  </si>
  <si>
    <t>Pátios e áreas verdes com baixa frequência</t>
  </si>
  <si>
    <t>Face interna</t>
  </si>
  <si>
    <t>Coleta de detritos em pátio</t>
  </si>
  <si>
    <t>Faxadas envidraçadas</t>
  </si>
  <si>
    <t>SUBTOTAL QUANTIDADE DE SERVENTES</t>
  </si>
  <si>
    <t>ARF/ARA/TO</t>
  </si>
  <si>
    <t>DISTRIBUIÇÃO DOS POSTOS</t>
  </si>
  <si>
    <t>ARF/GUR/TO</t>
  </si>
  <si>
    <t>ARF/PAR/TO</t>
  </si>
  <si>
    <t>Banheiro Privados</t>
  </si>
  <si>
    <t>Estrutura Metálica</t>
  </si>
  <si>
    <t>ANUAL</t>
  </si>
  <si>
    <t>METRAGEM LIMPA POR DIA</t>
  </si>
  <si>
    <t>Descrição - UNIFORMES - Encarregado</t>
  </si>
  <si>
    <t>Camisa com manga curta, com emblema da empresa bordado</t>
  </si>
  <si>
    <t>Jaqueta de frio, com emblema da empresa pintado ou bordado, na cor da empresa</t>
  </si>
  <si>
    <t>Capa de chuva</t>
  </si>
  <si>
    <t>Sapato, salto baixo, antiderrapante (par) (para encarregado feminino)</t>
  </si>
  <si>
    <t>Custo do Uniforme para um encarregado</t>
  </si>
  <si>
    <t>Valor mensal do Uniforme por encarregado (12 meses)</t>
  </si>
  <si>
    <t>Calça comprida, cor preta, tecido OXFORD</t>
  </si>
  <si>
    <t>BC: Salário Mínimo</t>
  </si>
  <si>
    <t>1/(8 x 1200)</t>
  </si>
  <si>
    <t>1/(8 x 1500)</t>
  </si>
  <si>
    <t>1/(8 x 300)</t>
  </si>
  <si>
    <t>1/(8 x 2700)</t>
  </si>
  <si>
    <t>1/(8x380)</t>
  </si>
  <si>
    <t>Para a presente planilha é adotada a relação de um encarregado para a quantidade necessária de serventes na execução dos serviços (8 serventes) exceto para esquadrias externas, face externa; de acordo com o disposto no item 4 do Anexo VI-B da Instruções Normativas SEGES/MP nº 5, de 26 de maio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</si>
</sst>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"/>
    <numFmt numFmtId="165" formatCode="&quot;R$ &quot;#,##0.00"/>
    <numFmt numFmtId="166" formatCode="0.000%"/>
    <numFmt numFmtId="167" formatCode="0.0000000"/>
    <numFmt numFmtId="168" formatCode="_(* #,##0.00_);_(* \(#,##0.00\);_(* \-??_);_(@_)"/>
    <numFmt numFmtId="169" formatCode="_-&quot;R$ &quot;* #,##0.00_-;&quot;-R$ &quot;* #,##0.00_-;_-&quot;R$ &quot;* \-??_-;_-@_-"/>
    <numFmt numFmtId="170" formatCode="_-* #,##0_-;\-* #,##0_-;_-* \-_-;_-@_-"/>
    <numFmt numFmtId="171" formatCode="_-* #,##0.000000_-;\-* #,##0.000000_-;_-* &quot;-&quot;??_-;_-@_-"/>
  </numFmts>
  <fonts count="41" x14ac:knownFonts="1">
    <font>
      <sz val="11"/>
      <color rgb="FF000000"/>
      <name val="Calibri"/>
      <family val="2"/>
      <charset val="1"/>
    </font>
    <font>
      <b/>
      <sz val="14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b/>
      <sz val="11"/>
      <color rgb="FF000000"/>
      <name val="Arial"/>
      <family val="2"/>
    </font>
    <font>
      <sz val="8"/>
      <color rgb="FFC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sz val="9"/>
      <color rgb="FFC9211E"/>
      <name val="Arial"/>
      <family val="2"/>
    </font>
    <font>
      <b/>
      <sz val="12"/>
      <color rgb="FFFFFFFF"/>
      <name val="Arial"/>
      <family val="2"/>
    </font>
    <font>
      <b/>
      <sz val="8"/>
      <color theme="2" tint="-0.24997711111789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Lucida Sans"/>
      <family val="2"/>
    </font>
    <font>
      <sz val="11"/>
      <color rgb="FF3F3F76"/>
      <name val="Calibri"/>
      <family val="2"/>
      <charset val="1"/>
    </font>
    <font>
      <sz val="10"/>
      <color rgb="FF3F3F76"/>
      <name val="Arial"/>
      <family val="2"/>
    </font>
    <font>
      <b/>
      <sz val="10"/>
      <color theme="0"/>
      <name val="Arial"/>
      <family val="2"/>
    </font>
    <font>
      <b/>
      <sz val="10"/>
      <color rgb="FF3F3F76"/>
      <name val="Arial"/>
      <family val="2"/>
    </font>
    <font>
      <sz val="10"/>
      <color rgb="FFC9211E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10"/>
      <color rgb="FF3F3F76"/>
      <name val="Calibri"/>
      <family val="2"/>
      <charset val="1"/>
    </font>
    <font>
      <b/>
      <sz val="10"/>
      <color theme="4" tint="-0.249977111117893"/>
      <name val="Arial"/>
      <family val="2"/>
    </font>
    <font>
      <sz val="10"/>
      <color rgb="FF2A6099"/>
      <name val="Arial"/>
      <family val="2"/>
      <charset val="1"/>
    </font>
    <font>
      <sz val="10"/>
      <color theme="0"/>
      <name val="Arial"/>
      <family val="2"/>
    </font>
    <font>
      <sz val="11"/>
      <color rgb="FF3F3F76"/>
      <name val="Calibri"/>
      <family val="2"/>
      <scheme val="minor"/>
    </font>
    <font>
      <sz val="9"/>
      <color rgb="FF3F3F76"/>
      <name val="Arial"/>
      <family val="2"/>
    </font>
    <font>
      <sz val="9"/>
      <color theme="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rgb="FFFFDBB6"/>
      </patternFill>
    </fill>
    <fill>
      <patternFill patternType="solid">
        <fgColor theme="4" tint="0.59999389629810485"/>
        <bgColor rgb="FFDEE6EF"/>
      </patternFill>
    </fill>
    <fill>
      <patternFill patternType="solid">
        <fgColor rgb="FFFFFFFF"/>
        <bgColor rgb="FFF2F2F2"/>
      </patternFill>
    </fill>
    <fill>
      <patternFill patternType="solid">
        <fgColor theme="4" tint="0.59999389629810485"/>
        <bgColor rgb="FFE2F0D9"/>
      </patternFill>
    </fill>
    <fill>
      <patternFill patternType="solid">
        <fgColor theme="2"/>
        <bgColor rgb="FF666666"/>
      </patternFill>
    </fill>
    <fill>
      <patternFill patternType="solid">
        <fgColor theme="4" tint="0.79998168889431442"/>
        <bgColor rgb="FFF8CBA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rgb="FFF8CBAD"/>
      </patternFill>
    </fill>
    <fill>
      <patternFill patternType="solid">
        <fgColor theme="4" tint="0.79998168889431442"/>
        <bgColor rgb="FFDDDDDD"/>
      </patternFill>
    </fill>
    <fill>
      <patternFill patternType="solid">
        <fgColor theme="7" tint="0.79998168889431442"/>
        <bgColor rgb="FFE2F0D9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76717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rgb="FF666666"/>
      </patternFill>
    </fill>
    <fill>
      <patternFill patternType="solid">
        <fgColor theme="4" tint="0.39997558519241921"/>
        <bgColor rgb="FFF8CBAD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rgb="FFFBE5D6"/>
      </patternFill>
    </fill>
    <fill>
      <patternFill patternType="solid">
        <fgColor rgb="FFFFFFFF"/>
        <bgColor rgb="FFDEEBF7"/>
      </patternFill>
    </fill>
    <fill>
      <patternFill patternType="solid">
        <fgColor theme="8" tint="0.59999389629810485"/>
        <bgColor rgb="FFDEEBF7"/>
      </patternFill>
    </fill>
    <fill>
      <patternFill patternType="solid">
        <fgColor theme="8" tint="-0.249977111117893"/>
        <bgColor rgb="FFFBE5D6"/>
      </patternFill>
    </fill>
    <fill>
      <patternFill patternType="solid">
        <fgColor theme="8" tint="0.59999389629810485"/>
        <bgColor rgb="FFFBE5D6"/>
      </patternFill>
    </fill>
    <fill>
      <patternFill patternType="solid">
        <fgColor theme="8" tint="0.39997558519241921"/>
        <bgColor rgb="FFFBE5D6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rgb="FFF8CBA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8CBAD"/>
      </patternFill>
    </fill>
    <fill>
      <patternFill patternType="solid">
        <fgColor rgb="FFFFCC99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9" fillId="0" borderId="0"/>
    <xf numFmtId="168" fontId="19" fillId="0" borderId="0" applyFill="0" applyBorder="0" applyAlignment="0" applyProtection="0"/>
    <xf numFmtId="0" fontId="21" fillId="19" borderId="46" applyProtection="0"/>
    <xf numFmtId="0" fontId="36" fillId="30" borderId="46" applyNumberFormat="0" applyAlignment="0" applyProtection="0"/>
  </cellStyleXfs>
  <cellXfs count="39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4" borderId="4" xfId="0" applyFont="1" applyFill="1" applyBorder="1"/>
    <xf numFmtId="0" fontId="3" fillId="4" borderId="5" xfId="0" applyFont="1" applyFill="1" applyBorder="1"/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4" fillId="7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6" borderId="2" xfId="0" applyFont="1" applyFill="1" applyBorder="1"/>
    <xf numFmtId="0" fontId="3" fillId="6" borderId="3" xfId="0" applyFont="1" applyFill="1" applyBorder="1"/>
    <xf numFmtId="0" fontId="8" fillId="7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9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left" vertical="center" wrapText="1"/>
    </xf>
    <xf numFmtId="165" fontId="5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9" fontId="3" fillId="0" borderId="9" xfId="0" applyNumberFormat="1" applyFont="1" applyBorder="1" applyAlignment="1">
      <alignment horizontal="center" vertical="center"/>
    </xf>
    <xf numFmtId="10" fontId="12" fillId="0" borderId="9" xfId="0" applyNumberFormat="1" applyFont="1" applyBorder="1" applyAlignment="1">
      <alignment horizontal="center" vertical="center"/>
    </xf>
    <xf numFmtId="10" fontId="12" fillId="11" borderId="9" xfId="0" applyNumberFormat="1" applyFont="1" applyFill="1" applyBorder="1" applyAlignment="1">
      <alignment horizontal="center" vertical="center"/>
    </xf>
    <xf numFmtId="10" fontId="8" fillId="10" borderId="1" xfId="0" applyNumberFormat="1" applyFont="1" applyFill="1" applyBorder="1" applyAlignment="1">
      <alignment horizontal="center" vertical="center"/>
    </xf>
    <xf numFmtId="165" fontId="8" fillId="10" borderId="1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5" fontId="5" fillId="7" borderId="12" xfId="0" applyNumberFormat="1" applyFont="1" applyFill="1" applyBorder="1" applyAlignment="1">
      <alignment horizontal="center" vertical="center"/>
    </xf>
    <xf numFmtId="10" fontId="3" fillId="11" borderId="1" xfId="0" applyNumberFormat="1" applyFont="1" applyFill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" fillId="6" borderId="2" xfId="0" applyFont="1" applyFill="1" applyBorder="1"/>
    <xf numFmtId="0" fontId="2" fillId="6" borderId="3" xfId="0" applyFont="1" applyFill="1" applyBorder="1"/>
    <xf numFmtId="0" fontId="8" fillId="12" borderId="2" xfId="0" applyFont="1" applyFill="1" applyBorder="1" applyAlignment="1">
      <alignment vertical="center"/>
    </xf>
    <xf numFmtId="0" fontId="8" fillId="12" borderId="3" xfId="0" applyFont="1" applyFill="1" applyBorder="1" applyAlignment="1">
      <alignment vertical="center"/>
    </xf>
    <xf numFmtId="0" fontId="12" fillId="12" borderId="2" xfId="0" applyFont="1" applyFill="1" applyBorder="1"/>
    <xf numFmtId="0" fontId="12" fillId="12" borderId="3" xfId="0" applyFont="1" applyFill="1" applyBorder="1"/>
    <xf numFmtId="165" fontId="5" fillId="7" borderId="14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5" fillId="7" borderId="6" xfId="0" applyNumberFormat="1" applyFont="1" applyFill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5" fontId="16" fillId="15" borderId="1" xfId="0" applyNumberFormat="1" applyFont="1" applyFill="1" applyBorder="1" applyAlignment="1">
      <alignment horizontal="center" vertical="center"/>
    </xf>
    <xf numFmtId="165" fontId="5" fillId="16" borderId="6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0" fontId="8" fillId="10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0" fontId="12" fillId="20" borderId="0" xfId="0" applyFont="1" applyFill="1" applyAlignment="1">
      <alignment vertical="center"/>
    </xf>
    <xf numFmtId="169" fontId="12" fillId="20" borderId="0" xfId="0" applyNumberFormat="1" applyFont="1" applyFill="1" applyAlignment="1">
      <alignment vertical="center"/>
    </xf>
    <xf numFmtId="0" fontId="22" fillId="0" borderId="46" xfId="3" applyFont="1" applyFill="1" applyAlignment="1" applyProtection="1">
      <alignment horizontal="center" vertical="center"/>
    </xf>
    <xf numFmtId="0" fontId="22" fillId="21" borderId="46" xfId="3" applyFont="1" applyFill="1" applyAlignment="1" applyProtection="1">
      <alignment horizontal="center" vertical="center"/>
    </xf>
    <xf numFmtId="169" fontId="23" fillId="22" borderId="46" xfId="3" applyNumberFormat="1" applyFont="1" applyFill="1" applyAlignment="1" applyProtection="1">
      <alignment horizontal="center" vertical="center"/>
    </xf>
    <xf numFmtId="169" fontId="22" fillId="0" borderId="46" xfId="3" applyNumberFormat="1" applyFont="1" applyFill="1" applyAlignment="1" applyProtection="1">
      <alignment horizontal="center" vertical="center"/>
    </xf>
    <xf numFmtId="0" fontId="22" fillId="0" borderId="46" xfId="3" applyFont="1" applyFill="1" applyAlignment="1" applyProtection="1">
      <alignment horizontal="center" vertical="center" wrapText="1"/>
    </xf>
    <xf numFmtId="0" fontId="22" fillId="0" borderId="46" xfId="0" applyFont="1" applyBorder="1" applyAlignment="1">
      <alignment horizontal="center" vertical="center"/>
    </xf>
    <xf numFmtId="169" fontId="24" fillId="20" borderId="54" xfId="3" applyNumberFormat="1" applyFont="1" applyFill="1" applyBorder="1" applyAlignment="1" applyProtection="1">
      <alignment vertical="center"/>
    </xf>
    <xf numFmtId="170" fontId="24" fillId="20" borderId="54" xfId="3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169" fontId="12" fillId="0" borderId="0" xfId="0" applyNumberFormat="1" applyFont="1" applyAlignment="1">
      <alignment vertical="center"/>
    </xf>
    <xf numFmtId="169" fontId="26" fillId="0" borderId="0" xfId="0" applyNumberFormat="1" applyFont="1" applyAlignment="1">
      <alignment vertical="center"/>
    </xf>
    <xf numFmtId="0" fontId="22" fillId="20" borderId="46" xfId="3" applyFont="1" applyFill="1" applyAlignment="1" applyProtection="1">
      <alignment horizontal="center" vertical="center"/>
    </xf>
    <xf numFmtId="169" fontId="22" fillId="20" borderId="46" xfId="3" applyNumberFormat="1" applyFont="1" applyFill="1" applyAlignment="1" applyProtection="1">
      <alignment horizontal="center" vertical="center"/>
    </xf>
    <xf numFmtId="0" fontId="12" fillId="0" borderId="0" xfId="0" applyFont="1"/>
    <xf numFmtId="169" fontId="12" fillId="0" borderId="0" xfId="0" applyNumberFormat="1" applyFont="1"/>
    <xf numFmtId="0" fontId="26" fillId="0" borderId="0" xfId="0" applyFont="1"/>
    <xf numFmtId="0" fontId="12" fillId="20" borderId="0" xfId="0" applyFont="1" applyFill="1"/>
    <xf numFmtId="0" fontId="27" fillId="7" borderId="31" xfId="0" applyFont="1" applyFill="1" applyBorder="1" applyAlignment="1">
      <alignment horizontal="center" vertical="center" wrapText="1"/>
    </xf>
    <xf numFmtId="0" fontId="19" fillId="0" borderId="0" xfId="1" applyFont="1"/>
    <xf numFmtId="0" fontId="27" fillId="7" borderId="55" xfId="0" applyFont="1" applyFill="1" applyBorder="1" applyAlignment="1">
      <alignment horizontal="center" vertical="center" wrapText="1"/>
    </xf>
    <xf numFmtId="0" fontId="19" fillId="0" borderId="29" xfId="1" applyFont="1" applyBorder="1" applyAlignment="1">
      <alignment horizontal="left" vertical="center" wrapText="1"/>
    </xf>
    <xf numFmtId="43" fontId="19" fillId="0" borderId="29" xfId="1" applyNumberFormat="1" applyFont="1" applyFill="1" applyBorder="1" applyAlignment="1">
      <alignment horizontal="right" vertical="center" wrapText="1"/>
    </xf>
    <xf numFmtId="4" fontId="19" fillId="0" borderId="29" xfId="1" applyNumberFormat="1" applyFont="1" applyBorder="1" applyAlignment="1">
      <alignment horizontal="center" vertical="center"/>
    </xf>
    <xf numFmtId="43" fontId="19" fillId="0" borderId="29" xfId="1" applyNumberFormat="1" applyFont="1" applyBorder="1" applyAlignment="1">
      <alignment horizontal="center" vertical="center"/>
    </xf>
    <xf numFmtId="43" fontId="19" fillId="0" borderId="43" xfId="1" applyNumberFormat="1" applyFont="1" applyBorder="1" applyAlignment="1">
      <alignment vertical="center"/>
    </xf>
    <xf numFmtId="0" fontId="19" fillId="0" borderId="20" xfId="1" applyFont="1" applyBorder="1" applyAlignment="1">
      <alignment horizontal="left" vertical="center" wrapText="1"/>
    </xf>
    <xf numFmtId="43" fontId="19" fillId="0" borderId="20" xfId="1" applyNumberFormat="1" applyFont="1" applyFill="1" applyBorder="1" applyAlignment="1">
      <alignment horizontal="center" vertical="center" wrapText="1"/>
    </xf>
    <xf numFmtId="4" fontId="19" fillId="0" borderId="20" xfId="1" applyNumberFormat="1" applyFont="1" applyBorder="1" applyAlignment="1">
      <alignment horizontal="center" vertical="center"/>
    </xf>
    <xf numFmtId="43" fontId="19" fillId="0" borderId="20" xfId="1" applyNumberFormat="1" applyFont="1" applyBorder="1" applyAlignment="1">
      <alignment horizontal="center" vertical="center"/>
    </xf>
    <xf numFmtId="43" fontId="19" fillId="0" borderId="44" xfId="1" applyNumberFormat="1" applyFont="1" applyBorder="1" applyAlignment="1">
      <alignment vertical="center"/>
    </xf>
    <xf numFmtId="43" fontId="19" fillId="0" borderId="18" xfId="1" applyNumberFormat="1" applyFont="1" applyBorder="1" applyAlignment="1">
      <alignment vertical="center"/>
    </xf>
    <xf numFmtId="43" fontId="27" fillId="0" borderId="24" xfId="1" applyNumberFormat="1" applyFon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 wrapText="1"/>
    </xf>
    <xf numFmtId="43" fontId="19" fillId="0" borderId="41" xfId="1" applyNumberFormat="1" applyFont="1" applyFill="1" applyBorder="1" applyAlignment="1">
      <alignment horizontal="right" vertical="center" wrapText="1"/>
    </xf>
    <xf numFmtId="4" fontId="19" fillId="0" borderId="41" xfId="1" applyNumberFormat="1" applyFont="1" applyFill="1" applyBorder="1" applyAlignment="1">
      <alignment horizontal="center" vertical="center"/>
    </xf>
    <xf numFmtId="43" fontId="19" fillId="0" borderId="18" xfId="1" applyNumberFormat="1" applyFont="1" applyBorder="1" applyAlignment="1">
      <alignment horizontal="center" vertical="center"/>
    </xf>
    <xf numFmtId="0" fontId="19" fillId="0" borderId="20" xfId="1" applyFont="1" applyFill="1" applyBorder="1" applyAlignment="1">
      <alignment horizontal="left" vertical="center" wrapText="1"/>
    </xf>
    <xf numFmtId="43" fontId="19" fillId="0" borderId="20" xfId="1" applyNumberFormat="1" applyFont="1" applyFill="1" applyBorder="1" applyAlignment="1">
      <alignment horizontal="right" vertical="center" wrapText="1"/>
    </xf>
    <xf numFmtId="43" fontId="19" fillId="0" borderId="21" xfId="1" applyNumberFormat="1" applyFont="1" applyBorder="1" applyAlignment="1">
      <alignment horizontal="center" vertical="center"/>
    </xf>
    <xf numFmtId="0" fontId="19" fillId="0" borderId="29" xfId="1" applyFont="1" applyFill="1" applyBorder="1" applyAlignment="1">
      <alignment horizontal="left" vertical="center" wrapText="1"/>
    </xf>
    <xf numFmtId="4" fontId="19" fillId="0" borderId="29" xfId="1" applyNumberFormat="1" applyFont="1" applyFill="1" applyBorder="1" applyAlignment="1">
      <alignment horizontal="center" vertical="center"/>
    </xf>
    <xf numFmtId="43" fontId="19" fillId="0" borderId="30" xfId="1" applyNumberFormat="1" applyFont="1" applyBorder="1" applyAlignment="1">
      <alignment horizontal="center" vertical="center"/>
    </xf>
    <xf numFmtId="4" fontId="19" fillId="0" borderId="20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wrapText="1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vertical="center"/>
    </xf>
    <xf numFmtId="0" fontId="27" fillId="7" borderId="20" xfId="0" applyFont="1" applyFill="1" applyBorder="1" applyAlignment="1">
      <alignment horizontal="center" vertical="center" wrapText="1"/>
    </xf>
    <xf numFmtId="0" fontId="27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19" fillId="0" borderId="20" xfId="1" applyFont="1" applyBorder="1" applyAlignment="1">
      <alignment horizontal="center" vertical="center"/>
    </xf>
    <xf numFmtId="4" fontId="19" fillId="0" borderId="0" xfId="1" applyNumberFormat="1" applyFont="1" applyAlignment="1">
      <alignment horizontal="center" vertical="center"/>
    </xf>
    <xf numFmtId="4" fontId="27" fillId="0" borderId="20" xfId="1" applyNumberFormat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49" fontId="19" fillId="0" borderId="20" xfId="1" applyNumberFormat="1" applyFont="1" applyBorder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27" fillId="0" borderId="0" xfId="1" applyFont="1" applyAlignment="1">
      <alignment horizontal="right" vertical="center"/>
    </xf>
    <xf numFmtId="4" fontId="27" fillId="0" borderId="0" xfId="1" applyNumberFormat="1" applyFont="1" applyAlignment="1">
      <alignment horizontal="right" vertical="center"/>
    </xf>
    <xf numFmtId="167" fontId="19" fillId="0" borderId="20" xfId="1" applyNumberFormat="1" applyFont="1" applyBorder="1" applyAlignment="1">
      <alignment horizontal="center" vertical="center"/>
    </xf>
    <xf numFmtId="0" fontId="30" fillId="0" borderId="20" xfId="1" applyFont="1" applyBorder="1" applyAlignment="1">
      <alignment vertical="center"/>
    </xf>
    <xf numFmtId="0" fontId="30" fillId="0" borderId="20" xfId="1" applyFont="1" applyBorder="1" applyAlignment="1">
      <alignment horizontal="justify" vertical="center"/>
    </xf>
    <xf numFmtId="0" fontId="30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32" fillId="0" borderId="46" xfId="3" applyFont="1" applyFill="1" applyAlignment="1" applyProtection="1">
      <alignment horizontal="center" vertical="center"/>
    </xf>
    <xf numFmtId="0" fontId="32" fillId="20" borderId="46" xfId="3" applyFont="1" applyFill="1" applyAlignment="1" applyProtection="1">
      <alignment horizontal="center" vertical="center"/>
    </xf>
    <xf numFmtId="169" fontId="22" fillId="0" borderId="46" xfId="3" applyNumberFormat="1" applyFont="1" applyFill="1" applyAlignment="1" applyProtection="1">
      <alignment horizontal="center" vertical="center"/>
    </xf>
    <xf numFmtId="43" fontId="33" fillId="0" borderId="23" xfId="1" applyNumberFormat="1" applyFont="1" applyBorder="1" applyAlignment="1">
      <alignment horizontal="center" vertical="center"/>
    </xf>
    <xf numFmtId="43" fontId="33" fillId="0" borderId="24" xfId="1" applyNumberFormat="1" applyFont="1" applyBorder="1" applyAlignment="1">
      <alignment horizontal="center" vertical="center"/>
    </xf>
    <xf numFmtId="0" fontId="34" fillId="0" borderId="46" xfId="3" applyFont="1" applyFill="1" applyAlignment="1" applyProtection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24" borderId="46" xfId="3" applyFont="1" applyFill="1" applyAlignment="1" applyProtection="1">
      <alignment horizontal="center" vertical="center" wrapText="1"/>
    </xf>
    <xf numFmtId="0" fontId="22" fillId="24" borderId="46" xfId="3" applyFont="1" applyFill="1" applyAlignment="1" applyProtection="1">
      <alignment horizontal="left" vertical="center" wrapText="1"/>
    </xf>
    <xf numFmtId="0" fontId="22" fillId="24" borderId="46" xfId="3" applyFont="1" applyFill="1" applyAlignment="1" applyProtection="1">
      <alignment horizontal="left" vertical="center"/>
    </xf>
    <xf numFmtId="0" fontId="22" fillId="24" borderId="46" xfId="0" applyFont="1" applyFill="1" applyBorder="1" applyAlignment="1">
      <alignment horizontal="left" vertical="center" wrapText="1"/>
    </xf>
    <xf numFmtId="0" fontId="22" fillId="24" borderId="52" xfId="0" applyFont="1" applyFill="1" applyBorder="1" applyAlignment="1">
      <alignment horizontal="left" vertical="center" wrapText="1"/>
    </xf>
    <xf numFmtId="169" fontId="24" fillId="23" borderId="54" xfId="3" applyNumberFormat="1" applyFont="1" applyFill="1" applyBorder="1" applyAlignment="1" applyProtection="1">
      <alignment vertical="center"/>
    </xf>
    <xf numFmtId="169" fontId="24" fillId="23" borderId="46" xfId="3" applyNumberFormat="1" applyFont="1" applyFill="1" applyAlignment="1" applyProtection="1">
      <alignment horizontal="center" vertical="center"/>
    </xf>
    <xf numFmtId="0" fontId="24" fillId="23" borderId="46" xfId="3" applyFont="1" applyFill="1" applyAlignment="1" applyProtection="1">
      <alignment horizontal="center" vertical="center" wrapText="1"/>
    </xf>
    <xf numFmtId="169" fontId="24" fillId="23" borderId="49" xfId="3" applyNumberFormat="1" applyFont="1" applyFill="1" applyBorder="1" applyAlignment="1" applyProtection="1">
      <alignment vertical="center"/>
    </xf>
    <xf numFmtId="169" fontId="23" fillId="22" borderId="53" xfId="3" applyNumberFormat="1" applyFont="1" applyFill="1" applyBorder="1" applyAlignment="1" applyProtection="1">
      <alignment vertical="center" wrapText="1"/>
    </xf>
    <xf numFmtId="0" fontId="24" fillId="21" borderId="46" xfId="3" applyFont="1" applyFill="1" applyAlignment="1" applyProtection="1">
      <alignment horizontal="center" vertical="center" wrapText="1"/>
    </xf>
    <xf numFmtId="0" fontId="24" fillId="23" borderId="50" xfId="3" applyFont="1" applyFill="1" applyBorder="1" applyAlignment="1" applyProtection="1">
      <alignment vertical="center" wrapText="1"/>
    </xf>
    <xf numFmtId="169" fontId="24" fillId="23" borderId="47" xfId="3" applyNumberFormat="1" applyFont="1" applyFill="1" applyBorder="1" applyAlignment="1" applyProtection="1">
      <alignment vertical="center"/>
    </xf>
    <xf numFmtId="169" fontId="23" fillId="22" borderId="51" xfId="3" applyNumberFormat="1" applyFont="1" applyFill="1" applyBorder="1" applyAlignment="1" applyProtection="1">
      <alignment vertical="center" wrapText="1"/>
    </xf>
    <xf numFmtId="0" fontId="22" fillId="23" borderId="46" xfId="3" applyFont="1" applyFill="1" applyAlignment="1" applyProtection="1">
      <alignment horizontal="center" vertical="center" wrapText="1"/>
    </xf>
    <xf numFmtId="0" fontId="22" fillId="23" borderId="46" xfId="3" applyFont="1" applyFill="1" applyAlignment="1" applyProtection="1">
      <alignment vertical="center"/>
    </xf>
    <xf numFmtId="0" fontId="22" fillId="23" borderId="46" xfId="3" applyFont="1" applyFill="1" applyAlignment="1" applyProtection="1">
      <alignment vertical="center" wrapText="1"/>
    </xf>
    <xf numFmtId="0" fontId="32" fillId="23" borderId="46" xfId="3" applyFont="1" applyFill="1" applyAlignment="1" applyProtection="1">
      <alignment vertical="center" wrapText="1"/>
    </xf>
    <xf numFmtId="170" fontId="24" fillId="23" borderId="54" xfId="3" applyNumberFormat="1" applyFont="1" applyFill="1" applyBorder="1" applyAlignment="1" applyProtection="1">
      <alignment horizontal="right" vertical="center"/>
    </xf>
    <xf numFmtId="0" fontId="23" fillId="22" borderId="46" xfId="3" applyFont="1" applyFill="1" applyAlignment="1" applyProtection="1">
      <alignment horizontal="center" vertical="center"/>
    </xf>
    <xf numFmtId="0" fontId="35" fillId="22" borderId="46" xfId="3" applyFont="1" applyFill="1" applyAlignment="1" applyProtection="1">
      <alignment horizontal="center" vertical="center" wrapText="1"/>
    </xf>
    <xf numFmtId="0" fontId="23" fillId="22" borderId="46" xfId="3" applyFont="1" applyFill="1" applyAlignment="1" applyProtection="1">
      <alignment horizontal="center" vertical="center" wrapText="1"/>
    </xf>
    <xf numFmtId="0" fontId="24" fillId="24" borderId="46" xfId="3" applyFont="1" applyFill="1" applyAlignment="1" applyProtection="1">
      <alignment horizontal="center" vertical="center"/>
    </xf>
    <xf numFmtId="0" fontId="24" fillId="23" borderId="46" xfId="3" applyFont="1" applyFill="1" applyAlignment="1" applyProtection="1">
      <alignment horizontal="center" vertical="center"/>
    </xf>
    <xf numFmtId="0" fontId="24" fillId="23" borderId="46" xfId="3" applyFont="1" applyFill="1" applyAlignment="1" applyProtection="1">
      <alignment horizontal="center" vertical="center" wrapText="1"/>
    </xf>
    <xf numFmtId="0" fontId="30" fillId="0" borderId="20" xfId="1" applyFont="1" applyBorder="1" applyAlignment="1">
      <alignment vertical="center" wrapText="1"/>
    </xf>
    <xf numFmtId="0" fontId="24" fillId="21" borderId="52" xfId="3" applyFont="1" applyFill="1" applyBorder="1" applyAlignment="1" applyProtection="1">
      <alignment horizontal="center" vertical="center" wrapText="1"/>
    </xf>
    <xf numFmtId="0" fontId="24" fillId="23" borderId="46" xfId="3" applyFont="1" applyFill="1" applyAlignment="1" applyProtection="1">
      <alignment vertical="center"/>
    </xf>
    <xf numFmtId="0" fontId="24" fillId="23" borderId="46" xfId="3" applyFont="1" applyFill="1" applyAlignment="1" applyProtection="1">
      <alignment vertical="center" wrapText="1"/>
    </xf>
    <xf numFmtId="0" fontId="27" fillId="7" borderId="17" xfId="0" applyFont="1" applyFill="1" applyBorder="1" applyAlignment="1">
      <alignment horizontal="center" vertical="center" wrapText="1"/>
    </xf>
    <xf numFmtId="0" fontId="31" fillId="26" borderId="20" xfId="0" applyFont="1" applyFill="1" applyBorder="1" applyAlignment="1">
      <alignment horizontal="center" vertical="center" wrapText="1"/>
    </xf>
    <xf numFmtId="0" fontId="30" fillId="0" borderId="20" xfId="1" applyFont="1" applyBorder="1" applyAlignment="1">
      <alignment horizontal="center" vertical="center"/>
    </xf>
    <xf numFmtId="0" fontId="30" fillId="0" borderId="0" xfId="1" applyFont="1"/>
    <xf numFmtId="0" fontId="30" fillId="0" borderId="0" xfId="1" applyFont="1" applyAlignment="1">
      <alignment wrapText="1"/>
    </xf>
    <xf numFmtId="0" fontId="27" fillId="0" borderId="0" xfId="1" applyFont="1"/>
    <xf numFmtId="0" fontId="37" fillId="0" borderId="46" xfId="4" applyFont="1" applyFill="1" applyAlignment="1">
      <alignment horizontal="center" vertical="center"/>
    </xf>
    <xf numFmtId="0" fontId="31" fillId="25" borderId="46" xfId="4" applyFont="1" applyFill="1" applyAlignment="1" applyProtection="1">
      <alignment horizontal="center" vertical="center"/>
    </xf>
    <xf numFmtId="0" fontId="31" fillId="25" borderId="46" xfId="4" applyFont="1" applyFill="1" applyAlignment="1">
      <alignment horizontal="center" vertical="center" wrapText="1"/>
    </xf>
    <xf numFmtId="0" fontId="38" fillId="25" borderId="46" xfId="4" applyFont="1" applyFill="1" applyAlignment="1" applyProtection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29" fillId="7" borderId="42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29" fillId="7" borderId="20" xfId="0" applyFont="1" applyFill="1" applyBorder="1" applyAlignment="1">
      <alignment horizontal="center" vertical="center" wrapText="1"/>
    </xf>
    <xf numFmtId="0" fontId="30" fillId="0" borderId="29" xfId="1" applyFont="1" applyBorder="1" applyAlignment="1">
      <alignment horizontal="left" vertical="center"/>
    </xf>
    <xf numFmtId="43" fontId="29" fillId="28" borderId="29" xfId="1" applyNumberFormat="1" applyFont="1" applyFill="1" applyBorder="1" applyAlignment="1">
      <alignment horizontal="right" vertical="center" wrapText="1"/>
    </xf>
    <xf numFmtId="0" fontId="39" fillId="0" borderId="29" xfId="1" applyFont="1" applyBorder="1" applyAlignment="1">
      <alignment horizontal="center" vertical="center"/>
    </xf>
    <xf numFmtId="0" fontId="30" fillId="0" borderId="59" xfId="1" applyFont="1" applyBorder="1" applyAlignment="1">
      <alignment horizontal="center" vertical="center"/>
    </xf>
    <xf numFmtId="43" fontId="30" fillId="0" borderId="59" xfId="1" applyNumberFormat="1" applyFont="1" applyBorder="1" applyAlignment="1">
      <alignment horizontal="center" vertical="center"/>
    </xf>
    <xf numFmtId="43" fontId="30" fillId="0" borderId="30" xfId="1" applyNumberFormat="1" applyFont="1" applyBorder="1" applyAlignment="1">
      <alignment horizontal="center" vertical="center"/>
    </xf>
    <xf numFmtId="0" fontId="30" fillId="0" borderId="20" xfId="1" applyFont="1" applyBorder="1" applyAlignment="1">
      <alignment horizontal="left" vertical="center" wrapText="1"/>
    </xf>
    <xf numFmtId="43" fontId="29" fillId="28" borderId="20" xfId="1" applyNumberFormat="1" applyFont="1" applyFill="1" applyBorder="1" applyAlignment="1">
      <alignment horizontal="right" vertical="center" wrapText="1"/>
    </xf>
    <xf numFmtId="0" fontId="39" fillId="0" borderId="20" xfId="1" applyFont="1" applyBorder="1" applyAlignment="1">
      <alignment horizontal="center" vertical="center"/>
    </xf>
    <xf numFmtId="0" fontId="30" fillId="0" borderId="38" xfId="1" applyFont="1" applyBorder="1" applyAlignment="1">
      <alignment horizontal="center" vertical="center"/>
    </xf>
    <xf numFmtId="43" fontId="30" fillId="0" borderId="38" xfId="1" applyNumberFormat="1" applyFont="1" applyBorder="1" applyAlignment="1">
      <alignment horizontal="center" vertical="center"/>
    </xf>
    <xf numFmtId="43" fontId="30" fillId="0" borderId="18" xfId="1" applyNumberFormat="1" applyFont="1" applyBorder="1" applyAlignment="1">
      <alignment horizontal="center" vertical="center"/>
    </xf>
    <xf numFmtId="43" fontId="29" fillId="28" borderId="20" xfId="1" applyNumberFormat="1" applyFont="1" applyFill="1" applyBorder="1" applyAlignment="1">
      <alignment horizontal="center" vertical="center" wrapText="1"/>
    </xf>
    <xf numFmtId="43" fontId="29" fillId="0" borderId="24" xfId="1" applyNumberFormat="1" applyFont="1" applyBorder="1" applyAlignment="1">
      <alignment horizontal="center" vertical="center"/>
    </xf>
    <xf numFmtId="43" fontId="30" fillId="28" borderId="29" xfId="1" applyNumberFormat="1" applyFont="1" applyFill="1" applyBorder="1" applyAlignment="1">
      <alignment horizontal="right" vertical="center" wrapText="1"/>
    </xf>
    <xf numFmtId="43" fontId="30" fillId="28" borderId="20" xfId="1" applyNumberFormat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171" fontId="30" fillId="0" borderId="18" xfId="1" applyNumberFormat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43" fontId="33" fillId="0" borderId="61" xfId="1" applyNumberFormat="1" applyFont="1" applyBorder="1" applyAlignment="1">
      <alignment horizontal="center" vertical="center"/>
    </xf>
    <xf numFmtId="43" fontId="27" fillId="0" borderId="61" xfId="1" applyNumberFormat="1" applyFont="1" applyBorder="1" applyAlignment="1">
      <alignment horizontal="center" vertical="center"/>
    </xf>
    <xf numFmtId="43" fontId="23" fillId="17" borderId="64" xfId="1" applyNumberFormat="1" applyFont="1" applyFill="1" applyBorder="1" applyAlignment="1">
      <alignment horizontal="center" vertical="center"/>
    </xf>
    <xf numFmtId="43" fontId="19" fillId="0" borderId="45" xfId="1" applyNumberFormat="1" applyFont="1" applyBorder="1" applyAlignment="1">
      <alignment vertical="center"/>
    </xf>
    <xf numFmtId="43" fontId="27" fillId="18" borderId="64" xfId="1" applyNumberFormat="1" applyFont="1" applyFill="1" applyBorder="1" applyAlignment="1">
      <alignment horizontal="center" vertical="center"/>
    </xf>
    <xf numFmtId="0" fontId="23" fillId="17" borderId="25" xfId="1" applyFont="1" applyFill="1" applyBorder="1" applyAlignment="1">
      <alignment horizontal="center" vertical="center"/>
    </xf>
    <xf numFmtId="0" fontId="23" fillId="17" borderId="26" xfId="1" applyFont="1" applyFill="1" applyBorder="1" applyAlignment="1">
      <alignment horizontal="center" vertical="center"/>
    </xf>
    <xf numFmtId="0" fontId="23" fillId="17" borderId="27" xfId="1" applyFont="1" applyFill="1" applyBorder="1" applyAlignment="1">
      <alignment horizontal="center" vertical="center"/>
    </xf>
    <xf numFmtId="0" fontId="23" fillId="17" borderId="62" xfId="1" applyFont="1" applyFill="1" applyBorder="1" applyAlignment="1">
      <alignment horizontal="right" vertical="center"/>
    </xf>
    <xf numFmtId="0" fontId="23" fillId="17" borderId="63" xfId="1" applyFont="1" applyFill="1" applyBorder="1" applyAlignment="1">
      <alignment horizontal="right" vertical="center"/>
    </xf>
    <xf numFmtId="0" fontId="27" fillId="0" borderId="37" xfId="1" applyFont="1" applyBorder="1" applyAlignment="1">
      <alignment horizontal="center" vertical="center" textRotation="90" wrapText="1"/>
    </xf>
    <xf numFmtId="0" fontId="27" fillId="0" borderId="19" xfId="1" applyFont="1" applyBorder="1" applyAlignment="1">
      <alignment vertical="center"/>
    </xf>
    <xf numFmtId="0" fontId="27" fillId="0" borderId="60" xfId="1" applyFont="1" applyBorder="1" applyAlignment="1">
      <alignment vertical="center"/>
    </xf>
    <xf numFmtId="0" fontId="27" fillId="0" borderId="42" xfId="1" applyFont="1" applyBorder="1" applyAlignment="1">
      <alignment horizontal="left" vertical="center"/>
    </xf>
    <xf numFmtId="0" fontId="27" fillId="18" borderId="62" xfId="1" applyFont="1" applyFill="1" applyBorder="1" applyAlignment="1">
      <alignment horizontal="left" vertical="center"/>
    </xf>
    <xf numFmtId="0" fontId="27" fillId="18" borderId="63" xfId="1" applyFont="1" applyFill="1" applyBorder="1" applyAlignment="1">
      <alignment horizontal="left" vertical="center"/>
    </xf>
    <xf numFmtId="0" fontId="27" fillId="0" borderId="28" xfId="1" applyFont="1" applyBorder="1" applyAlignment="1">
      <alignment horizontal="center" vertical="center" textRotation="90" wrapText="1"/>
    </xf>
    <xf numFmtId="0" fontId="27" fillId="0" borderId="31" xfId="1" applyFont="1" applyBorder="1" applyAlignment="1">
      <alignment vertical="center"/>
    </xf>
    <xf numFmtId="0" fontId="27" fillId="0" borderId="32" xfId="1" applyFont="1" applyBorder="1" applyAlignment="1">
      <alignment vertical="center"/>
    </xf>
    <xf numFmtId="0" fontId="27" fillId="0" borderId="33" xfId="1" applyFont="1" applyBorder="1" applyAlignment="1">
      <alignment horizontal="left" vertical="center"/>
    </xf>
    <xf numFmtId="0" fontId="27" fillId="0" borderId="34" xfId="1" applyFont="1" applyBorder="1" applyAlignment="1">
      <alignment horizontal="left" vertical="center"/>
    </xf>
    <xf numFmtId="0" fontId="27" fillId="0" borderId="35" xfId="1" applyFont="1" applyBorder="1" applyAlignment="1">
      <alignment horizontal="left" vertical="center"/>
    </xf>
    <xf numFmtId="0" fontId="27" fillId="0" borderId="31" xfId="1" applyFont="1" applyBorder="1" applyAlignment="1">
      <alignment horizontal="center" vertical="center" textRotation="90" wrapText="1"/>
    </xf>
    <xf numFmtId="0" fontId="27" fillId="0" borderId="33" xfId="1" applyFont="1" applyFill="1" applyBorder="1" applyAlignment="1">
      <alignment horizontal="left" vertical="center"/>
    </xf>
    <xf numFmtId="0" fontId="27" fillId="0" borderId="34" xfId="1" applyFont="1" applyFill="1" applyBorder="1" applyAlignment="1">
      <alignment horizontal="left" vertical="center"/>
    </xf>
    <xf numFmtId="0" fontId="27" fillId="0" borderId="35" xfId="1" applyFont="1" applyFill="1" applyBorder="1" applyAlignment="1">
      <alignment horizontal="left" vertical="center"/>
    </xf>
    <xf numFmtId="0" fontId="27" fillId="0" borderId="36" xfId="1" applyFont="1" applyBorder="1" applyAlignment="1">
      <alignment horizontal="center" vertical="center" textRotation="90" wrapText="1"/>
    </xf>
    <xf numFmtId="0" fontId="27" fillId="0" borderId="22" xfId="1" applyFont="1" applyBorder="1" applyAlignment="1">
      <alignment vertical="center"/>
    </xf>
    <xf numFmtId="0" fontId="27" fillId="0" borderId="23" xfId="1" applyFont="1" applyFill="1" applyBorder="1" applyAlignment="1">
      <alignment horizontal="left" vertical="center"/>
    </xf>
    <xf numFmtId="0" fontId="16" fillId="1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1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/>
    </xf>
    <xf numFmtId="0" fontId="16" fillId="1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8" fillId="14" borderId="3" xfId="0" applyNumberFormat="1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0" fontId="3" fillId="0" borderId="4" xfId="0" applyNumberFormat="1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0" fontId="6" fillId="0" borderId="1" xfId="0" applyNumberFormat="1" applyFont="1" applyBorder="1" applyAlignment="1">
      <alignment horizontal="center" vertical="center"/>
    </xf>
    <xf numFmtId="10" fontId="8" fillId="10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6" fillId="15" borderId="38" xfId="0" applyFont="1" applyFill="1" applyBorder="1" applyAlignment="1">
      <alignment horizontal="center" vertical="center" wrapText="1"/>
    </xf>
    <xf numFmtId="0" fontId="16" fillId="15" borderId="39" xfId="0" applyFont="1" applyFill="1" applyBorder="1" applyAlignment="1">
      <alignment horizontal="center" vertical="center" wrapText="1"/>
    </xf>
    <xf numFmtId="0" fontId="16" fillId="15" borderId="40" xfId="0" applyFont="1" applyFill="1" applyBorder="1" applyAlignment="1">
      <alignment horizontal="center" vertical="center" wrapText="1"/>
    </xf>
    <xf numFmtId="0" fontId="30" fillId="0" borderId="0" xfId="1" applyFont="1" applyAlignment="1">
      <alignment horizontal="left" vertical="center" wrapText="1"/>
    </xf>
    <xf numFmtId="0" fontId="27" fillId="0" borderId="20" xfId="1" applyFont="1" applyBorder="1" applyAlignment="1">
      <alignment horizontal="right" vertical="center"/>
    </xf>
    <xf numFmtId="0" fontId="29" fillId="7" borderId="42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/>
    </xf>
    <xf numFmtId="0" fontId="29" fillId="7" borderId="41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29" fillId="7" borderId="20" xfId="0" applyFont="1" applyFill="1" applyBorder="1" applyAlignment="1">
      <alignment horizontal="center" vertical="center" wrapText="1"/>
    </xf>
    <xf numFmtId="0" fontId="28" fillId="15" borderId="20" xfId="0" applyFont="1" applyFill="1" applyBorder="1" applyAlignment="1">
      <alignment horizontal="center" vertical="center" wrapText="1"/>
    </xf>
    <xf numFmtId="0" fontId="23" fillId="17" borderId="20" xfId="1" applyFont="1" applyFill="1" applyBorder="1" applyAlignment="1">
      <alignment horizontal="center" vertical="center"/>
    </xf>
    <xf numFmtId="0" fontId="23" fillId="17" borderId="38" xfId="1" applyFont="1" applyFill="1" applyBorder="1" applyAlignment="1">
      <alignment horizontal="center" vertical="center"/>
    </xf>
    <xf numFmtId="0" fontId="23" fillId="17" borderId="39" xfId="1" applyFont="1" applyFill="1" applyBorder="1" applyAlignment="1">
      <alignment horizontal="center" vertical="center"/>
    </xf>
    <xf numFmtId="0" fontId="23" fillId="17" borderId="40" xfId="1" applyFont="1" applyFill="1" applyBorder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19" fillId="0" borderId="0" xfId="1" applyFont="1" applyAlignment="1">
      <alignment horizontal="justify" vertical="center" wrapText="1"/>
    </xf>
    <xf numFmtId="0" fontId="19" fillId="0" borderId="20" xfId="1" applyFont="1" applyBorder="1" applyAlignment="1">
      <alignment horizontal="right" vertical="center"/>
    </xf>
    <xf numFmtId="0" fontId="31" fillId="17" borderId="20" xfId="1" applyFont="1" applyFill="1" applyBorder="1" applyAlignment="1">
      <alignment horizontal="center" vertical="center"/>
    </xf>
    <xf numFmtId="0" fontId="29" fillId="27" borderId="28" xfId="1" applyFont="1" applyFill="1" applyBorder="1" applyAlignment="1">
      <alignment horizontal="center" vertical="center" textRotation="90" wrapText="1"/>
    </xf>
    <xf numFmtId="0" fontId="29" fillId="27" borderId="31" xfId="1" applyFont="1" applyFill="1" applyBorder="1" applyAlignment="1">
      <alignment vertical="center"/>
    </xf>
    <xf numFmtId="0" fontId="29" fillId="27" borderId="32" xfId="1" applyFont="1" applyFill="1" applyBorder="1" applyAlignment="1">
      <alignment vertical="center"/>
    </xf>
    <xf numFmtId="0" fontId="30" fillId="0" borderId="29" xfId="1" applyFont="1" applyBorder="1" applyAlignment="1">
      <alignment horizontal="center" vertical="center" textRotation="90" wrapText="1"/>
    </xf>
    <xf numFmtId="0" fontId="30" fillId="0" borderId="20" xfId="1" applyFont="1" applyBorder="1" applyAlignment="1">
      <alignment horizontal="center" vertical="center" textRotation="90" wrapText="1"/>
    </xf>
    <xf numFmtId="0" fontId="30" fillId="0" borderId="42" xfId="1" applyFont="1" applyBorder="1" applyAlignment="1">
      <alignment horizontal="center" vertical="center" textRotation="90"/>
    </xf>
    <xf numFmtId="0" fontId="30" fillId="0" borderId="17" xfId="1" applyFont="1" applyBorder="1" applyAlignment="1">
      <alignment horizontal="center" vertical="center" textRotation="90"/>
    </xf>
    <xf numFmtId="0" fontId="30" fillId="0" borderId="41" xfId="1" applyFont="1" applyBorder="1" applyAlignment="1">
      <alignment horizontal="center" vertical="center" textRotation="90"/>
    </xf>
    <xf numFmtId="0" fontId="29" fillId="0" borderId="33" xfId="1" applyFont="1" applyBorder="1" applyAlignment="1">
      <alignment horizontal="center" vertical="center"/>
    </xf>
    <xf numFmtId="0" fontId="29" fillId="0" borderId="34" xfId="1" applyFont="1" applyBorder="1" applyAlignment="1">
      <alignment horizontal="center" vertical="center"/>
    </xf>
    <xf numFmtId="0" fontId="29" fillId="0" borderId="35" xfId="1" applyFont="1" applyBorder="1" applyAlignment="1">
      <alignment horizontal="center" vertical="center"/>
    </xf>
    <xf numFmtId="0" fontId="29" fillId="27" borderId="36" xfId="1" applyFont="1" applyFill="1" applyBorder="1" applyAlignment="1">
      <alignment horizontal="center" vertical="center" textRotation="90" wrapText="1"/>
    </xf>
    <xf numFmtId="0" fontId="29" fillId="27" borderId="19" xfId="1" applyFont="1" applyFill="1" applyBorder="1" applyAlignment="1">
      <alignment vertical="center"/>
    </xf>
    <xf numFmtId="0" fontId="29" fillId="27" borderId="22" xfId="1" applyFont="1" applyFill="1" applyBorder="1" applyAlignment="1">
      <alignment vertical="center"/>
    </xf>
    <xf numFmtId="0" fontId="30" fillId="0" borderId="38" xfId="1" applyFont="1" applyBorder="1" applyAlignment="1">
      <alignment horizontal="left" vertical="center" wrapText="1"/>
    </xf>
    <xf numFmtId="0" fontId="30" fillId="0" borderId="39" xfId="1" applyFont="1" applyBorder="1" applyAlignment="1">
      <alignment horizontal="left" vertical="center" wrapText="1"/>
    </xf>
    <xf numFmtId="0" fontId="30" fillId="0" borderId="40" xfId="1" applyFont="1" applyBorder="1" applyAlignment="1">
      <alignment horizontal="left" vertical="center" wrapText="1"/>
    </xf>
    <xf numFmtId="0" fontId="31" fillId="17" borderId="38" xfId="0" applyFont="1" applyFill="1" applyBorder="1" applyAlignment="1">
      <alignment horizontal="center" vertical="center" wrapText="1"/>
    </xf>
    <xf numFmtId="0" fontId="31" fillId="17" borderId="39" xfId="0" applyFont="1" applyFill="1" applyBorder="1" applyAlignment="1">
      <alignment horizontal="center" vertical="center" wrapText="1"/>
    </xf>
    <xf numFmtId="0" fontId="31" fillId="17" borderId="40" xfId="0" applyFont="1" applyFill="1" applyBorder="1" applyAlignment="1">
      <alignment horizontal="center" vertical="center" wrapText="1"/>
    </xf>
    <xf numFmtId="0" fontId="31" fillId="25" borderId="56" xfId="1" applyFont="1" applyFill="1" applyBorder="1" applyAlignment="1">
      <alignment horizontal="center" vertical="center"/>
    </xf>
    <xf numFmtId="0" fontId="31" fillId="25" borderId="57" xfId="1" applyFont="1" applyFill="1" applyBorder="1" applyAlignment="1">
      <alignment horizontal="center" vertical="center"/>
    </xf>
    <xf numFmtId="0" fontId="31" fillId="25" borderId="58" xfId="1" applyFont="1" applyFill="1" applyBorder="1" applyAlignment="1">
      <alignment horizontal="center" vertical="center"/>
    </xf>
    <xf numFmtId="0" fontId="29" fillId="27" borderId="31" xfId="1" applyFont="1" applyFill="1" applyBorder="1" applyAlignment="1">
      <alignment horizontal="center" vertical="center" textRotation="90" wrapText="1"/>
    </xf>
    <xf numFmtId="0" fontId="29" fillId="29" borderId="20" xfId="0" applyFont="1" applyFill="1" applyBorder="1" applyAlignment="1">
      <alignment horizontal="center" vertical="center" wrapText="1"/>
    </xf>
    <xf numFmtId="0" fontId="24" fillId="23" borderId="52" xfId="3" applyFont="1" applyFill="1" applyBorder="1" applyAlignment="1" applyProtection="1">
      <alignment horizontal="right" vertical="center"/>
    </xf>
    <xf numFmtId="0" fontId="24" fillId="23" borderId="54" xfId="3" applyFont="1" applyFill="1" applyBorder="1" applyAlignment="1" applyProtection="1">
      <alignment horizontal="right" vertical="center"/>
    </xf>
    <xf numFmtId="0" fontId="23" fillId="22" borderId="47" xfId="3" applyFont="1" applyFill="1" applyBorder="1" applyAlignment="1" applyProtection="1">
      <alignment horizontal="center" vertical="center"/>
    </xf>
    <xf numFmtId="0" fontId="23" fillId="22" borderId="0" xfId="3" applyFont="1" applyFill="1" applyBorder="1" applyAlignment="1" applyProtection="1">
      <alignment horizontal="center" vertical="center"/>
    </xf>
    <xf numFmtId="0" fontId="23" fillId="22" borderId="48" xfId="3" applyFont="1" applyFill="1" applyBorder="1" applyAlignment="1" applyProtection="1">
      <alignment horizontal="center" vertical="center"/>
    </xf>
    <xf numFmtId="0" fontId="24" fillId="23" borderId="49" xfId="3" applyFont="1" applyFill="1" applyBorder="1" applyAlignment="1" applyProtection="1">
      <alignment horizontal="center" vertical="center"/>
    </xf>
    <xf numFmtId="0" fontId="24" fillId="23" borderId="50" xfId="3" applyFont="1" applyFill="1" applyBorder="1" applyAlignment="1" applyProtection="1">
      <alignment horizontal="center" vertical="center"/>
    </xf>
    <xf numFmtId="0" fontId="24" fillId="23" borderId="51" xfId="3" applyFont="1" applyFill="1" applyBorder="1" applyAlignment="1" applyProtection="1">
      <alignment horizontal="center" vertical="center"/>
    </xf>
    <xf numFmtId="169" fontId="24" fillId="23" borderId="47" xfId="3" applyNumberFormat="1" applyFont="1" applyFill="1" applyBorder="1" applyAlignment="1" applyProtection="1">
      <alignment horizontal="center" vertical="center"/>
    </xf>
    <xf numFmtId="169" fontId="24" fillId="23" borderId="0" xfId="3" applyNumberFormat="1" applyFont="1" applyFill="1" applyBorder="1" applyAlignment="1" applyProtection="1">
      <alignment horizontal="center" vertical="center"/>
    </xf>
    <xf numFmtId="0" fontId="24" fillId="20" borderId="52" xfId="3" applyFont="1" applyFill="1" applyBorder="1" applyAlignment="1" applyProtection="1">
      <alignment horizontal="right" vertical="center"/>
    </xf>
    <xf numFmtId="0" fontId="24" fillId="20" borderId="54" xfId="3" applyFont="1" applyFill="1" applyBorder="1" applyAlignment="1" applyProtection="1">
      <alignment horizontal="right" vertical="center"/>
    </xf>
    <xf numFmtId="0" fontId="24" fillId="20" borderId="53" xfId="3" applyFont="1" applyFill="1" applyBorder="1" applyAlignment="1" applyProtection="1">
      <alignment horizontal="right" vertical="center"/>
    </xf>
    <xf numFmtId="0" fontId="24" fillId="23" borderId="47" xfId="3" applyFont="1" applyFill="1" applyBorder="1" applyAlignment="1" applyProtection="1">
      <alignment horizontal="center" vertical="center"/>
    </xf>
    <xf numFmtId="0" fontId="24" fillId="23" borderId="0" xfId="3" applyFont="1" applyFill="1" applyBorder="1" applyAlignment="1" applyProtection="1">
      <alignment horizontal="center" vertical="center"/>
    </xf>
    <xf numFmtId="0" fontId="24" fillId="23" borderId="48" xfId="3" applyFont="1" applyFill="1" applyBorder="1" applyAlignment="1" applyProtection="1">
      <alignment horizontal="center" vertical="center"/>
    </xf>
    <xf numFmtId="169" fontId="22" fillId="0" borderId="46" xfId="3" applyNumberFormat="1" applyFont="1" applyFill="1" applyAlignment="1" applyProtection="1">
      <alignment horizontal="center" vertical="center"/>
    </xf>
    <xf numFmtId="0" fontId="22" fillId="0" borderId="46" xfId="3" applyFont="1" applyFill="1" applyAlignment="1" applyProtection="1">
      <alignment horizontal="left" vertical="center" wrapText="1"/>
    </xf>
    <xf numFmtId="169" fontId="22" fillId="0" borderId="52" xfId="3" applyNumberFormat="1" applyFont="1" applyFill="1" applyBorder="1" applyAlignment="1" applyProtection="1">
      <alignment horizontal="center" vertical="center" wrapText="1"/>
    </xf>
    <xf numFmtId="169" fontId="22" fillId="0" borderId="53" xfId="3" applyNumberFormat="1" applyFont="1" applyFill="1" applyBorder="1" applyAlignment="1" applyProtection="1">
      <alignment horizontal="center" vertical="center" wrapText="1"/>
    </xf>
    <xf numFmtId="0" fontId="23" fillId="22" borderId="46" xfId="3" applyFont="1" applyFill="1" applyAlignment="1" applyProtection="1">
      <alignment horizontal="center" vertical="center"/>
    </xf>
    <xf numFmtId="0" fontId="23" fillId="22" borderId="52" xfId="3" applyFont="1" applyFill="1" applyBorder="1" applyAlignment="1" applyProtection="1">
      <alignment horizontal="center" vertical="center" wrapText="1"/>
    </xf>
    <xf numFmtId="0" fontId="23" fillId="22" borderId="53" xfId="3" applyFont="1" applyFill="1" applyBorder="1" applyAlignment="1" applyProtection="1">
      <alignment horizontal="center" vertical="center" wrapText="1"/>
    </xf>
    <xf numFmtId="0" fontId="23" fillId="22" borderId="46" xfId="3" applyFont="1" applyFill="1" applyAlignment="1" applyProtection="1">
      <alignment horizontal="center" vertical="center" wrapText="1"/>
    </xf>
    <xf numFmtId="169" fontId="22" fillId="0" borderId="52" xfId="3" applyNumberFormat="1" applyFont="1" applyFill="1" applyBorder="1" applyAlignment="1" applyProtection="1">
      <alignment horizontal="center" vertical="center"/>
    </xf>
    <xf numFmtId="169" fontId="22" fillId="0" borderId="53" xfId="3" applyNumberFormat="1" applyFont="1" applyFill="1" applyBorder="1" applyAlignment="1" applyProtection="1">
      <alignment horizontal="center" vertical="center"/>
    </xf>
    <xf numFmtId="0" fontId="22" fillId="0" borderId="46" xfId="3" applyFont="1" applyFill="1" applyAlignment="1" applyProtection="1">
      <alignment horizontal="left" vertical="center"/>
    </xf>
    <xf numFmtId="169" fontId="35" fillId="22" borderId="46" xfId="3" applyNumberFormat="1" applyFont="1" applyFill="1" applyAlignment="1" applyProtection="1">
      <alignment horizontal="center" vertical="center"/>
    </xf>
    <xf numFmtId="0" fontId="35" fillId="22" borderId="46" xfId="3" applyFont="1" applyFill="1" applyAlignment="1" applyProtection="1">
      <alignment horizontal="center" vertical="center"/>
    </xf>
    <xf numFmtId="169" fontId="23" fillId="22" borderId="46" xfId="3" applyNumberFormat="1" applyFont="1" applyFill="1" applyAlignment="1" applyProtection="1">
      <alignment horizontal="center" vertical="center"/>
    </xf>
    <xf numFmtId="0" fontId="31" fillId="25" borderId="52" xfId="4" applyFont="1" applyFill="1" applyBorder="1" applyAlignment="1">
      <alignment horizontal="center" vertical="center"/>
    </xf>
    <xf numFmtId="0" fontId="31" fillId="25" borderId="54" xfId="4" applyFont="1" applyFill="1" applyBorder="1" applyAlignment="1">
      <alignment horizontal="center" vertical="center"/>
    </xf>
    <xf numFmtId="0" fontId="31" fillId="25" borderId="53" xfId="4" applyFont="1" applyFill="1" applyBorder="1" applyAlignment="1">
      <alignment horizontal="center" vertical="center"/>
    </xf>
    <xf numFmtId="0" fontId="31" fillId="25" borderId="52" xfId="4" applyFont="1" applyFill="1" applyBorder="1" applyAlignment="1">
      <alignment horizontal="center" vertical="center" wrapText="1"/>
    </xf>
    <xf numFmtId="0" fontId="31" fillId="25" borderId="53" xfId="4" applyFont="1" applyFill="1" applyBorder="1" applyAlignment="1">
      <alignment horizontal="center" vertical="center" wrapText="1"/>
    </xf>
    <xf numFmtId="0" fontId="37" fillId="0" borderId="52" xfId="4" applyFont="1" applyFill="1" applyBorder="1" applyAlignment="1">
      <alignment horizontal="left" vertical="center" wrapText="1"/>
    </xf>
    <xf numFmtId="0" fontId="37" fillId="0" borderId="54" xfId="4" applyFont="1" applyFill="1" applyBorder="1" applyAlignment="1">
      <alignment horizontal="left" vertical="center" wrapText="1"/>
    </xf>
    <xf numFmtId="0" fontId="37" fillId="0" borderId="53" xfId="4" applyFont="1" applyFill="1" applyBorder="1" applyAlignment="1">
      <alignment horizontal="left" vertical="center" wrapText="1"/>
    </xf>
    <xf numFmtId="44" fontId="37" fillId="0" borderId="52" xfId="4" applyNumberFormat="1" applyFont="1" applyFill="1" applyBorder="1" applyAlignment="1">
      <alignment horizontal="center" vertical="center"/>
    </xf>
    <xf numFmtId="44" fontId="37" fillId="0" borderId="53" xfId="4" applyNumberFormat="1" applyFont="1" applyFill="1" applyBorder="1" applyAlignment="1">
      <alignment horizontal="center" vertical="center"/>
    </xf>
    <xf numFmtId="44" fontId="37" fillId="0" borderId="52" xfId="4" applyNumberFormat="1" applyFont="1" applyFill="1" applyBorder="1" applyAlignment="1">
      <alignment horizontal="center" vertical="center" wrapText="1"/>
    </xf>
    <xf numFmtId="44" fontId="37" fillId="0" borderId="53" xfId="4" applyNumberFormat="1" applyFont="1" applyFill="1" applyBorder="1" applyAlignment="1">
      <alignment horizontal="center" vertical="center" wrapText="1"/>
    </xf>
    <xf numFmtId="0" fontId="37" fillId="0" borderId="46" xfId="4" applyFont="1" applyFill="1" applyAlignment="1">
      <alignment horizontal="left" vertical="center"/>
    </xf>
    <xf numFmtId="0" fontId="37" fillId="0" borderId="46" xfId="4" applyFont="1" applyFill="1" applyAlignment="1">
      <alignment horizontal="left" vertical="center" wrapText="1"/>
    </xf>
    <xf numFmtId="0" fontId="38" fillId="25" borderId="46" xfId="4" applyFont="1" applyFill="1" applyAlignment="1">
      <alignment horizontal="center" vertical="center"/>
    </xf>
    <xf numFmtId="44" fontId="38" fillId="25" borderId="52" xfId="4" applyNumberFormat="1" applyFont="1" applyFill="1" applyBorder="1" applyAlignment="1">
      <alignment horizontal="center" vertical="center"/>
    </xf>
    <xf numFmtId="44" fontId="38" fillId="25" borderId="53" xfId="4" applyNumberFormat="1" applyFont="1" applyFill="1" applyBorder="1" applyAlignment="1">
      <alignment horizontal="center" vertical="center"/>
    </xf>
    <xf numFmtId="44" fontId="31" fillId="25" borderId="52" xfId="4" applyNumberFormat="1" applyFont="1" applyFill="1" applyBorder="1" applyAlignment="1">
      <alignment horizontal="center" vertical="center"/>
    </xf>
    <xf numFmtId="44" fontId="31" fillId="25" borderId="53" xfId="4" applyNumberFormat="1" applyFont="1" applyFill="1" applyBorder="1" applyAlignment="1">
      <alignment horizontal="center" vertical="center"/>
    </xf>
    <xf numFmtId="0" fontId="37" fillId="0" borderId="52" xfId="4" applyFont="1" applyFill="1" applyBorder="1" applyAlignment="1">
      <alignment horizontal="left" vertical="center"/>
    </xf>
    <xf numFmtId="0" fontId="37" fillId="0" borderId="54" xfId="4" applyFont="1" applyFill="1" applyBorder="1" applyAlignment="1">
      <alignment horizontal="left" vertical="center"/>
    </xf>
    <xf numFmtId="0" fontId="37" fillId="0" borderId="53" xfId="4" applyFont="1" applyFill="1" applyBorder="1" applyAlignment="1">
      <alignment horizontal="left" vertical="center"/>
    </xf>
  </cellXfs>
  <cellStyles count="5">
    <cellStyle name="Entrada" xfId="4" builtinId="20"/>
    <cellStyle name="Excel Built-in Input" xfId="3" xr:uid="{D7BD4744-6AC9-4664-9C37-C86736351C7C}"/>
    <cellStyle name="Normal" xfId="0" builtinId="0"/>
    <cellStyle name="Normal 2" xfId="1" xr:uid="{A951F48D-0D09-4EBF-86D1-F14638966F77}"/>
    <cellStyle name="Vírgula 2" xfId="2" xr:uid="{3E2CD22C-5782-4109-9BAD-E7945CF73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AE8FE53A-9B59-403C-93BB-9892495B68A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D0E61F07-38A7-4E37-A352-DD47CA129F17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3E5774E2-D1C9-4F1D-9744-AF39B5FD3B71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22E330D7-AAB6-4D86-90EF-308DCA7F6E99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E01F6BAC-966B-494B-851B-BB0D579A0A8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625F69CD-F16A-4FE5-91AB-CEFD174C2810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124D52-1418-468F-89E5-7110154F7A7A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30663562-B98B-49AC-A4C7-9223553137EA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5AFAD89C-61A1-48E4-9FDF-CC0AC9C24B3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24896BDD-1A27-485D-A3A5-51FEFE9DBEAB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25D2E147-9BF1-470C-81AF-2B5E619D011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B9725B28-2503-4DA8-B935-DED10AE84407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8788D39A-C1D0-41D7-BB8A-B07F381CDBEA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80F59169-0A24-4C08-943A-E35B8869CAE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5E39C6B2-9E69-44A9-8C9C-C997E90CBA37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FF7EAD51-4EFE-4391-AECF-989C14CFCD1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A8198E5F-CDBE-4A61-AC68-06B3CC77D1EE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A1646360-A69F-4391-9C17-34EC3CC2BF86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79072A7A-D2C6-4DEC-81AF-01E64B747CDF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555EE115-CB8F-4CB7-B473-3E2398007ECC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FC2FA55D-E522-4CAD-9C5D-849E5D01F1DB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BCB58988-3DA2-4B9E-BD43-56F85A99B2D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CDAFAB4A-0701-4089-9056-4BFF754ABCE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F45BB359-370F-4569-B371-D251EBACF17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D23717E4-8775-4A0B-BAC8-9F7497A9D8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D6A3D963-1306-4E4E-BD78-5C9790FD88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4B19EE07-E159-4C12-B584-A0E7CFD109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D5E4B49-9523-4E51-A19E-76A44BA0E4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43C75CD8-EB29-4B05-A0F1-F244F3791039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645F06B5-7468-4711-996A-D559E949F6BC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A1FD36F9-DEBC-4038-AAC5-DF18C5290419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DE7A2572-4E1A-46FA-9B8F-F94843705345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41CE784C-A5C2-4A31-84AB-64857E5A45F0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42D86A4-84BC-4D1A-9EAE-D33B05AA8604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7584CC0D-50FF-4B74-AD4D-702557920227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C3F4A460-08CC-45B7-823F-1D81E8890A2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1362FB84-5231-4D75-92F1-34EB90D68AE3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13E3F588-B280-4EA7-B4E6-A242A21AF201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88464885-CF49-4E56-8D1A-74602206002E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8010E8CA-ECC9-4B66-B7BA-EFA07D2F8FAD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969336B6-AE0E-470C-BA85-0CE0550130C8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21F8618-9235-4FFE-B865-F46BEA4D310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2B7A2E1A-2CBE-4D05-AAC3-D38D9A896EE1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243030B8-069F-44A3-9A58-5D8E62F7DD58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4CE306AE-01C2-4AD3-8214-E819C3052D81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A35A2E3D-EEA8-4871-BD9D-F0EFCE3F8B29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21A79310-99C9-4044-AB5A-20B8FC43C819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83C35B20-052F-4F86-B4BB-DAF781717D9A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B3DDD0E5-7DC7-4E43-BB63-2E1689DE30F8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417FF9A1-611B-419B-BFC6-0996463C162D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531D7ED-C53D-4049-BC34-A92465324608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E9FC3372-A3CB-4E58-9C67-B103018B6A3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FE2812B3-CB97-4679-860A-205CC66CC3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E5EBCBD4-B13B-4AA2-A627-5A026A5F05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61E6DBF6-3B10-468D-897F-39FC576A0F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400C07B-551B-4567-9AEE-3CFF746C51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C3EFC262-910F-41ED-B357-661A5D5C9F7D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BABBAE01-A71F-4EDD-AD66-7AFD9C352D8A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65F76C9F-8FFA-4754-B0DF-74D9A2C2D3CF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8FB16373-F490-4492-96DE-21EBE17E04C5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F6AEDAFA-72A6-443F-B153-33DDC7A415AE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6E67894C-7143-4D19-8A19-736E1705A6D5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61B7975B-573F-487C-A766-790F7464B02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64D4FD36-3B73-4BB1-8922-D1CFD23BACA6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8625D291-D5C6-4846-BFE0-59580C9FEA26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D3EC47A8-4575-410E-AB30-A39399C26E5A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BC9A183C-9730-4BC6-A6EA-636859E34C26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6121C8E4-3127-45FB-9E18-92F9738EC1E1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C0F7B911-5A71-4309-A27D-F9784E1140E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B99B5A47-5E89-4F56-84A1-C9944F8303E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CBA14655-EF8F-49CB-8D28-8E9C1ACD587E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9F2C64DD-E37A-4FEE-918F-1D426C23CDC3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E44F25E6-FEC7-44C6-9137-6843B5C2015C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A3C899E5-8DB5-4F32-9957-627FE14D1C39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8210DBE1-6434-4999-ADFC-9A701C155998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4F0498A4-1A04-404B-9058-C010E460FFE9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61945E01-741B-43ED-9BB6-AE7231B4D443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6701FE8D-6E36-4180-8D62-C5ED8AB6127A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FF2347A7-32A3-4278-8EA7-940AC436A388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ABEBA184-687D-438F-AFE5-A775D889DC3C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072BA2A2-8C8D-411E-89EF-FA97C76002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C46680A8-A0EC-42CC-9DE1-EFEE42CAD4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C1B2BD33-6AE2-47FA-AE16-5A59DDDBCB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1C8C25F-0A9E-4E25-BFE5-E7DE6885AF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9221DDDD-506F-45A8-A2F5-216484300792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AA046C17-FE09-4736-A62C-6381306D3AC4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9F9C6291-C8B6-42CD-8549-7F450804C347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2872AB55-78C5-4345-8693-5AB505562D2B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CB9EBD09-846E-4446-89B7-1338019DB542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CB372D23-F00F-4514-82F1-39DA594E4863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59A0AD2C-2925-4B08-BE26-EE145C38792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AC0FB1DE-DF8F-4764-8B97-37BBB7DEE9BB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BD0C2F14-16FC-4B61-AE27-2796C575BCC2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9EE317C5-C55A-47C0-ACBC-5AB4F22D0163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1A3F6B31-8DAA-4F75-B92D-B0C6743790EE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A7306E17-1488-49EA-B9CE-703528EB1A2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106219C7-BF29-4B18-904B-5988B7341D6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D714F1FE-E483-4483-83C6-7169915897B3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93545C01-CBBE-464D-8462-CC46ED8C9D52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E05C2065-2893-42DA-8EDC-A7FC43151D2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DA6EB58C-878A-4FB8-B29A-26317C03CCC5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7AA96D5E-BC0B-41F5-8EC0-5D68290D5025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4A452413-266A-4BFA-AAD4-99DC1DEC81B6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2389C9B3-18CC-4342-A4B1-F8A55C008DC6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7D99408A-E5B4-4290-99E9-1D8F6535D43E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81D0A72F-1E57-4423-944C-2991F8A8D9E7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9152C857-0930-4F07-8F54-B28516CEAC5A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6A9DB4CA-4B0E-4772-B9A0-1EC4AD2E9737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2EE3103F-DABC-4F0C-A647-294045783D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04677EE8-A0D2-48C6-999B-0122928061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87D410AC-0544-43DC-912B-A2A6EE736A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45D5A72-8E26-4A5D-B979-0C415824CF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D9F6D878-F587-470C-9A1C-51E5CDC2CDE1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1B8CCF02-3BB7-4475-AA4B-CA8F4383E826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2E1E0646-29B8-452B-AA33-64BFA18D25A4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9A08E81-1B2D-4FB9-940D-8C807374DD7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B33AE700-1733-4B26-A745-C02EBEE901F6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28CC30D5-20F0-4E5B-BC47-468F4D843EF2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4D4EA66B-8773-4AFE-AC4D-E99DE37ED92B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5D09FD93-AC1C-4B6E-849D-B6CFB3754DC9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5F9ABDCE-D4F3-46C2-94E1-7025EE5A58C2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D023F11-CB5D-41AF-B323-6EA170305CE0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816AE74B-C8AA-4B90-9A97-0B88BCA5AFD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CF9BB025-547F-498B-8BA3-F8211974C596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A76F4004-B94B-4358-8E33-18C9DADCFEB9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27CFCF13-FB28-42D6-8F01-0E559192E14F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7D495E7C-2E8E-4DCB-865B-04673EE7875D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3AC61F51-F8DD-4624-B74A-C79627AA5B02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671B371C-FEEF-411E-8CD9-2DCC2E68133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4687E6F9-2DC3-496C-B6C1-27F03D0DD1EE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5BD4986F-5599-4E73-8AB3-1A3CDB8747F3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F22BFE67-667C-4E55-AA19-68521BE48C85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D4BEE40C-A5EF-4E14-B3F7-E2AD3D77ED92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8151DF1F-C703-46A0-9667-A5F5C63D8583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794531E2-E141-4B74-A241-B93ED3B7C9ED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D0C1C223-E4E9-4C7D-A850-341F598828B0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7622F138-B9E1-44B2-A541-0205DCC69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DA411C4-9637-40DA-BC62-F524EC477F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2242437F-5C35-432D-B7F8-1EDA9919B7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E46B2C0-CE7E-41A5-BD14-582C438C94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96B4C874-1A5E-4AB8-BBE0-FFA2426FFFDD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1C8C87D9-5783-4C05-977A-DB184283F7AE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67EB9E45-716B-4057-8FAE-BB611BB2F8CB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CF5331DB-7EF6-441E-8CC5-67019642AB7D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6C3565E5-6EE2-481F-9205-A9506B157F5B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182437-38C3-4458-ACF4-CAAC0CB3B242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67B2C6A1-20ED-494E-BADF-67D7EA3FA3E1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CB318AA1-917E-46B1-8AA7-108D58769131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ABAEB82E-21AD-41C1-A036-BDEC80E9CC7A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3593D91E-A80A-47E8-9D2F-8AE9B20A559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56EA9B2F-28DC-4AAA-89C2-A14C41233C52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1653E55D-FE2B-4F52-B7A7-D687A7B8395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FCCD84A7-148C-4D6B-834E-B76F64DF21FC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1FC7A873-A098-4D9D-8D52-AEE5EB57EFE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6D883224-A877-4D8F-BE8B-ABEA61E83946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CBD663AF-1756-41EF-A989-373282999E40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25ACD472-942E-421A-BBC7-1C74787E022D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FD2DD055-F6B7-4716-835C-8BDF31384200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E41F9967-39E2-44A0-992A-899F70321469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2AF79B5D-7EF3-4755-838F-AF523ECE54C5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16872237-2B31-4E6A-8CB3-E9B3B72BC6E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74F0D91E-7968-489D-B480-B76E74966EDA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AC1E8966-490F-4B58-B53A-93EC30C9922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36F0AF2E-D5DF-4A65-B22D-434797062FC9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CE5F563D-DF4B-4DF4-B458-F5C66B3184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69803EA7-9BD5-44A1-BFDC-ADFEA372DB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756ACEB4-47EA-4ADE-92E9-3443CBD526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B81296F-8443-472A-BC9D-F9A7C46CF9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5219D9D8-C91D-482B-BD07-7A5459D327B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D08ED995-ABF6-4028-9408-FE16B849662C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FF445904-B1AA-4A7C-B998-CB6BAB114202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25EED6E6-4CD4-4DDB-8CC6-FECF30AB2210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70B12109-3AE6-4138-9BC3-4477873FD650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BFE1AA85-D7FD-4046-941F-FB8CD60E0851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7C02F1CA-5187-4350-A7EB-87997A5BF0D4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514F1435-681B-4718-A7FA-2A58F06DAB81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5AC172AE-9BF0-41B0-AF1F-29FA044BA05C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42824EC5-E00D-465F-9C53-FEC52BBD29EF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7EC60636-543A-468B-882E-D96FAED8E367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9A7CE0E7-A49A-430A-99D5-8778ADAADB8C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A3DCFBC7-3C85-435D-90FB-4949D00CE70B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C772290A-96C6-4889-B056-B7D347CC12F6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71AE7433-CFCC-4B75-957B-44DD51969369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1DDEC08B-B042-46CD-BEAC-B8137A1DCEB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12E7D0DF-6E5B-408D-AA6C-D280710D088F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88D4B1D-DFCA-43D8-84B3-268B292C9252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1418EDF8-4EC5-43DD-810B-95EE1D2FFBA3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C7742C60-9AA1-46B7-9BCC-46B1C78F87BA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3A7A5E90-82AA-4969-BA96-A02C193AA3CD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CDCE70C4-F735-4BFE-85CE-331C41FEF19A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E543321E-C618-4297-B5A2-2BA3B0C95BCA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3E197F9D-507A-48D3-A588-1F3D0489BE6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B82DBDAC-ADC0-46A9-9952-18F04A5E48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6F6A69CE-D0F4-4131-97B1-6A445DDD06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36067AF8-2E49-422C-A3D1-615B4AE6F5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62924E3-24BD-4683-8E93-21760B10D0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1085491153/AppData/Local/Temp/7zO415C4019/LEVANTAMENTO%20DOS%20POSTOS%20SRRF07%20V4%20(com%20Sior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OS DE APOIO"/>
      <sheetName val="TABELA"/>
      <sheetName val="COMPARATIVO"/>
      <sheetName val="CONTRATOS FUTUROS"/>
      <sheetName val="CUSTOS PRATICADOS ATUAIS"/>
      <sheetName val="SRA"/>
      <sheetName val="SRRF0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2210-037E-4BB2-9E88-07FCE583A626}">
  <dimension ref="A1:F23"/>
  <sheetViews>
    <sheetView showGridLines="0" zoomScaleNormal="100" workbookViewId="0">
      <selection activeCell="C3" sqref="C3:C9"/>
    </sheetView>
  </sheetViews>
  <sheetFormatPr defaultColWidth="9.28515625" defaultRowHeight="12.75" x14ac:dyDescent="0.2"/>
  <cols>
    <col min="1" max="1" width="9.28515625" style="189"/>
    <col min="2" max="2" width="30" style="129" bestFit="1" customWidth="1"/>
    <col min="3" max="3" width="14" style="104" customWidth="1"/>
    <col min="4" max="4" width="11.140625" style="130" customWidth="1"/>
    <col min="5" max="5" width="14" style="130" customWidth="1"/>
    <col min="6" max="6" width="12.85546875" style="130" bestFit="1" customWidth="1"/>
    <col min="7" max="16384" width="9.28515625" style="104"/>
  </cols>
  <sheetData>
    <row r="1" spans="1:6" ht="43.5" customHeight="1" thickBot="1" x14ac:dyDescent="0.25">
      <c r="A1" s="223" t="s">
        <v>201</v>
      </c>
      <c r="B1" s="224"/>
      <c r="C1" s="224"/>
      <c r="D1" s="224"/>
      <c r="E1" s="224"/>
      <c r="F1" s="225"/>
    </row>
    <row r="2" spans="1:6" ht="51.75" thickBot="1" x14ac:dyDescent="0.25">
      <c r="A2" s="103" t="s">
        <v>165</v>
      </c>
      <c r="B2" s="184" t="s">
        <v>166</v>
      </c>
      <c r="C2" s="184" t="s">
        <v>371</v>
      </c>
      <c r="D2" s="184" t="s">
        <v>202</v>
      </c>
      <c r="E2" s="184" t="s">
        <v>208</v>
      </c>
      <c r="F2" s="105" t="s">
        <v>209</v>
      </c>
    </row>
    <row r="3" spans="1:6" ht="28.5" customHeight="1" x14ac:dyDescent="0.2">
      <c r="A3" s="234" t="s">
        <v>170</v>
      </c>
      <c r="B3" s="106" t="s">
        <v>171</v>
      </c>
      <c r="C3" s="107">
        <v>4584.2700000000004</v>
      </c>
      <c r="D3" s="108">
        <f>'M² Palmas'!D10</f>
        <v>4.7296998925063427</v>
      </c>
      <c r="E3" s="109">
        <f>(C3*D3)</f>
        <v>21682.221326220053</v>
      </c>
      <c r="F3" s="110"/>
    </row>
    <row r="4" spans="1:6" ht="28.5" customHeight="1" x14ac:dyDescent="0.2">
      <c r="A4" s="235"/>
      <c r="B4" s="111" t="s">
        <v>172</v>
      </c>
      <c r="C4" s="112">
        <v>3482.15</v>
      </c>
      <c r="D4" s="113">
        <f>'M² Palmas'!D14</f>
        <v>3.7837599140050737</v>
      </c>
      <c r="E4" s="114">
        <f>(C4*D4)</f>
        <v>13175.619584552767</v>
      </c>
      <c r="F4" s="115"/>
    </row>
    <row r="5" spans="1:6" ht="28.5" customHeight="1" x14ac:dyDescent="0.2">
      <c r="A5" s="235"/>
      <c r="B5" s="111" t="s">
        <v>173</v>
      </c>
      <c r="C5" s="112">
        <v>141.6</v>
      </c>
      <c r="D5" s="113">
        <f>'M² Palmas'!D18</f>
        <v>23.259130112861786</v>
      </c>
      <c r="E5" s="114">
        <f t="shared" ref="E5:E9" si="0">(C5*D5)</f>
        <v>3293.4928239812289</v>
      </c>
      <c r="F5" s="115"/>
    </row>
    <row r="6" spans="1:6" ht="28.5" customHeight="1" x14ac:dyDescent="0.2">
      <c r="A6" s="235"/>
      <c r="B6" s="111" t="s">
        <v>174</v>
      </c>
      <c r="C6" s="112">
        <v>2911.72</v>
      </c>
      <c r="D6" s="113">
        <f>'M² Palmas'!D26</f>
        <v>2.1020888411139298</v>
      </c>
      <c r="E6" s="114">
        <f t="shared" si="0"/>
        <v>6120.6941204482509</v>
      </c>
      <c r="F6" s="115"/>
    </row>
    <row r="7" spans="1:6" ht="28.5" customHeight="1" x14ac:dyDescent="0.2">
      <c r="A7" s="235"/>
      <c r="B7" s="111" t="s">
        <v>175</v>
      </c>
      <c r="C7" s="112">
        <v>700</v>
      </c>
      <c r="D7" s="113">
        <f>'M² Palmas'!D30</f>
        <v>2.3490447165777839</v>
      </c>
      <c r="E7" s="114">
        <f t="shared" si="0"/>
        <v>1644.3313016044488</v>
      </c>
      <c r="F7" s="115"/>
    </row>
    <row r="8" spans="1:6" ht="28.5" customHeight="1" x14ac:dyDescent="0.2">
      <c r="A8" s="235"/>
      <c r="B8" s="111" t="s">
        <v>176</v>
      </c>
      <c r="C8" s="112">
        <v>792</v>
      </c>
      <c r="D8" s="113">
        <f>'M² Palmas'!G36</f>
        <v>1.2660219874878955</v>
      </c>
      <c r="E8" s="114">
        <f t="shared" si="0"/>
        <v>1002.6894140904133</v>
      </c>
      <c r="F8" s="115"/>
    </row>
    <row r="9" spans="1:6" ht="28.5" customHeight="1" x14ac:dyDescent="0.2">
      <c r="A9" s="235"/>
      <c r="B9" s="111" t="s">
        <v>177</v>
      </c>
      <c r="C9" s="112">
        <v>792</v>
      </c>
      <c r="D9" s="113">
        <f>'M² Palmas'!G42</f>
        <v>0.28353984514366654</v>
      </c>
      <c r="E9" s="114">
        <f t="shared" si="0"/>
        <v>224.56355735378389</v>
      </c>
      <c r="F9" s="116"/>
    </row>
    <row r="10" spans="1:6" ht="28.5" customHeight="1" thickBot="1" x14ac:dyDescent="0.25">
      <c r="A10" s="236"/>
      <c r="B10" s="237"/>
      <c r="C10" s="238"/>
      <c r="D10" s="239"/>
      <c r="E10" s="151">
        <f>SUM(E3:E9)</f>
        <v>47143.612128250948</v>
      </c>
      <c r="F10" s="117">
        <f>(E10*20)</f>
        <v>942872.24256501894</v>
      </c>
    </row>
    <row r="11" spans="1:6" ht="28.5" customHeight="1" x14ac:dyDescent="0.2">
      <c r="A11" s="240" t="s">
        <v>178</v>
      </c>
      <c r="B11" s="118" t="s">
        <v>179</v>
      </c>
      <c r="C11" s="119">
        <v>1200</v>
      </c>
      <c r="D11" s="120">
        <f>'M² Araguaína'!D9</f>
        <v>5.305202963215649</v>
      </c>
      <c r="E11" s="121">
        <f>(C11*D11)</f>
        <v>6366.2435558587786</v>
      </c>
      <c r="F11" s="115"/>
    </row>
    <row r="12" spans="1:6" ht="28.5" customHeight="1" x14ac:dyDescent="0.2">
      <c r="A12" s="235"/>
      <c r="B12" s="122" t="s">
        <v>177</v>
      </c>
      <c r="C12" s="123">
        <v>50</v>
      </c>
      <c r="D12" s="120">
        <f>'M² Araguaína'!G14</f>
        <v>0.28104553928389459</v>
      </c>
      <c r="E12" s="124">
        <f>(C12*D12)</f>
        <v>14.052276964194728</v>
      </c>
      <c r="F12" s="115"/>
    </row>
    <row r="13" spans="1:6" ht="28.5" customHeight="1" thickBot="1" x14ac:dyDescent="0.25">
      <c r="A13" s="236"/>
      <c r="B13" s="241"/>
      <c r="C13" s="242"/>
      <c r="D13" s="243"/>
      <c r="E13" s="152">
        <f>SUM(E11:E12)</f>
        <v>6380.2958328229734</v>
      </c>
      <c r="F13" s="117">
        <f t="shared" ref="F13:F21" si="1">(E13*20)</f>
        <v>127605.91665645946</v>
      </c>
    </row>
    <row r="14" spans="1:6" ht="28.5" customHeight="1" x14ac:dyDescent="0.2">
      <c r="A14" s="244" t="s">
        <v>180</v>
      </c>
      <c r="B14" s="125" t="s">
        <v>179</v>
      </c>
      <c r="C14" s="107">
        <v>925.56</v>
      </c>
      <c r="D14" s="126">
        <f>'M² Gurupi'!D9</f>
        <v>5.4777295435044486</v>
      </c>
      <c r="E14" s="127">
        <f>C14*D14</f>
        <v>5069.9673562859771</v>
      </c>
      <c r="F14" s="115"/>
    </row>
    <row r="15" spans="1:6" ht="28.5" customHeight="1" x14ac:dyDescent="0.2">
      <c r="A15" s="229"/>
      <c r="B15" s="122" t="s">
        <v>173</v>
      </c>
      <c r="C15" s="123">
        <v>17.559999999999999</v>
      </c>
      <c r="D15" s="128">
        <f>'M² Gurupi'!D12</f>
        <v>21.910918174017795</v>
      </c>
      <c r="E15" s="124">
        <f>C15*D15</f>
        <v>384.75572313575242</v>
      </c>
      <c r="F15" s="115"/>
    </row>
    <row r="16" spans="1:6" ht="28.5" customHeight="1" x14ac:dyDescent="0.2">
      <c r="A16" s="229"/>
      <c r="B16" s="122" t="s">
        <v>175</v>
      </c>
      <c r="C16" s="123">
        <v>460.15</v>
      </c>
      <c r="D16" s="128">
        <f>'M² Gurupi'!D19</f>
        <v>2.4345464637797547</v>
      </c>
      <c r="E16" s="124">
        <f>C16*D16</f>
        <v>1120.2565553082541</v>
      </c>
      <c r="F16" s="115"/>
    </row>
    <row r="17" spans="1:6" ht="28.5" customHeight="1" thickBot="1" x14ac:dyDescent="0.25">
      <c r="A17" s="245"/>
      <c r="B17" s="246"/>
      <c r="C17" s="246"/>
      <c r="D17" s="246"/>
      <c r="E17" s="152">
        <f>SUM(E14:E16)</f>
        <v>6574.9796347299834</v>
      </c>
      <c r="F17" s="117">
        <f t="shared" si="1"/>
        <v>131499.59269459968</v>
      </c>
    </row>
    <row r="18" spans="1:6" ht="28.5" customHeight="1" x14ac:dyDescent="0.2">
      <c r="A18" s="228" t="s">
        <v>181</v>
      </c>
      <c r="B18" s="118" t="s">
        <v>179</v>
      </c>
      <c r="C18" s="119">
        <v>1051.8399999999999</v>
      </c>
      <c r="D18" s="120">
        <f>'M² Paraíso'!D9</f>
        <v>5.1182602723674222</v>
      </c>
      <c r="E18" s="121">
        <f>C18*D18</f>
        <v>5383.5908848869485</v>
      </c>
      <c r="F18" s="115"/>
    </row>
    <row r="19" spans="1:6" ht="28.5" customHeight="1" x14ac:dyDescent="0.2">
      <c r="A19" s="229"/>
      <c r="B19" s="122" t="s">
        <v>173</v>
      </c>
      <c r="C19" s="123">
        <v>3.36</v>
      </c>
      <c r="D19" s="128">
        <f>'M² Paraíso'!D12</f>
        <v>20.473041089469689</v>
      </c>
      <c r="E19" s="124">
        <f>C19*D19</f>
        <v>68.789418060618146</v>
      </c>
      <c r="F19" s="115"/>
    </row>
    <row r="20" spans="1:6" ht="28.5" customHeight="1" x14ac:dyDescent="0.2">
      <c r="A20" s="229"/>
      <c r="B20" s="122" t="s">
        <v>174</v>
      </c>
      <c r="C20" s="123">
        <v>289.92</v>
      </c>
      <c r="D20" s="128">
        <f>'M² Paraíso'!D19</f>
        <v>2.2747823432744099</v>
      </c>
      <c r="E20" s="124">
        <f>C20*D20</f>
        <v>659.50489696211696</v>
      </c>
      <c r="F20" s="115"/>
    </row>
    <row r="21" spans="1:6" ht="28.5" customHeight="1" thickBot="1" x14ac:dyDescent="0.25">
      <c r="A21" s="230"/>
      <c r="B21" s="231"/>
      <c r="C21" s="231"/>
      <c r="D21" s="231"/>
      <c r="E21" s="218">
        <f>SUM(E18:E20)</f>
        <v>6111.8851999096833</v>
      </c>
      <c r="F21" s="219">
        <f t="shared" si="1"/>
        <v>122237.70399819367</v>
      </c>
    </row>
    <row r="22" spans="1:6" ht="28.5" customHeight="1" thickBot="1" x14ac:dyDescent="0.25">
      <c r="A22" s="232" t="s">
        <v>203</v>
      </c>
      <c r="B22" s="233"/>
      <c r="C22" s="233"/>
      <c r="D22" s="233"/>
      <c r="E22" s="222">
        <f>E10+E13+E17+E21</f>
        <v>66210.772795713594</v>
      </c>
      <c r="F22" s="221"/>
    </row>
    <row r="23" spans="1:6" ht="33.75" customHeight="1" thickBot="1" x14ac:dyDescent="0.25">
      <c r="A23" s="226" t="s">
        <v>204</v>
      </c>
      <c r="B23" s="227"/>
      <c r="C23" s="227"/>
      <c r="D23" s="227"/>
      <c r="E23" s="227"/>
      <c r="F23" s="220">
        <f>(E22*20)</f>
        <v>1324215.455914272</v>
      </c>
    </row>
  </sheetData>
  <mergeCells count="11">
    <mergeCell ref="A1:F1"/>
    <mergeCell ref="A23:E23"/>
    <mergeCell ref="A18:A21"/>
    <mergeCell ref="B21:D21"/>
    <mergeCell ref="A22:D22"/>
    <mergeCell ref="A3:A10"/>
    <mergeCell ref="B10:D10"/>
    <mergeCell ref="A11:A13"/>
    <mergeCell ref="B13:D13"/>
    <mergeCell ref="A14:A17"/>
    <mergeCell ref="B17:D17"/>
  </mergeCells>
  <pageMargins left="0.511811024" right="0.511811024" top="1.3474015750000001" bottom="0.78740157499999996" header="0.31496062000000002" footer="0.3149606200000000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D679-3FEA-4C0E-A6EF-9B533F11BDC8}">
  <sheetPr>
    <pageSetUpPr fitToPage="1"/>
  </sheetPr>
  <dimension ref="A1:ALR114"/>
  <sheetViews>
    <sheetView showGridLines="0" tabSelected="1" topLeftCell="A13" zoomScaleNormal="100" workbookViewId="0">
      <selection activeCell="I32" sqref="I32:I34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1006" width="9.140625" style="1" customWidth="1"/>
    <col min="1007" max="1017" width="11.5703125" style="77" customWidth="1"/>
    <col min="1018" max="16384" width="9.140625" style="77"/>
  </cols>
  <sheetData>
    <row r="1" spans="1:7" ht="28.5" customHeight="1" x14ac:dyDescent="0.2">
      <c r="A1" s="298" t="s">
        <v>0</v>
      </c>
      <c r="B1" s="298"/>
      <c r="C1" s="298"/>
      <c r="D1" s="298"/>
      <c r="E1" s="298"/>
      <c r="F1" s="298"/>
      <c r="G1" s="298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299" t="s">
        <v>122</v>
      </c>
      <c r="B3" s="299"/>
      <c r="C3" s="299"/>
      <c r="D3" s="299"/>
      <c r="E3" s="299"/>
      <c r="F3" s="299"/>
      <c r="G3" s="299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291" t="s">
        <v>1</v>
      </c>
      <c r="B5" s="291"/>
      <c r="C5" s="291"/>
      <c r="D5" s="291"/>
      <c r="E5" s="291"/>
      <c r="F5" s="291"/>
      <c r="G5" s="291"/>
    </row>
    <row r="6" spans="1:7" ht="21.75" customHeight="1" x14ac:dyDescent="0.2">
      <c r="A6" s="291" t="s">
        <v>2</v>
      </c>
      <c r="B6" s="291"/>
      <c r="C6" s="291"/>
      <c r="D6" s="291"/>
      <c r="E6" s="291"/>
      <c r="F6" s="291"/>
      <c r="G6" s="291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00" t="s">
        <v>3</v>
      </c>
      <c r="B8" s="300"/>
      <c r="C8" s="300"/>
      <c r="D8" s="300"/>
      <c r="E8" s="300"/>
      <c r="F8" s="300"/>
      <c r="G8" s="300"/>
    </row>
    <row r="9" spans="1:7" s="6" customFormat="1" ht="3.75" customHeight="1" x14ac:dyDescent="0.2">
      <c r="A9" s="301"/>
      <c r="B9" s="301"/>
      <c r="C9" s="301"/>
      <c r="D9" s="301"/>
      <c r="E9" s="301"/>
      <c r="F9" s="301"/>
      <c r="G9" s="301"/>
    </row>
    <row r="10" spans="1:7" s="6" customFormat="1" ht="21.75" customHeight="1" x14ac:dyDescent="0.25">
      <c r="A10" s="259" t="s">
        <v>4</v>
      </c>
      <c r="B10" s="259"/>
      <c r="C10" s="259"/>
      <c r="D10" s="259"/>
      <c r="E10" s="259"/>
      <c r="F10" s="259"/>
      <c r="G10" s="259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121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109</v>
      </c>
    </row>
    <row r="13" spans="1:7" s="6" customFormat="1" ht="34.5" customHeight="1" x14ac:dyDescent="0.25">
      <c r="A13" s="11" t="s">
        <v>9</v>
      </c>
      <c r="B13" s="295" t="s">
        <v>10</v>
      </c>
      <c r="C13" s="295"/>
      <c r="D13" s="295"/>
      <c r="E13" s="16"/>
      <c r="F13" s="17"/>
      <c r="G13" s="15" t="s">
        <v>112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110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322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295" t="s">
        <v>19</v>
      </c>
      <c r="C17" s="296"/>
      <c r="D17" s="297" t="s">
        <v>123</v>
      </c>
      <c r="E17" s="297"/>
      <c r="F17" s="22"/>
      <c r="G17" s="24">
        <v>2143.42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295" t="s">
        <v>26</v>
      </c>
      <c r="C20" s="295"/>
      <c r="D20" s="295"/>
      <c r="E20" s="16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260" t="s">
        <v>27</v>
      </c>
      <c r="B22" s="260"/>
      <c r="C22" s="260"/>
      <c r="D22" s="260"/>
      <c r="E22" s="260"/>
      <c r="F22" s="260"/>
      <c r="G22" s="260"/>
    </row>
    <row r="23" spans="1:7" s="1" customFormat="1" ht="19.5" customHeight="1" x14ac:dyDescent="0.25">
      <c r="A23" s="302"/>
      <c r="B23" s="302"/>
      <c r="C23" s="302"/>
      <c r="D23" s="302"/>
      <c r="E23" s="302"/>
      <c r="F23" s="302"/>
      <c r="G23" s="28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32">
        <f>G17</f>
        <v>2143.42</v>
      </c>
    </row>
    <row r="25" spans="1:7" s="1" customFormat="1" ht="30" customHeight="1" x14ac:dyDescent="0.25">
      <c r="A25" s="29" t="s">
        <v>7</v>
      </c>
      <c r="B25" s="33" t="s">
        <v>114</v>
      </c>
      <c r="C25" s="34"/>
      <c r="D25" s="35"/>
      <c r="E25" s="255">
        <v>0</v>
      </c>
      <c r="F25" s="255"/>
      <c r="G25" s="32">
        <f>(G24*E25)</f>
        <v>0</v>
      </c>
    </row>
    <row r="26" spans="1:7" s="1" customFormat="1" ht="30" customHeight="1" x14ac:dyDescent="0.25">
      <c r="A26" s="29" t="s">
        <v>9</v>
      </c>
      <c r="B26" s="33" t="s">
        <v>115</v>
      </c>
      <c r="C26" s="34"/>
      <c r="D26" s="36"/>
      <c r="E26" s="36"/>
      <c r="F26" s="31"/>
      <c r="G26" s="32"/>
    </row>
    <row r="27" spans="1:7" s="1" customFormat="1" ht="21.75" customHeight="1" x14ac:dyDescent="0.25">
      <c r="A27" s="259" t="s">
        <v>30</v>
      </c>
      <c r="B27" s="259"/>
      <c r="C27" s="259"/>
      <c r="D27" s="259"/>
      <c r="E27" s="259"/>
      <c r="F27" s="259"/>
      <c r="G27" s="37">
        <f>SUM(G24:G26)</f>
        <v>2143.42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260" t="s">
        <v>31</v>
      </c>
      <c r="B29" s="260"/>
      <c r="C29" s="260"/>
      <c r="D29" s="260"/>
      <c r="E29" s="260"/>
      <c r="F29" s="260"/>
      <c r="G29" s="260"/>
    </row>
    <row r="30" spans="1:7" s="1" customFormat="1" ht="19.5" customHeight="1" x14ac:dyDescent="0.25">
      <c r="A30" s="270" t="s">
        <v>32</v>
      </c>
      <c r="B30" s="270"/>
      <c r="C30" s="270"/>
      <c r="D30" s="270"/>
      <c r="E30" s="270"/>
      <c r="F30" s="270"/>
      <c r="G30" s="270"/>
    </row>
    <row r="31" spans="1:7" s="1" customFormat="1" ht="19.5" customHeight="1" x14ac:dyDescent="0.25">
      <c r="A31" s="258"/>
      <c r="B31" s="258"/>
      <c r="C31" s="258"/>
      <c r="D31" s="258"/>
      <c r="E31" s="294" t="s">
        <v>33</v>
      </c>
      <c r="F31" s="294"/>
      <c r="G31" s="28" t="s">
        <v>28</v>
      </c>
    </row>
    <row r="32" spans="1:7" ht="19.5" customHeight="1" x14ac:dyDescent="0.2">
      <c r="A32" s="38" t="s">
        <v>5</v>
      </c>
      <c r="B32" s="291" t="s">
        <v>34</v>
      </c>
      <c r="C32" s="291"/>
      <c r="D32" s="291"/>
      <c r="E32" s="255">
        <v>8.3299999999999999E-2</v>
      </c>
      <c r="F32" s="255"/>
      <c r="G32" s="39">
        <f>ROUND($E$32*$G$27,2)</f>
        <v>178.55</v>
      </c>
    </row>
    <row r="33" spans="1:7" ht="49.5" customHeight="1" x14ac:dyDescent="0.2">
      <c r="A33" s="38" t="s">
        <v>7</v>
      </c>
      <c r="B33" s="275" t="s">
        <v>35</v>
      </c>
      <c r="C33" s="291"/>
      <c r="D33" s="291"/>
      <c r="E33" s="292">
        <v>2.7799999999999998E-2</v>
      </c>
      <c r="F33" s="292"/>
      <c r="G33" s="39">
        <f>ROUND($E$33*$G$27,2)</f>
        <v>59.59</v>
      </c>
    </row>
    <row r="34" spans="1:7" ht="19.5" customHeight="1" x14ac:dyDescent="0.2">
      <c r="A34" s="270" t="s">
        <v>36</v>
      </c>
      <c r="B34" s="270"/>
      <c r="C34" s="270"/>
      <c r="D34" s="270"/>
      <c r="E34" s="293">
        <f>SUM(E32:E33)</f>
        <v>0.1111</v>
      </c>
      <c r="F34" s="293"/>
      <c r="G34" s="40">
        <f>SUM(G32:G33)</f>
        <v>238.14000000000001</v>
      </c>
    </row>
    <row r="35" spans="1:7" s="41" customFormat="1" ht="19.5" customHeight="1" x14ac:dyDescent="0.25">
      <c r="A35" s="270" t="s">
        <v>37</v>
      </c>
      <c r="B35" s="270"/>
      <c r="C35" s="270"/>
      <c r="D35" s="270"/>
      <c r="E35" s="270"/>
      <c r="F35" s="270"/>
      <c r="G35" s="270"/>
    </row>
    <row r="36" spans="1:7" s="41" customFormat="1" ht="39" customHeight="1" x14ac:dyDescent="0.25">
      <c r="A36" s="38" t="s">
        <v>5</v>
      </c>
      <c r="B36" s="33" t="s">
        <v>38</v>
      </c>
      <c r="C36" s="42"/>
      <c r="D36" s="286" t="s">
        <v>39</v>
      </c>
      <c r="E36" s="286"/>
      <c r="F36" s="43">
        <v>0.2</v>
      </c>
      <c r="G36" s="39">
        <f>ROUND(F36*($G$27+$G$34),2)</f>
        <v>476.31</v>
      </c>
    </row>
    <row r="37" spans="1:7" s="41" customFormat="1" ht="39" customHeight="1" x14ac:dyDescent="0.25">
      <c r="A37" s="38" t="s">
        <v>7</v>
      </c>
      <c r="B37" s="33" t="s">
        <v>40</v>
      </c>
      <c r="C37" s="42"/>
      <c r="D37" s="286" t="s">
        <v>41</v>
      </c>
      <c r="E37" s="286"/>
      <c r="F37" s="44">
        <v>2.5000000000000001E-2</v>
      </c>
      <c r="G37" s="39">
        <f t="shared" ref="G37:G43" si="0">ROUND(F37*($G$27+$G$34),2)</f>
        <v>59.54</v>
      </c>
    </row>
    <row r="38" spans="1:7" s="41" customFormat="1" ht="62.25" customHeight="1" x14ac:dyDescent="0.25">
      <c r="A38" s="38" t="s">
        <v>9</v>
      </c>
      <c r="B38" s="284" t="s">
        <v>42</v>
      </c>
      <c r="C38" s="290"/>
      <c r="D38" s="286" t="s">
        <v>43</v>
      </c>
      <c r="E38" s="286"/>
      <c r="F38" s="45">
        <v>0.06</v>
      </c>
      <c r="G38" s="39">
        <f t="shared" si="0"/>
        <v>142.88999999999999</v>
      </c>
    </row>
    <row r="39" spans="1:7" s="41" customFormat="1" ht="48" customHeight="1" x14ac:dyDescent="0.25">
      <c r="A39" s="38" t="s">
        <v>11</v>
      </c>
      <c r="B39" s="33" t="s">
        <v>44</v>
      </c>
      <c r="C39" s="42"/>
      <c r="D39" s="286" t="s">
        <v>41</v>
      </c>
      <c r="E39" s="286"/>
      <c r="F39" s="44">
        <v>1.4999999999999999E-2</v>
      </c>
      <c r="G39" s="39">
        <f t="shared" si="0"/>
        <v>35.72</v>
      </c>
    </row>
    <row r="40" spans="1:7" s="41" customFormat="1" ht="43.5" customHeight="1" x14ac:dyDescent="0.25">
      <c r="A40" s="38" t="s">
        <v>13</v>
      </c>
      <c r="B40" s="33" t="s">
        <v>45</v>
      </c>
      <c r="C40" s="42"/>
      <c r="D40" s="286" t="s">
        <v>41</v>
      </c>
      <c r="E40" s="286"/>
      <c r="F40" s="44">
        <v>0.01</v>
      </c>
      <c r="G40" s="39">
        <f t="shared" si="0"/>
        <v>23.82</v>
      </c>
    </row>
    <row r="41" spans="1:7" s="41" customFormat="1" ht="42.75" customHeight="1" x14ac:dyDescent="0.25">
      <c r="A41" s="38" t="s">
        <v>15</v>
      </c>
      <c r="B41" s="33" t="s">
        <v>46</v>
      </c>
      <c r="C41" s="42"/>
      <c r="D41" s="286" t="s">
        <v>41</v>
      </c>
      <c r="E41" s="286"/>
      <c r="F41" s="44">
        <v>6.0000000000000001E-3</v>
      </c>
      <c r="G41" s="39">
        <f t="shared" si="0"/>
        <v>14.29</v>
      </c>
    </row>
    <row r="42" spans="1:7" s="41" customFormat="1" ht="46.5" customHeight="1" x14ac:dyDescent="0.25">
      <c r="A42" s="38" t="s">
        <v>18</v>
      </c>
      <c r="B42" s="33" t="s">
        <v>47</v>
      </c>
      <c r="C42" s="42"/>
      <c r="D42" s="286" t="s">
        <v>41</v>
      </c>
      <c r="E42" s="286"/>
      <c r="F42" s="44">
        <v>2E-3</v>
      </c>
      <c r="G42" s="39">
        <f t="shared" si="0"/>
        <v>4.76</v>
      </c>
    </row>
    <row r="43" spans="1:7" s="41" customFormat="1" ht="48" customHeight="1" x14ac:dyDescent="0.25">
      <c r="A43" s="38" t="s">
        <v>20</v>
      </c>
      <c r="B43" s="33" t="s">
        <v>48</v>
      </c>
      <c r="C43" s="42"/>
      <c r="D43" s="286" t="s">
        <v>41</v>
      </c>
      <c r="E43" s="286"/>
      <c r="F43" s="44">
        <v>0.08</v>
      </c>
      <c r="G43" s="39">
        <f t="shared" si="0"/>
        <v>190.52</v>
      </c>
    </row>
    <row r="44" spans="1:7" s="41" customFormat="1" ht="19.5" customHeight="1" x14ac:dyDescent="0.25">
      <c r="A44" s="287" t="s">
        <v>49</v>
      </c>
      <c r="B44" s="288"/>
      <c r="C44" s="288"/>
      <c r="D44" s="288"/>
      <c r="E44" s="289"/>
      <c r="F44" s="46">
        <f>SUM(F36:F43)</f>
        <v>0.39800000000000008</v>
      </c>
      <c r="G44" s="47">
        <f>SUM(G36:G43)</f>
        <v>947.85</v>
      </c>
    </row>
    <row r="45" spans="1:7" ht="19.5" customHeight="1" x14ac:dyDescent="0.2">
      <c r="A45" s="270" t="s">
        <v>50</v>
      </c>
      <c r="B45" s="270"/>
      <c r="C45" s="270"/>
      <c r="D45" s="270"/>
      <c r="E45" s="270"/>
      <c r="F45" s="270"/>
      <c r="G45" s="270"/>
    </row>
    <row r="46" spans="1:7" ht="57.75" customHeight="1" x14ac:dyDescent="0.2">
      <c r="A46" s="48" t="s">
        <v>5</v>
      </c>
      <c r="B46" s="256" t="s">
        <v>51</v>
      </c>
      <c r="C46" s="257"/>
      <c r="D46" s="49" t="s">
        <v>116</v>
      </c>
      <c r="E46" s="39">
        <v>597.96</v>
      </c>
      <c r="F46" s="50">
        <v>0.01</v>
      </c>
      <c r="G46" s="39">
        <f>ROUND((E46)*(1-F46),2)</f>
        <v>591.98</v>
      </c>
    </row>
    <row r="47" spans="1:7" ht="70.5" customHeight="1" x14ac:dyDescent="0.2">
      <c r="A47" s="38" t="s">
        <v>7</v>
      </c>
      <c r="B47" s="256" t="s">
        <v>52</v>
      </c>
      <c r="C47" s="257"/>
      <c r="D47" s="49" t="s">
        <v>117</v>
      </c>
      <c r="E47" s="39">
        <v>3.85</v>
      </c>
      <c r="F47" s="50">
        <v>0.06</v>
      </c>
      <c r="G47" s="39">
        <f>ROUND((E47*2*22)-(0.06*$G$24),2)</f>
        <v>40.79</v>
      </c>
    </row>
    <row r="48" spans="1:7" ht="70.5" customHeight="1" x14ac:dyDescent="0.2">
      <c r="A48" s="38" t="s">
        <v>9</v>
      </c>
      <c r="B48" s="261" t="s">
        <v>118</v>
      </c>
      <c r="C48" s="263"/>
      <c r="D48" s="49" t="s">
        <v>119</v>
      </c>
      <c r="E48" s="39">
        <v>21.88</v>
      </c>
      <c r="F48" s="51"/>
      <c r="G48" s="39">
        <f>E48</f>
        <v>21.88</v>
      </c>
    </row>
    <row r="49" spans="1:7" ht="40.5" customHeight="1" x14ac:dyDescent="0.2">
      <c r="A49" s="38" t="s">
        <v>11</v>
      </c>
      <c r="B49" s="261" t="s">
        <v>115</v>
      </c>
      <c r="C49" s="263"/>
      <c r="D49" s="49"/>
      <c r="E49" s="39"/>
      <c r="F49" s="51"/>
      <c r="G49" s="39">
        <f>E49</f>
        <v>0</v>
      </c>
    </row>
    <row r="50" spans="1:7" ht="31.5" customHeight="1" x14ac:dyDescent="0.2">
      <c r="A50" s="270" t="s">
        <v>53</v>
      </c>
      <c r="B50" s="270"/>
      <c r="C50" s="270"/>
      <c r="D50" s="270"/>
      <c r="E50" s="270"/>
      <c r="F50" s="270"/>
      <c r="G50" s="40">
        <f>SUM(G46:G49)</f>
        <v>654.65</v>
      </c>
    </row>
    <row r="51" spans="1:7" ht="31.5" customHeight="1" x14ac:dyDescent="0.2">
      <c r="A51" s="271" t="s">
        <v>54</v>
      </c>
      <c r="B51" s="271"/>
      <c r="C51" s="271"/>
      <c r="D51" s="271"/>
      <c r="E51" s="271"/>
      <c r="F51" s="271"/>
      <c r="G51" s="52">
        <f>SUM(G50,G44,G34)</f>
        <v>1840.64</v>
      </c>
    </row>
    <row r="52" spans="1:7" ht="3" customHeight="1" x14ac:dyDescent="0.2">
      <c r="A52" s="26"/>
      <c r="B52" s="27"/>
      <c r="C52" s="27"/>
      <c r="D52" s="27"/>
      <c r="E52" s="27"/>
      <c r="F52" s="27"/>
      <c r="G52" s="27"/>
    </row>
    <row r="53" spans="1:7" ht="21.75" customHeight="1" x14ac:dyDescent="0.2">
      <c r="A53" s="260" t="s">
        <v>55</v>
      </c>
      <c r="B53" s="260"/>
      <c r="C53" s="260"/>
      <c r="D53" s="260"/>
      <c r="E53" s="260"/>
      <c r="F53" s="260"/>
      <c r="G53" s="260"/>
    </row>
    <row r="54" spans="1:7" ht="80.25" customHeight="1" x14ac:dyDescent="0.2">
      <c r="A54" s="266" t="s">
        <v>5</v>
      </c>
      <c r="B54" s="275" t="s">
        <v>56</v>
      </c>
      <c r="C54" s="275"/>
      <c r="D54" s="275"/>
      <c r="E54" s="255">
        <f>(1/12)*D55</f>
        <v>4.1666666666666666E-3</v>
      </c>
      <c r="F54" s="255"/>
      <c r="G54" s="280">
        <f>ROUND($G$27+$G$34,0)*E54</f>
        <v>9.9250000000000007</v>
      </c>
    </row>
    <row r="55" spans="1:7" ht="77.25" customHeight="1" x14ac:dyDescent="0.2">
      <c r="A55" s="266"/>
      <c r="B55" s="285" t="s">
        <v>57</v>
      </c>
      <c r="C55" s="285"/>
      <c r="D55" s="53">
        <v>0.05</v>
      </c>
      <c r="E55" s="255"/>
      <c r="F55" s="255"/>
      <c r="G55" s="280"/>
    </row>
    <row r="56" spans="1:7" ht="42.75" customHeight="1" x14ac:dyDescent="0.2">
      <c r="A56" s="38" t="s">
        <v>7</v>
      </c>
      <c r="B56" s="275" t="s">
        <v>58</v>
      </c>
      <c r="C56" s="275"/>
      <c r="D56" s="275"/>
      <c r="E56" s="255">
        <v>0.08</v>
      </c>
      <c r="F56" s="255"/>
      <c r="G56" s="39">
        <f>ROUND(G54*E56,2)</f>
        <v>0.79</v>
      </c>
    </row>
    <row r="57" spans="1:7" ht="53.25" customHeight="1" x14ac:dyDescent="0.2">
      <c r="A57" s="38" t="s">
        <v>9</v>
      </c>
      <c r="B57" s="256" t="s">
        <v>59</v>
      </c>
      <c r="C57" s="284"/>
      <c r="D57" s="257"/>
      <c r="E57" s="255">
        <f>(7/30)/12</f>
        <v>1.9444444444444445E-2</v>
      </c>
      <c r="F57" s="255"/>
      <c r="G57" s="39">
        <f>ROUND((($G$27+$G$34)*E57),2)</f>
        <v>46.31</v>
      </c>
    </row>
    <row r="58" spans="1:7" ht="37.5" customHeight="1" x14ac:dyDescent="0.2">
      <c r="A58" s="38" t="s">
        <v>11</v>
      </c>
      <c r="B58" s="275" t="s">
        <v>60</v>
      </c>
      <c r="C58" s="275"/>
      <c r="D58" s="275"/>
      <c r="E58" s="255">
        <f>F44</f>
        <v>0.39800000000000008</v>
      </c>
      <c r="F58" s="255"/>
      <c r="G58" s="39">
        <f>ROUND(E58*G57,2)</f>
        <v>18.43</v>
      </c>
    </row>
    <row r="59" spans="1:7" ht="64.5" customHeight="1" x14ac:dyDescent="0.2">
      <c r="A59" s="38" t="s">
        <v>13</v>
      </c>
      <c r="B59" s="275" t="s">
        <v>61</v>
      </c>
      <c r="C59" s="275"/>
      <c r="D59" s="275"/>
      <c r="E59" s="255">
        <v>0.04</v>
      </c>
      <c r="F59" s="255"/>
      <c r="G59" s="39">
        <f>ROUND(E59*($G$27+$G$34),2)</f>
        <v>95.26</v>
      </c>
    </row>
    <row r="60" spans="1:7" ht="21.75" customHeight="1" x14ac:dyDescent="0.2">
      <c r="A60" s="259" t="s">
        <v>62</v>
      </c>
      <c r="B60" s="259"/>
      <c r="C60" s="259"/>
      <c r="D60" s="259"/>
      <c r="E60" s="259"/>
      <c r="F60" s="259"/>
      <c r="G60" s="52">
        <f>ROUND(SUM(G54:G59),2)</f>
        <v>170.72</v>
      </c>
    </row>
    <row r="61" spans="1:7" ht="3.75" customHeight="1" x14ac:dyDescent="0.2">
      <c r="A61" s="55"/>
      <c r="B61" s="56"/>
      <c r="C61" s="56"/>
      <c r="D61" s="56"/>
      <c r="E61" s="56"/>
      <c r="F61" s="56"/>
      <c r="G61" s="56"/>
    </row>
    <row r="62" spans="1:7" ht="21.75" customHeight="1" x14ac:dyDescent="0.2">
      <c r="A62" s="260" t="s">
        <v>63</v>
      </c>
      <c r="B62" s="260"/>
      <c r="C62" s="260"/>
      <c r="D62" s="260"/>
      <c r="E62" s="260"/>
      <c r="F62" s="260"/>
      <c r="G62" s="260"/>
    </row>
    <row r="63" spans="1:7" ht="21.75" customHeight="1" x14ac:dyDescent="0.2">
      <c r="A63" s="270" t="s">
        <v>64</v>
      </c>
      <c r="B63" s="270"/>
      <c r="C63" s="270"/>
      <c r="D63" s="270"/>
      <c r="E63" s="270"/>
      <c r="F63" s="270"/>
      <c r="G63" s="270"/>
    </row>
    <row r="64" spans="1:7" ht="21.75" customHeight="1" x14ac:dyDescent="0.2">
      <c r="A64" s="266" t="s">
        <v>5</v>
      </c>
      <c r="B64" s="275" t="s">
        <v>65</v>
      </c>
      <c r="C64" s="275"/>
      <c r="D64" s="275"/>
      <c r="E64" s="276">
        <v>8.3299999999999999E-2</v>
      </c>
      <c r="F64" s="277"/>
      <c r="G64" s="280">
        <f>E64*($G$27+$G$51+$G$60)</f>
        <v>346.09317400000003</v>
      </c>
    </row>
    <row r="65" spans="1:8" ht="39.75" customHeight="1" x14ac:dyDescent="0.2">
      <c r="A65" s="266"/>
      <c r="B65" s="281" t="s">
        <v>66</v>
      </c>
      <c r="C65" s="282"/>
      <c r="D65" s="283"/>
      <c r="E65" s="278"/>
      <c r="F65" s="279"/>
      <c r="G65" s="280"/>
    </row>
    <row r="66" spans="1:8" x14ac:dyDescent="0.2">
      <c r="A66" s="266" t="s">
        <v>7</v>
      </c>
      <c r="B66" s="275" t="s">
        <v>67</v>
      </c>
      <c r="C66" s="275"/>
      <c r="D66" s="275"/>
      <c r="E66" s="276">
        <f>(6/360)</f>
        <v>1.6666666666666666E-2</v>
      </c>
      <c r="F66" s="277"/>
      <c r="G66" s="280">
        <f>E66*($G$27+$G$34+$G$44)</f>
        <v>55.49016666666666</v>
      </c>
    </row>
    <row r="67" spans="1:8" ht="78" customHeight="1" x14ac:dyDescent="0.2">
      <c r="A67" s="266"/>
      <c r="B67" s="281" t="s">
        <v>68</v>
      </c>
      <c r="C67" s="282"/>
      <c r="D67" s="283"/>
      <c r="E67" s="278"/>
      <c r="F67" s="279"/>
      <c r="G67" s="280"/>
    </row>
    <row r="68" spans="1:8" x14ac:dyDescent="0.2">
      <c r="A68" s="266" t="s">
        <v>9</v>
      </c>
      <c r="B68" s="275" t="s">
        <v>69</v>
      </c>
      <c r="C68" s="275"/>
      <c r="D68" s="275"/>
      <c r="E68" s="276">
        <f>((5/360)*(1.399%))</f>
        <v>1.9430555555555556E-4</v>
      </c>
      <c r="F68" s="277"/>
      <c r="G68" s="280">
        <f>E68*($G$27+$G$34+$G$44)</f>
        <v>0.64692285972222219</v>
      </c>
    </row>
    <row r="69" spans="1:8" ht="57" customHeight="1" x14ac:dyDescent="0.2">
      <c r="A69" s="266"/>
      <c r="B69" s="281" t="s">
        <v>70</v>
      </c>
      <c r="C69" s="282"/>
      <c r="D69" s="283"/>
      <c r="E69" s="278"/>
      <c r="F69" s="279"/>
      <c r="G69" s="280"/>
    </row>
    <row r="70" spans="1:8" x14ac:dyDescent="0.2">
      <c r="A70" s="266" t="s">
        <v>11</v>
      </c>
      <c r="B70" s="275" t="s">
        <v>71</v>
      </c>
      <c r="C70" s="275"/>
      <c r="D70" s="275"/>
      <c r="E70" s="276">
        <f>((15/360)*(2.16%))</f>
        <v>8.9999999999999998E-4</v>
      </c>
      <c r="F70" s="277"/>
      <c r="G70" s="280">
        <f>E70*($G$27+$G$34+$G$44)</f>
        <v>2.9964689999999998</v>
      </c>
    </row>
    <row r="71" spans="1:8" ht="63" customHeight="1" x14ac:dyDescent="0.2">
      <c r="A71" s="266"/>
      <c r="B71" s="281" t="s">
        <v>72</v>
      </c>
      <c r="C71" s="282"/>
      <c r="D71" s="283"/>
      <c r="E71" s="278"/>
      <c r="F71" s="279"/>
      <c r="G71" s="280"/>
    </row>
    <row r="72" spans="1:8" x14ac:dyDescent="0.2">
      <c r="A72" s="266" t="s">
        <v>13</v>
      </c>
      <c r="B72" s="275" t="s">
        <v>73</v>
      </c>
      <c r="C72" s="275"/>
      <c r="D72" s="275"/>
      <c r="E72" s="276">
        <f>((50%)*(1.99%)*(4/12)*(8.93%+8.93%+2.98%))</f>
        <v>6.9119333333333326E-4</v>
      </c>
      <c r="F72" s="277"/>
      <c r="G72" s="280">
        <f>(E72*G27)</f>
        <v>1.4815176145333333</v>
      </c>
    </row>
    <row r="73" spans="1:8" ht="54.75" customHeight="1" x14ac:dyDescent="0.2">
      <c r="A73" s="266"/>
      <c r="B73" s="281" t="s">
        <v>74</v>
      </c>
      <c r="C73" s="282"/>
      <c r="D73" s="283"/>
      <c r="E73" s="278"/>
      <c r="F73" s="279"/>
      <c r="G73" s="280"/>
    </row>
    <row r="74" spans="1:8" ht="19.5" customHeight="1" x14ac:dyDescent="0.2">
      <c r="A74" s="270" t="s">
        <v>75</v>
      </c>
      <c r="B74" s="270"/>
      <c r="C74" s="270"/>
      <c r="D74" s="270"/>
      <c r="E74" s="270"/>
      <c r="F74" s="270"/>
      <c r="G74" s="47">
        <f>SUM(G64:G73)</f>
        <v>406.70825014092225</v>
      </c>
    </row>
    <row r="75" spans="1:8" ht="3.75" customHeight="1" x14ac:dyDescent="0.2">
      <c r="A75" s="57"/>
      <c r="B75" s="58"/>
      <c r="C75" s="58"/>
      <c r="D75" s="58"/>
      <c r="E75" s="58"/>
      <c r="F75" s="58"/>
      <c r="G75" s="58"/>
    </row>
    <row r="76" spans="1:8" ht="3.75" customHeight="1" x14ac:dyDescent="0.2">
      <c r="A76" s="59"/>
      <c r="B76" s="60"/>
      <c r="C76" s="60"/>
      <c r="D76" s="60"/>
      <c r="E76" s="60"/>
      <c r="F76" s="60"/>
      <c r="G76" s="60"/>
    </row>
    <row r="77" spans="1:8" ht="30.75" customHeight="1" x14ac:dyDescent="0.2">
      <c r="A77" s="271" t="s">
        <v>76</v>
      </c>
      <c r="B77" s="271"/>
      <c r="C77" s="271"/>
      <c r="D77" s="271"/>
      <c r="E77" s="271"/>
      <c r="F77" s="271"/>
      <c r="G77" s="61">
        <f>G74</f>
        <v>406.70825014092225</v>
      </c>
    </row>
    <row r="78" spans="1:8" ht="3.75" customHeight="1" x14ac:dyDescent="0.2">
      <c r="A78" s="272"/>
      <c r="B78" s="272"/>
      <c r="C78" s="272"/>
      <c r="D78" s="272"/>
      <c r="E78" s="272"/>
      <c r="F78" s="272"/>
      <c r="G78" s="272"/>
    </row>
    <row r="79" spans="1:8" ht="21.75" customHeight="1" x14ac:dyDescent="0.2">
      <c r="A79" s="260" t="s">
        <v>77</v>
      </c>
      <c r="B79" s="260"/>
      <c r="C79" s="260"/>
      <c r="D79" s="260"/>
      <c r="E79" s="260"/>
      <c r="F79" s="260"/>
      <c r="G79" s="260"/>
    </row>
    <row r="80" spans="1:8" ht="19.5" customHeight="1" x14ac:dyDescent="0.2">
      <c r="A80" s="29" t="s">
        <v>5</v>
      </c>
      <c r="B80" s="30" t="s">
        <v>78</v>
      </c>
      <c r="C80" s="31"/>
      <c r="D80" s="31"/>
      <c r="E80" s="31"/>
      <c r="F80" s="31"/>
      <c r="G80" s="39" cm="1">
        <f t="array" ref="G80:H80">'Insumos Diversos'!J113:K113</f>
        <v>98</v>
      </c>
      <c r="H80" s="1">
        <v>0</v>
      </c>
    </row>
    <row r="81" spans="1:7" ht="19.5" customHeight="1" x14ac:dyDescent="0.2">
      <c r="A81" s="62" t="s">
        <v>7</v>
      </c>
      <c r="B81" s="30" t="s">
        <v>317</v>
      </c>
      <c r="C81" s="31"/>
      <c r="D81" s="31"/>
      <c r="E81" s="31"/>
      <c r="F81" s="31"/>
      <c r="G81" s="39">
        <v>0</v>
      </c>
    </row>
    <row r="82" spans="1:7" ht="19.5" customHeight="1" x14ac:dyDescent="0.2">
      <c r="A82" s="63" t="s">
        <v>9</v>
      </c>
      <c r="B82" s="30" t="s">
        <v>79</v>
      </c>
      <c r="C82" s="31"/>
      <c r="D82" s="31"/>
      <c r="E82" s="31"/>
      <c r="F82" s="31"/>
      <c r="G82" s="39">
        <v>0</v>
      </c>
    </row>
    <row r="83" spans="1:7" ht="21.75" customHeight="1" x14ac:dyDescent="0.2">
      <c r="A83" s="273" t="s">
        <v>80</v>
      </c>
      <c r="B83" s="273"/>
      <c r="C83" s="273"/>
      <c r="D83" s="273"/>
      <c r="E83" s="273"/>
      <c r="F83" s="273"/>
      <c r="G83" s="37">
        <f>SUM(G80:G82)</f>
        <v>98</v>
      </c>
    </row>
    <row r="84" spans="1:7" ht="3.75" customHeight="1" x14ac:dyDescent="0.2">
      <c r="A84" s="274"/>
      <c r="B84" s="274"/>
      <c r="C84" s="274"/>
      <c r="D84" s="274"/>
      <c r="E84" s="274"/>
      <c r="F84" s="274"/>
      <c r="G84" s="274"/>
    </row>
    <row r="85" spans="1:7" ht="23.25" customHeight="1" x14ac:dyDescent="0.2">
      <c r="A85" s="260" t="s">
        <v>81</v>
      </c>
      <c r="B85" s="260"/>
      <c r="C85" s="260"/>
      <c r="D85" s="260"/>
      <c r="E85" s="260"/>
      <c r="F85" s="260"/>
      <c r="G85" s="260"/>
    </row>
    <row r="86" spans="1:7" ht="19.5" customHeight="1" x14ac:dyDescent="0.2">
      <c r="A86" s="38" t="s">
        <v>5</v>
      </c>
      <c r="B86" s="261" t="s">
        <v>82</v>
      </c>
      <c r="C86" s="262"/>
      <c r="D86" s="263"/>
      <c r="E86" s="264">
        <v>0.03</v>
      </c>
      <c r="F86" s="265"/>
      <c r="G86" s="39">
        <f>ROUND((G103)*E86,2)</f>
        <v>139.78</v>
      </c>
    </row>
    <row r="87" spans="1:7" ht="19.5" customHeight="1" x14ac:dyDescent="0.2">
      <c r="A87" s="38" t="s">
        <v>7</v>
      </c>
      <c r="B87" s="261" t="s">
        <v>83</v>
      </c>
      <c r="C87" s="262"/>
      <c r="D87" s="263"/>
      <c r="E87" s="264">
        <v>6.7900000000000002E-2</v>
      </c>
      <c r="F87" s="265"/>
      <c r="G87" s="39">
        <f>ROUND((G103+$G$86)*E87,2)</f>
        <v>325.87</v>
      </c>
    </row>
    <row r="88" spans="1:7" ht="19.5" customHeight="1" x14ac:dyDescent="0.2">
      <c r="A88" s="266" t="s">
        <v>9</v>
      </c>
      <c r="B88" s="267" t="s">
        <v>84</v>
      </c>
      <c r="C88" s="64"/>
      <c r="D88" s="65"/>
      <c r="E88" s="268">
        <f>SUM(E89:F93)</f>
        <v>0.14250000000000002</v>
      </c>
      <c r="F88" s="269"/>
      <c r="G88" s="66"/>
    </row>
    <row r="89" spans="1:7" ht="19.5" customHeight="1" x14ac:dyDescent="0.2">
      <c r="A89" s="266"/>
      <c r="B89" s="267"/>
      <c r="C89" s="67" t="s">
        <v>85</v>
      </c>
      <c r="D89" s="68" t="s">
        <v>86</v>
      </c>
      <c r="E89" s="255">
        <v>1.6500000000000001E-2</v>
      </c>
      <c r="F89" s="255"/>
      <c r="G89" s="39">
        <f>ROUND((E89)*($G$105),2)</f>
        <v>98.62</v>
      </c>
    </row>
    <row r="90" spans="1:7" ht="19.5" customHeight="1" x14ac:dyDescent="0.2">
      <c r="A90" s="266"/>
      <c r="B90" s="267"/>
      <c r="C90" s="69"/>
      <c r="D90" s="68" t="s">
        <v>87</v>
      </c>
      <c r="E90" s="255">
        <v>7.5999999999999998E-2</v>
      </c>
      <c r="F90" s="255"/>
      <c r="G90" s="39">
        <f>ROUND((E90)*($G$105),2)</f>
        <v>454.24</v>
      </c>
    </row>
    <row r="91" spans="1:7" ht="19.5" customHeight="1" x14ac:dyDescent="0.2">
      <c r="A91" s="266"/>
      <c r="B91" s="267"/>
      <c r="C91" s="70"/>
      <c r="D91" s="68" t="s">
        <v>88</v>
      </c>
      <c r="E91" s="255"/>
      <c r="F91" s="255"/>
      <c r="G91" s="39">
        <f>ROUND((E91)*($G$105),2)</f>
        <v>0</v>
      </c>
    </row>
    <row r="92" spans="1:7" ht="77.25" customHeight="1" x14ac:dyDescent="0.2">
      <c r="A92" s="266"/>
      <c r="B92" s="267"/>
      <c r="C92" s="71" t="s">
        <v>120</v>
      </c>
      <c r="D92" s="68" t="s">
        <v>89</v>
      </c>
      <c r="E92" s="255">
        <v>0.05</v>
      </c>
      <c r="F92" s="255"/>
      <c r="G92" s="39">
        <f>ROUND((E92)*($G$105),2)</f>
        <v>298.83999999999997</v>
      </c>
    </row>
    <row r="93" spans="1:7" ht="41.25" customHeight="1" x14ac:dyDescent="0.2">
      <c r="A93" s="266"/>
      <c r="B93" s="267"/>
      <c r="C93" s="256" t="s">
        <v>90</v>
      </c>
      <c r="D93" s="257"/>
      <c r="E93" s="255"/>
      <c r="F93" s="255"/>
      <c r="G93" s="39">
        <f>ROUND((E93)*($G$105),2)</f>
        <v>0</v>
      </c>
    </row>
    <row r="94" spans="1:7" ht="19.5" customHeight="1" x14ac:dyDescent="0.2">
      <c r="A94" s="266"/>
      <c r="B94" s="258" t="s">
        <v>91</v>
      </c>
      <c r="C94" s="258"/>
      <c r="D94" s="258"/>
      <c r="E94" s="258"/>
      <c r="F94" s="258"/>
      <c r="G94" s="72">
        <f>SUM(G89,G90,G91,G92,G93)</f>
        <v>851.7</v>
      </c>
    </row>
    <row r="95" spans="1:7" ht="21.75" customHeight="1" x14ac:dyDescent="0.2">
      <c r="A95" s="259" t="s">
        <v>92</v>
      </c>
      <c r="B95" s="259"/>
      <c r="C95" s="259"/>
      <c r="D95" s="259"/>
      <c r="E95" s="259"/>
      <c r="F95" s="259"/>
      <c r="G95" s="73">
        <f>SUM(G94,G87,G86)</f>
        <v>1317.3500000000001</v>
      </c>
    </row>
    <row r="96" spans="1:7" ht="3.75" customHeight="1" x14ac:dyDescent="0.2">
      <c r="A96" s="251"/>
      <c r="B96" s="251"/>
      <c r="C96" s="251"/>
      <c r="D96" s="251"/>
      <c r="E96" s="251"/>
      <c r="F96" s="251"/>
      <c r="G96" s="251"/>
    </row>
    <row r="97" spans="1:7" ht="23.25" customHeight="1" x14ac:dyDescent="0.2">
      <c r="A97" s="252" t="s">
        <v>93</v>
      </c>
      <c r="B97" s="252"/>
      <c r="C97" s="252"/>
      <c r="D97" s="252"/>
      <c r="E97" s="252"/>
      <c r="F97" s="252"/>
      <c r="G97" s="252"/>
    </row>
    <row r="98" spans="1:7" ht="19.5" customHeight="1" x14ac:dyDescent="0.2">
      <c r="A98" s="38" t="s">
        <v>5</v>
      </c>
      <c r="B98" s="33" t="s">
        <v>94</v>
      </c>
      <c r="C98" s="42"/>
      <c r="D98" s="42"/>
      <c r="E98" s="42"/>
      <c r="F98" s="42"/>
      <c r="G98" s="32">
        <f>G27</f>
        <v>2143.42</v>
      </c>
    </row>
    <row r="99" spans="1:7" ht="19.5" customHeight="1" x14ac:dyDescent="0.2">
      <c r="A99" s="38" t="s">
        <v>7</v>
      </c>
      <c r="B99" s="33" t="s">
        <v>95</v>
      </c>
      <c r="C99" s="42"/>
      <c r="D99" s="42"/>
      <c r="E99" s="42"/>
      <c r="F99" s="42"/>
      <c r="G99" s="32">
        <f>G51</f>
        <v>1840.64</v>
      </c>
    </row>
    <row r="100" spans="1:7" ht="19.5" customHeight="1" x14ac:dyDescent="0.2">
      <c r="A100" s="38" t="s">
        <v>9</v>
      </c>
      <c r="B100" s="33" t="s">
        <v>96</v>
      </c>
      <c r="C100" s="42"/>
      <c r="D100" s="42"/>
      <c r="E100" s="42"/>
      <c r="F100" s="42"/>
      <c r="G100" s="32">
        <f>G60</f>
        <v>170.72</v>
      </c>
    </row>
    <row r="101" spans="1:7" ht="19.5" customHeight="1" x14ac:dyDescent="0.2">
      <c r="A101" s="38" t="s">
        <v>11</v>
      </c>
      <c r="B101" s="33" t="s">
        <v>97</v>
      </c>
      <c r="C101" s="42"/>
      <c r="D101" s="42"/>
      <c r="E101" s="42"/>
      <c r="F101" s="42"/>
      <c r="G101" s="32">
        <f>G77</f>
        <v>406.70825014092225</v>
      </c>
    </row>
    <row r="102" spans="1:7" ht="19.5" customHeight="1" x14ac:dyDescent="0.2">
      <c r="A102" s="38" t="s">
        <v>13</v>
      </c>
      <c r="B102" s="33" t="s">
        <v>98</v>
      </c>
      <c r="C102" s="42"/>
      <c r="D102" s="42"/>
      <c r="E102" s="42"/>
      <c r="F102" s="42"/>
      <c r="G102" s="32">
        <f>G83</f>
        <v>98</v>
      </c>
    </row>
    <row r="103" spans="1:7" ht="19.5" customHeight="1" x14ac:dyDescent="0.2">
      <c r="A103" s="253" t="s">
        <v>99</v>
      </c>
      <c r="B103" s="254"/>
      <c r="C103" s="254"/>
      <c r="D103" s="254"/>
      <c r="E103" s="254"/>
      <c r="F103" s="254"/>
      <c r="G103" s="74">
        <f>SUM(G98:G102)</f>
        <v>4659.4882501409229</v>
      </c>
    </row>
    <row r="104" spans="1:7" ht="19.5" customHeight="1" x14ac:dyDescent="0.2">
      <c r="A104" s="38" t="s">
        <v>15</v>
      </c>
      <c r="B104" s="33" t="s">
        <v>100</v>
      </c>
      <c r="C104" s="42"/>
      <c r="D104" s="42"/>
      <c r="E104" s="42"/>
      <c r="F104" s="42"/>
      <c r="G104" s="32">
        <f>G95</f>
        <v>1317.3500000000001</v>
      </c>
    </row>
    <row r="105" spans="1:7" ht="43.5" customHeight="1" x14ac:dyDescent="0.2">
      <c r="A105" s="247" t="s">
        <v>101</v>
      </c>
      <c r="B105" s="247"/>
      <c r="C105" s="247"/>
      <c r="D105" s="247"/>
      <c r="E105" s="247"/>
      <c r="F105" s="247"/>
      <c r="G105" s="75">
        <f>SUM(G103+G86+G87)/(1-E88)</f>
        <v>5976.8376094937876</v>
      </c>
    </row>
    <row r="106" spans="1:7" ht="3.75" customHeight="1" x14ac:dyDescent="0.2">
      <c r="A106" s="251"/>
      <c r="B106" s="251"/>
      <c r="C106" s="251"/>
      <c r="D106" s="251"/>
      <c r="E106" s="251"/>
      <c r="F106" s="251"/>
      <c r="G106" s="251"/>
    </row>
    <row r="107" spans="1:7" ht="22.5" customHeight="1" x14ac:dyDescent="0.2">
      <c r="A107" s="249" t="s">
        <v>102</v>
      </c>
      <c r="B107" s="249"/>
      <c r="C107" s="249"/>
      <c r="D107" s="249"/>
      <c r="E107" s="249"/>
      <c r="F107" s="249"/>
      <c r="G107" s="249"/>
    </row>
    <row r="108" spans="1:7" ht="21" customHeight="1" x14ac:dyDescent="0.2">
      <c r="A108" s="248" t="s">
        <v>103</v>
      </c>
      <c r="B108" s="248"/>
      <c r="C108" s="248"/>
      <c r="D108" s="248"/>
      <c r="E108" s="248"/>
      <c r="F108" s="248"/>
      <c r="G108" s="32">
        <f>G105</f>
        <v>5976.8376094937876</v>
      </c>
    </row>
    <row r="109" spans="1:7" ht="21" customHeight="1" x14ac:dyDescent="0.2">
      <c r="A109" s="248" t="s">
        <v>104</v>
      </c>
      <c r="B109" s="248"/>
      <c r="C109" s="248"/>
      <c r="D109" s="248"/>
      <c r="E109" s="248"/>
      <c r="F109" s="248"/>
      <c r="G109" s="11">
        <v>1</v>
      </c>
    </row>
    <row r="110" spans="1:7" ht="21" customHeight="1" x14ac:dyDescent="0.2">
      <c r="A110" s="248" t="s">
        <v>105</v>
      </c>
      <c r="B110" s="248"/>
      <c r="C110" s="248"/>
      <c r="D110" s="248"/>
      <c r="E110" s="248"/>
      <c r="F110" s="248"/>
      <c r="G110" s="32">
        <f>G109*G108</f>
        <v>5976.8376094937876</v>
      </c>
    </row>
    <row r="111" spans="1:7" ht="21" customHeight="1" x14ac:dyDescent="0.2">
      <c r="A111" s="248" t="s">
        <v>106</v>
      </c>
      <c r="B111" s="248"/>
      <c r="C111" s="248"/>
      <c r="D111" s="248"/>
      <c r="E111" s="248"/>
      <c r="F111" s="248"/>
      <c r="G111" s="11">
        <v>1</v>
      </c>
    </row>
    <row r="112" spans="1:7" ht="22.5" customHeight="1" x14ac:dyDescent="0.2">
      <c r="A112" s="249" t="s">
        <v>107</v>
      </c>
      <c r="B112" s="249"/>
      <c r="C112" s="249"/>
      <c r="D112" s="249"/>
      <c r="E112" s="249"/>
      <c r="F112" s="249"/>
      <c r="G112" s="76">
        <f>G111*G110</f>
        <v>5976.8376094937876</v>
      </c>
    </row>
    <row r="113" spans="1:7" ht="3.75" customHeight="1" x14ac:dyDescent="0.2">
      <c r="A113" s="250"/>
      <c r="B113" s="250"/>
      <c r="C113" s="250"/>
      <c r="D113" s="250"/>
      <c r="E113" s="250"/>
      <c r="F113" s="250"/>
      <c r="G113" s="250"/>
    </row>
    <row r="114" spans="1:7" ht="22.5" customHeight="1" x14ac:dyDescent="0.2">
      <c r="A114" s="247" t="s">
        <v>182</v>
      </c>
      <c r="B114" s="247"/>
      <c r="C114" s="247"/>
      <c r="D114" s="247"/>
      <c r="E114" s="247"/>
      <c r="F114" s="247"/>
      <c r="G114" s="75">
        <f>G112*G18</f>
        <v>119536.75218987575</v>
      </c>
    </row>
  </sheetData>
  <mergeCells count="120">
    <mergeCell ref="A1:G1"/>
    <mergeCell ref="A3:G3"/>
    <mergeCell ref="A5:G5"/>
    <mergeCell ref="A6:G6"/>
    <mergeCell ref="A8:G8"/>
    <mergeCell ref="A9:G9"/>
    <mergeCell ref="A23:F23"/>
    <mergeCell ref="E25:F25"/>
    <mergeCell ref="A27:F27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0:F50"/>
    <mergeCell ref="A51:F51"/>
    <mergeCell ref="D40:E40"/>
    <mergeCell ref="D41:E41"/>
    <mergeCell ref="D42:E42"/>
    <mergeCell ref="D43:E43"/>
    <mergeCell ref="A44:E44"/>
    <mergeCell ref="A45:G45"/>
    <mergeCell ref="B56:D56"/>
    <mergeCell ref="E56:F56"/>
    <mergeCell ref="B57:D57"/>
    <mergeCell ref="E57:F57"/>
    <mergeCell ref="B58:D58"/>
    <mergeCell ref="E58:F58"/>
    <mergeCell ref="A53:G53"/>
    <mergeCell ref="A54:A55"/>
    <mergeCell ref="B54:D54"/>
    <mergeCell ref="E54:F55"/>
    <mergeCell ref="G54:G55"/>
    <mergeCell ref="B55:C55"/>
    <mergeCell ref="B59:D59"/>
    <mergeCell ref="E59:F59"/>
    <mergeCell ref="A60:F60"/>
    <mergeCell ref="A62:G62"/>
    <mergeCell ref="A63:G63"/>
    <mergeCell ref="A64:A65"/>
    <mergeCell ref="B64:D64"/>
    <mergeCell ref="E64:F65"/>
    <mergeCell ref="G64:G65"/>
    <mergeCell ref="B65:D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4:F74"/>
    <mergeCell ref="A77:F77"/>
    <mergeCell ref="A78:G78"/>
    <mergeCell ref="A79:G79"/>
    <mergeCell ref="A83:F83"/>
    <mergeCell ref="A84:G84"/>
    <mergeCell ref="A70:A71"/>
    <mergeCell ref="B70:D70"/>
    <mergeCell ref="E70:F71"/>
    <mergeCell ref="G70:G71"/>
    <mergeCell ref="B71:D71"/>
    <mergeCell ref="A72:A73"/>
    <mergeCell ref="B72:D72"/>
    <mergeCell ref="E72:F73"/>
    <mergeCell ref="G72:G73"/>
    <mergeCell ref="B73:D73"/>
    <mergeCell ref="E91:F91"/>
    <mergeCell ref="E92:F92"/>
    <mergeCell ref="C93:D93"/>
    <mergeCell ref="E93:F93"/>
    <mergeCell ref="B94:F94"/>
    <mergeCell ref="A95:F95"/>
    <mergeCell ref="A85:G85"/>
    <mergeCell ref="B86:D86"/>
    <mergeCell ref="E86:F86"/>
    <mergeCell ref="B87:D87"/>
    <mergeCell ref="E87:F87"/>
    <mergeCell ref="A88:A94"/>
    <mergeCell ref="B88:B93"/>
    <mergeCell ref="E88:F88"/>
    <mergeCell ref="E89:F89"/>
    <mergeCell ref="E90:F90"/>
    <mergeCell ref="A114:F114"/>
    <mergeCell ref="A108:F108"/>
    <mergeCell ref="A109:F109"/>
    <mergeCell ref="A110:F110"/>
    <mergeCell ref="A111:F111"/>
    <mergeCell ref="A112:F112"/>
    <mergeCell ref="A113:G113"/>
    <mergeCell ref="A96:G96"/>
    <mergeCell ref="A97:G97"/>
    <mergeCell ref="A103:F103"/>
    <mergeCell ref="A105:F105"/>
    <mergeCell ref="A106:G106"/>
    <mergeCell ref="A107:G107"/>
  </mergeCells>
  <pageMargins left="0.23622047244094491" right="0.23622047244094491" top="0.55118110236220474" bottom="0.55118110236220474" header="0.31496062992125984" footer="0.31496062992125984"/>
  <pageSetup paperSize="9" scale="87" firstPageNumber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43C5-6610-45EC-84C6-E650FE9C230D}">
  <sheetPr>
    <pageSetUpPr fitToPage="1"/>
  </sheetPr>
  <dimension ref="A1:ALZ114"/>
  <sheetViews>
    <sheetView showGridLines="0" topLeftCell="A73" zoomScaleNormal="100" workbookViewId="0">
      <selection activeCell="E88" sqref="E88:F88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7" customWidth="1"/>
    <col min="1026" max="16384" width="9.140625" style="77"/>
  </cols>
  <sheetData>
    <row r="1" spans="1:7" ht="28.5" customHeight="1" x14ac:dyDescent="0.2">
      <c r="A1" s="298" t="s">
        <v>0</v>
      </c>
      <c r="B1" s="298"/>
      <c r="C1" s="298"/>
      <c r="D1" s="298"/>
      <c r="E1" s="298"/>
      <c r="F1" s="298"/>
      <c r="G1" s="298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299" t="s">
        <v>108</v>
      </c>
      <c r="B3" s="299"/>
      <c r="C3" s="299"/>
      <c r="D3" s="299"/>
      <c r="E3" s="299"/>
      <c r="F3" s="299"/>
      <c r="G3" s="299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291" t="s">
        <v>1</v>
      </c>
      <c r="B5" s="291"/>
      <c r="C5" s="291"/>
      <c r="D5" s="291"/>
      <c r="E5" s="291"/>
      <c r="F5" s="291"/>
      <c r="G5" s="291"/>
    </row>
    <row r="6" spans="1:7" ht="21.75" customHeight="1" x14ac:dyDescent="0.2">
      <c r="A6" s="291" t="s">
        <v>2</v>
      </c>
      <c r="B6" s="291"/>
      <c r="C6" s="291"/>
      <c r="D6" s="291"/>
      <c r="E6" s="291"/>
      <c r="F6" s="291"/>
      <c r="G6" s="291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00" t="s">
        <v>3</v>
      </c>
      <c r="B8" s="300"/>
      <c r="C8" s="300"/>
      <c r="D8" s="300"/>
      <c r="E8" s="300"/>
      <c r="F8" s="300"/>
      <c r="G8" s="300"/>
    </row>
    <row r="9" spans="1:7" s="6" customFormat="1" ht="3.75" customHeight="1" x14ac:dyDescent="0.2">
      <c r="A9" s="301"/>
      <c r="B9" s="301"/>
      <c r="C9" s="301"/>
      <c r="D9" s="301"/>
      <c r="E9" s="301"/>
      <c r="F9" s="301"/>
      <c r="G9" s="301"/>
    </row>
    <row r="10" spans="1:7" s="6" customFormat="1" ht="21.75" customHeight="1" x14ac:dyDescent="0.25">
      <c r="A10" s="259" t="s">
        <v>4</v>
      </c>
      <c r="B10" s="259"/>
      <c r="C10" s="259"/>
      <c r="D10" s="259"/>
      <c r="E10" s="259"/>
      <c r="F10" s="259"/>
      <c r="G10" s="259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121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109</v>
      </c>
    </row>
    <row r="13" spans="1:7" s="6" customFormat="1" ht="34.5" customHeight="1" x14ac:dyDescent="0.25">
      <c r="A13" s="11" t="s">
        <v>9</v>
      </c>
      <c r="B13" s="295" t="s">
        <v>10</v>
      </c>
      <c r="C13" s="295"/>
      <c r="D13" s="295"/>
      <c r="E13" s="16"/>
      <c r="F13" s="17"/>
      <c r="G13" s="15" t="s">
        <v>112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110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111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295" t="s">
        <v>19</v>
      </c>
      <c r="C17" s="296"/>
      <c r="D17" s="297" t="s">
        <v>113</v>
      </c>
      <c r="E17" s="297"/>
      <c r="F17" s="22"/>
      <c r="G17" s="24">
        <v>1477.98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295" t="s">
        <v>26</v>
      </c>
      <c r="C20" s="295"/>
      <c r="D20" s="295"/>
      <c r="E20" s="16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260" t="s">
        <v>27</v>
      </c>
      <c r="B22" s="260"/>
      <c r="C22" s="260"/>
      <c r="D22" s="260"/>
      <c r="E22" s="260"/>
      <c r="F22" s="260"/>
      <c r="G22" s="260"/>
    </row>
    <row r="23" spans="1:7" s="1" customFormat="1" ht="19.5" customHeight="1" x14ac:dyDescent="0.25">
      <c r="A23" s="302"/>
      <c r="B23" s="302"/>
      <c r="C23" s="302"/>
      <c r="D23" s="302"/>
      <c r="E23" s="302"/>
      <c r="F23" s="302"/>
      <c r="G23" s="28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32">
        <f>G17</f>
        <v>1477.98</v>
      </c>
    </row>
    <row r="25" spans="1:7" s="1" customFormat="1" ht="30" customHeight="1" x14ac:dyDescent="0.25">
      <c r="A25" s="29" t="s">
        <v>7</v>
      </c>
      <c r="B25" s="33" t="s">
        <v>114</v>
      </c>
      <c r="C25" s="34"/>
      <c r="D25" s="35" t="s">
        <v>380</v>
      </c>
      <c r="E25" s="255">
        <v>0.4</v>
      </c>
      <c r="F25" s="255"/>
      <c r="G25" s="32">
        <f>(1412*E25)</f>
        <v>564.80000000000007</v>
      </c>
    </row>
    <row r="26" spans="1:7" s="1" customFormat="1" ht="30" customHeight="1" x14ac:dyDescent="0.25">
      <c r="A26" s="29" t="s">
        <v>9</v>
      </c>
      <c r="B26" s="33" t="s">
        <v>115</v>
      </c>
      <c r="C26" s="34"/>
      <c r="D26" s="36"/>
      <c r="E26" s="36"/>
      <c r="F26" s="31"/>
      <c r="G26" s="32"/>
    </row>
    <row r="27" spans="1:7" s="1" customFormat="1" ht="21.75" customHeight="1" x14ac:dyDescent="0.25">
      <c r="A27" s="259" t="s">
        <v>30</v>
      </c>
      <c r="B27" s="259"/>
      <c r="C27" s="259"/>
      <c r="D27" s="259"/>
      <c r="E27" s="259"/>
      <c r="F27" s="259"/>
      <c r="G27" s="37">
        <f>SUM(G24:G26)</f>
        <v>2042.7800000000002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260" t="s">
        <v>31</v>
      </c>
      <c r="B29" s="260"/>
      <c r="C29" s="260"/>
      <c r="D29" s="260"/>
      <c r="E29" s="260"/>
      <c r="F29" s="260"/>
      <c r="G29" s="260"/>
    </row>
    <row r="30" spans="1:7" s="1" customFormat="1" ht="19.5" customHeight="1" x14ac:dyDescent="0.25">
      <c r="A30" s="270" t="s">
        <v>32</v>
      </c>
      <c r="B30" s="270"/>
      <c r="C30" s="270"/>
      <c r="D30" s="270"/>
      <c r="E30" s="270"/>
      <c r="F30" s="270"/>
      <c r="G30" s="270"/>
    </row>
    <row r="31" spans="1:7" s="1" customFormat="1" ht="19.5" customHeight="1" x14ac:dyDescent="0.25">
      <c r="A31" s="258"/>
      <c r="B31" s="258"/>
      <c r="C31" s="258"/>
      <c r="D31" s="258"/>
      <c r="E31" s="294" t="s">
        <v>33</v>
      </c>
      <c r="F31" s="294"/>
      <c r="G31" s="28" t="s">
        <v>28</v>
      </c>
    </row>
    <row r="32" spans="1:7" ht="19.5" customHeight="1" x14ac:dyDescent="0.2">
      <c r="A32" s="38" t="s">
        <v>5</v>
      </c>
      <c r="B32" s="291" t="s">
        <v>34</v>
      </c>
      <c r="C32" s="291"/>
      <c r="D32" s="291"/>
      <c r="E32" s="255">
        <v>8.3299999999999999E-2</v>
      </c>
      <c r="F32" s="255"/>
      <c r="G32" s="39">
        <f>ROUND($E$32*$G$27,2)</f>
        <v>170.16</v>
      </c>
    </row>
    <row r="33" spans="1:7" ht="49.5" customHeight="1" x14ac:dyDescent="0.2">
      <c r="A33" s="38" t="s">
        <v>7</v>
      </c>
      <c r="B33" s="275" t="s">
        <v>35</v>
      </c>
      <c r="C33" s="291"/>
      <c r="D33" s="291"/>
      <c r="E33" s="292">
        <v>2.7799999999999998E-2</v>
      </c>
      <c r="F33" s="292"/>
      <c r="G33" s="39">
        <f>ROUND($E$33*$G$27,2)</f>
        <v>56.79</v>
      </c>
    </row>
    <row r="34" spans="1:7" ht="19.5" customHeight="1" x14ac:dyDescent="0.2">
      <c r="A34" s="270" t="s">
        <v>36</v>
      </c>
      <c r="B34" s="270"/>
      <c r="C34" s="270"/>
      <c r="D34" s="270"/>
      <c r="E34" s="293">
        <f>SUM(E32:E33)</f>
        <v>0.1111</v>
      </c>
      <c r="F34" s="293"/>
      <c r="G34" s="40">
        <f>SUM(G32:G33)</f>
        <v>226.95</v>
      </c>
    </row>
    <row r="35" spans="1:7" s="41" customFormat="1" ht="19.5" customHeight="1" x14ac:dyDescent="0.25">
      <c r="A35" s="270" t="s">
        <v>37</v>
      </c>
      <c r="B35" s="270"/>
      <c r="C35" s="270"/>
      <c r="D35" s="270"/>
      <c r="E35" s="270"/>
      <c r="F35" s="270"/>
      <c r="G35" s="270"/>
    </row>
    <row r="36" spans="1:7" s="41" customFormat="1" ht="39" customHeight="1" x14ac:dyDescent="0.25">
      <c r="A36" s="38" t="s">
        <v>5</v>
      </c>
      <c r="B36" s="33" t="s">
        <v>38</v>
      </c>
      <c r="C36" s="42"/>
      <c r="D36" s="286" t="s">
        <v>39</v>
      </c>
      <c r="E36" s="286"/>
      <c r="F36" s="43">
        <v>0.2</v>
      </c>
      <c r="G36" s="39">
        <f>ROUND(F36*($G$27+$G$34),2)</f>
        <v>453.95</v>
      </c>
    </row>
    <row r="37" spans="1:7" s="41" customFormat="1" ht="39" customHeight="1" x14ac:dyDescent="0.25">
      <c r="A37" s="38" t="s">
        <v>7</v>
      </c>
      <c r="B37" s="33" t="s">
        <v>40</v>
      </c>
      <c r="C37" s="42"/>
      <c r="D37" s="286" t="s">
        <v>41</v>
      </c>
      <c r="E37" s="286"/>
      <c r="F37" s="44">
        <v>2.5000000000000001E-2</v>
      </c>
      <c r="G37" s="39">
        <f t="shared" ref="G37:G43" si="0">ROUND(F37*($G$27+$G$34),2)</f>
        <v>56.74</v>
      </c>
    </row>
    <row r="38" spans="1:7" s="41" customFormat="1" ht="62.25" customHeight="1" x14ac:dyDescent="0.25">
      <c r="A38" s="38" t="s">
        <v>9</v>
      </c>
      <c r="B38" s="284" t="s">
        <v>42</v>
      </c>
      <c r="C38" s="290"/>
      <c r="D38" s="286" t="s">
        <v>43</v>
      </c>
      <c r="E38" s="286"/>
      <c r="F38" s="45">
        <v>0.06</v>
      </c>
      <c r="G38" s="39">
        <f t="shared" si="0"/>
        <v>136.18</v>
      </c>
    </row>
    <row r="39" spans="1:7" s="41" customFormat="1" ht="48" customHeight="1" x14ac:dyDescent="0.25">
      <c r="A39" s="38" t="s">
        <v>11</v>
      </c>
      <c r="B39" s="33" t="s">
        <v>44</v>
      </c>
      <c r="C39" s="42"/>
      <c r="D39" s="286" t="s">
        <v>41</v>
      </c>
      <c r="E39" s="286"/>
      <c r="F39" s="44">
        <v>1.4999999999999999E-2</v>
      </c>
      <c r="G39" s="39">
        <f t="shared" si="0"/>
        <v>34.049999999999997</v>
      </c>
    </row>
    <row r="40" spans="1:7" s="41" customFormat="1" ht="43.5" customHeight="1" x14ac:dyDescent="0.25">
      <c r="A40" s="38" t="s">
        <v>13</v>
      </c>
      <c r="B40" s="33" t="s">
        <v>45</v>
      </c>
      <c r="C40" s="42"/>
      <c r="D40" s="286" t="s">
        <v>41</v>
      </c>
      <c r="E40" s="286"/>
      <c r="F40" s="44">
        <v>0.01</v>
      </c>
      <c r="G40" s="39">
        <f t="shared" si="0"/>
        <v>22.7</v>
      </c>
    </row>
    <row r="41" spans="1:7" s="41" customFormat="1" ht="42.75" customHeight="1" x14ac:dyDescent="0.25">
      <c r="A41" s="38" t="s">
        <v>15</v>
      </c>
      <c r="B41" s="33" t="s">
        <v>46</v>
      </c>
      <c r="C41" s="42"/>
      <c r="D41" s="286" t="s">
        <v>41</v>
      </c>
      <c r="E41" s="286"/>
      <c r="F41" s="44">
        <v>6.0000000000000001E-3</v>
      </c>
      <c r="G41" s="39">
        <f t="shared" si="0"/>
        <v>13.62</v>
      </c>
    </row>
    <row r="42" spans="1:7" s="41" customFormat="1" ht="46.5" customHeight="1" x14ac:dyDescent="0.25">
      <c r="A42" s="38" t="s">
        <v>18</v>
      </c>
      <c r="B42" s="33" t="s">
        <v>47</v>
      </c>
      <c r="C42" s="42"/>
      <c r="D42" s="286" t="s">
        <v>41</v>
      </c>
      <c r="E42" s="286"/>
      <c r="F42" s="44">
        <v>2E-3</v>
      </c>
      <c r="G42" s="39">
        <f t="shared" si="0"/>
        <v>4.54</v>
      </c>
    </row>
    <row r="43" spans="1:7" s="41" customFormat="1" ht="48" customHeight="1" x14ac:dyDescent="0.25">
      <c r="A43" s="38" t="s">
        <v>20</v>
      </c>
      <c r="B43" s="33" t="s">
        <v>48</v>
      </c>
      <c r="C43" s="42"/>
      <c r="D43" s="286" t="s">
        <v>41</v>
      </c>
      <c r="E43" s="286"/>
      <c r="F43" s="44">
        <v>0.08</v>
      </c>
      <c r="G43" s="39">
        <f t="shared" si="0"/>
        <v>181.58</v>
      </c>
    </row>
    <row r="44" spans="1:7" s="41" customFormat="1" ht="19.5" customHeight="1" x14ac:dyDescent="0.25">
      <c r="A44" s="287" t="s">
        <v>49</v>
      </c>
      <c r="B44" s="288"/>
      <c r="C44" s="288"/>
      <c r="D44" s="288"/>
      <c r="E44" s="289"/>
      <c r="F44" s="46">
        <f>SUM(F36:F43)</f>
        <v>0.39800000000000008</v>
      </c>
      <c r="G44" s="47">
        <f>SUM(G36:G43)</f>
        <v>903.36</v>
      </c>
    </row>
    <row r="45" spans="1:7" ht="19.5" customHeight="1" x14ac:dyDescent="0.2">
      <c r="A45" s="270" t="s">
        <v>50</v>
      </c>
      <c r="B45" s="270"/>
      <c r="C45" s="270"/>
      <c r="D45" s="270"/>
      <c r="E45" s="270"/>
      <c r="F45" s="270"/>
      <c r="G45" s="270"/>
    </row>
    <row r="46" spans="1:7" ht="57.75" customHeight="1" x14ac:dyDescent="0.2">
      <c r="A46" s="48" t="s">
        <v>5</v>
      </c>
      <c r="B46" s="256" t="s">
        <v>51</v>
      </c>
      <c r="C46" s="257"/>
      <c r="D46" s="49" t="s">
        <v>116</v>
      </c>
      <c r="E46" s="39">
        <v>597.96</v>
      </c>
      <c r="F46" s="50">
        <v>0.01</v>
      </c>
      <c r="G46" s="39">
        <f>ROUND((E46)*(1-F46),2)</f>
        <v>591.98</v>
      </c>
    </row>
    <row r="47" spans="1:7" ht="70.5" customHeight="1" x14ac:dyDescent="0.2">
      <c r="A47" s="38" t="s">
        <v>7</v>
      </c>
      <c r="B47" s="256" t="s">
        <v>52</v>
      </c>
      <c r="C47" s="257"/>
      <c r="D47" s="49" t="s">
        <v>117</v>
      </c>
      <c r="E47" s="39">
        <v>3.85</v>
      </c>
      <c r="F47" s="50">
        <v>0.06</v>
      </c>
      <c r="G47" s="39">
        <f>ROUND((E47*2*22)-(0.06*$G$24),2)</f>
        <v>80.72</v>
      </c>
    </row>
    <row r="48" spans="1:7" ht="70.5" customHeight="1" x14ac:dyDescent="0.2">
      <c r="A48" s="38" t="s">
        <v>9</v>
      </c>
      <c r="B48" s="261" t="s">
        <v>118</v>
      </c>
      <c r="C48" s="263"/>
      <c r="D48" s="49" t="s">
        <v>119</v>
      </c>
      <c r="E48" s="39">
        <v>21.88</v>
      </c>
      <c r="F48" s="51"/>
      <c r="G48" s="39">
        <f>E48</f>
        <v>21.88</v>
      </c>
    </row>
    <row r="49" spans="1:9" ht="40.5" customHeight="1" x14ac:dyDescent="0.2">
      <c r="A49" s="38" t="s">
        <v>11</v>
      </c>
      <c r="B49" s="261" t="s">
        <v>115</v>
      </c>
      <c r="C49" s="263"/>
      <c r="D49" s="49"/>
      <c r="E49" s="39"/>
      <c r="F49" s="51"/>
      <c r="G49" s="39">
        <f>E49</f>
        <v>0</v>
      </c>
    </row>
    <row r="50" spans="1:9" ht="31.5" customHeight="1" x14ac:dyDescent="0.2">
      <c r="A50" s="270" t="s">
        <v>53</v>
      </c>
      <c r="B50" s="270"/>
      <c r="C50" s="270"/>
      <c r="D50" s="270"/>
      <c r="E50" s="270"/>
      <c r="F50" s="270"/>
      <c r="G50" s="40">
        <f>SUM(G46:G49)</f>
        <v>694.58</v>
      </c>
    </row>
    <row r="51" spans="1:9" ht="31.5" customHeight="1" x14ac:dyDescent="0.2">
      <c r="A51" s="271" t="s">
        <v>54</v>
      </c>
      <c r="B51" s="271"/>
      <c r="C51" s="271"/>
      <c r="D51" s="271"/>
      <c r="E51" s="271"/>
      <c r="F51" s="271"/>
      <c r="G51" s="52">
        <f>SUM(G50,G44,G34)</f>
        <v>1824.89</v>
      </c>
    </row>
    <row r="52" spans="1:9" ht="3" customHeight="1" x14ac:dyDescent="0.2">
      <c r="A52" s="26"/>
      <c r="B52" s="27"/>
      <c r="C52" s="27"/>
      <c r="D52" s="27"/>
      <c r="E52" s="27"/>
      <c r="F52" s="27"/>
      <c r="G52" s="27"/>
    </row>
    <row r="53" spans="1:9" ht="21.75" customHeight="1" x14ac:dyDescent="0.2">
      <c r="A53" s="260" t="s">
        <v>55</v>
      </c>
      <c r="B53" s="260"/>
      <c r="C53" s="260"/>
      <c r="D53" s="260"/>
      <c r="E53" s="260"/>
      <c r="F53" s="260"/>
      <c r="G53" s="260"/>
    </row>
    <row r="54" spans="1:9" ht="80.25" customHeight="1" x14ac:dyDescent="0.2">
      <c r="A54" s="266" t="s">
        <v>5</v>
      </c>
      <c r="B54" s="275" t="s">
        <v>56</v>
      </c>
      <c r="C54" s="275"/>
      <c r="D54" s="275"/>
      <c r="E54" s="255">
        <f>(1/12)*D55</f>
        <v>4.1666666666666666E-3</v>
      </c>
      <c r="F54" s="255"/>
      <c r="G54" s="280">
        <f>ROUND($G$27+$G$34,0)*E54</f>
        <v>9.4583333333333339</v>
      </c>
    </row>
    <row r="55" spans="1:9" ht="77.25" customHeight="1" x14ac:dyDescent="0.2">
      <c r="A55" s="266"/>
      <c r="B55" s="285" t="s">
        <v>57</v>
      </c>
      <c r="C55" s="285"/>
      <c r="D55" s="53">
        <v>0.05</v>
      </c>
      <c r="E55" s="255"/>
      <c r="F55" s="255"/>
      <c r="G55" s="280"/>
    </row>
    <row r="56" spans="1:9" ht="42.75" customHeight="1" x14ac:dyDescent="0.2">
      <c r="A56" s="38" t="s">
        <v>7</v>
      </c>
      <c r="B56" s="275" t="s">
        <v>58</v>
      </c>
      <c r="C56" s="275"/>
      <c r="D56" s="275"/>
      <c r="E56" s="255">
        <v>0.08</v>
      </c>
      <c r="F56" s="255"/>
      <c r="G56" s="39">
        <f>ROUND(G54*E56,2)</f>
        <v>0.76</v>
      </c>
      <c r="H56" s="54"/>
      <c r="I56" s="54"/>
    </row>
    <row r="57" spans="1:9" ht="53.25" customHeight="1" x14ac:dyDescent="0.2">
      <c r="A57" s="38" t="s">
        <v>9</v>
      </c>
      <c r="B57" s="256" t="s">
        <v>59</v>
      </c>
      <c r="C57" s="284"/>
      <c r="D57" s="257"/>
      <c r="E57" s="255">
        <f>(7/30)/12</f>
        <v>1.9444444444444445E-2</v>
      </c>
      <c r="F57" s="255"/>
      <c r="G57" s="39">
        <f>ROUND((($G$27+$G$34)*E57),2)</f>
        <v>44.13</v>
      </c>
    </row>
    <row r="58" spans="1:9" ht="37.5" customHeight="1" x14ac:dyDescent="0.2">
      <c r="A58" s="38" t="s">
        <v>11</v>
      </c>
      <c r="B58" s="275" t="s">
        <v>60</v>
      </c>
      <c r="C58" s="275"/>
      <c r="D58" s="275"/>
      <c r="E58" s="255">
        <f>F44</f>
        <v>0.39800000000000008</v>
      </c>
      <c r="F58" s="255"/>
      <c r="G58" s="39">
        <f>ROUND(E58*G57,2)</f>
        <v>17.559999999999999</v>
      </c>
    </row>
    <row r="59" spans="1:9" ht="64.5" customHeight="1" x14ac:dyDescent="0.2">
      <c r="A59" s="38" t="s">
        <v>13</v>
      </c>
      <c r="B59" s="275" t="s">
        <v>61</v>
      </c>
      <c r="C59" s="275"/>
      <c r="D59" s="275"/>
      <c r="E59" s="255">
        <v>0.04</v>
      </c>
      <c r="F59" s="255"/>
      <c r="G59" s="39">
        <f>ROUND(E59*($G$27+$G$34),2)</f>
        <v>90.79</v>
      </c>
    </row>
    <row r="60" spans="1:9" ht="21.75" customHeight="1" x14ac:dyDescent="0.2">
      <c r="A60" s="259" t="s">
        <v>62</v>
      </c>
      <c r="B60" s="259"/>
      <c r="C60" s="259"/>
      <c r="D60" s="259"/>
      <c r="E60" s="259"/>
      <c r="F60" s="259"/>
      <c r="G60" s="52">
        <f>ROUND(SUM(G54:G59),2)</f>
        <v>162.69999999999999</v>
      </c>
    </row>
    <row r="61" spans="1:9" ht="3.75" customHeight="1" x14ac:dyDescent="0.2">
      <c r="A61" s="55"/>
      <c r="B61" s="56"/>
      <c r="C61" s="56"/>
      <c r="D61" s="56"/>
      <c r="E61" s="56"/>
      <c r="F61" s="56"/>
      <c r="G61" s="56"/>
    </row>
    <row r="62" spans="1:9" ht="21.75" customHeight="1" x14ac:dyDescent="0.2">
      <c r="A62" s="260" t="s">
        <v>63</v>
      </c>
      <c r="B62" s="260"/>
      <c r="C62" s="260"/>
      <c r="D62" s="260"/>
      <c r="E62" s="260"/>
      <c r="F62" s="260"/>
      <c r="G62" s="260"/>
    </row>
    <row r="63" spans="1:9" ht="21.75" customHeight="1" x14ac:dyDescent="0.2">
      <c r="A63" s="270" t="s">
        <v>64</v>
      </c>
      <c r="B63" s="270"/>
      <c r="C63" s="270"/>
      <c r="D63" s="270"/>
      <c r="E63" s="270"/>
      <c r="F63" s="270"/>
      <c r="G63" s="270"/>
    </row>
    <row r="64" spans="1:9" ht="21.75" customHeight="1" x14ac:dyDescent="0.2">
      <c r="A64" s="266" t="s">
        <v>5</v>
      </c>
      <c r="B64" s="275" t="s">
        <v>65</v>
      </c>
      <c r="C64" s="275"/>
      <c r="D64" s="275"/>
      <c r="E64" s="276">
        <v>8.3299999999999999E-2</v>
      </c>
      <c r="F64" s="277"/>
      <c r="G64" s="280">
        <f>E64*($G$27+$G$51+$G$60)</f>
        <v>335.72982100000002</v>
      </c>
    </row>
    <row r="65" spans="1:8" ht="39.75" customHeight="1" x14ac:dyDescent="0.2">
      <c r="A65" s="266"/>
      <c r="B65" s="281" t="s">
        <v>66</v>
      </c>
      <c r="C65" s="282"/>
      <c r="D65" s="283"/>
      <c r="E65" s="278"/>
      <c r="F65" s="279"/>
      <c r="G65" s="280"/>
    </row>
    <row r="66" spans="1:8" x14ac:dyDescent="0.2">
      <c r="A66" s="266" t="s">
        <v>7</v>
      </c>
      <c r="B66" s="275" t="s">
        <v>67</v>
      </c>
      <c r="C66" s="275"/>
      <c r="D66" s="275"/>
      <c r="E66" s="276">
        <f>(6/360)</f>
        <v>1.6666666666666666E-2</v>
      </c>
      <c r="F66" s="277"/>
      <c r="G66" s="280">
        <f>E66*($G$27+$G$34+$G$44)</f>
        <v>52.884833333333333</v>
      </c>
    </row>
    <row r="67" spans="1:8" ht="78" customHeight="1" x14ac:dyDescent="0.2">
      <c r="A67" s="266"/>
      <c r="B67" s="281" t="s">
        <v>68</v>
      </c>
      <c r="C67" s="282"/>
      <c r="D67" s="283"/>
      <c r="E67" s="278"/>
      <c r="F67" s="279"/>
      <c r="G67" s="280"/>
    </row>
    <row r="68" spans="1:8" x14ac:dyDescent="0.2">
      <c r="A68" s="266" t="s">
        <v>9</v>
      </c>
      <c r="B68" s="275" t="s">
        <v>69</v>
      </c>
      <c r="C68" s="275"/>
      <c r="D68" s="275"/>
      <c r="E68" s="276">
        <f>((5/360)*(1.399%))</f>
        <v>1.9430555555555556E-4</v>
      </c>
      <c r="F68" s="277"/>
      <c r="G68" s="280">
        <f>E68*($G$27+$G$34+$G$44)</f>
        <v>0.61654901527777783</v>
      </c>
    </row>
    <row r="69" spans="1:8" ht="57" customHeight="1" x14ac:dyDescent="0.2">
      <c r="A69" s="266"/>
      <c r="B69" s="281" t="s">
        <v>70</v>
      </c>
      <c r="C69" s="282"/>
      <c r="D69" s="283"/>
      <c r="E69" s="278"/>
      <c r="F69" s="279"/>
      <c r="G69" s="280"/>
    </row>
    <row r="70" spans="1:8" x14ac:dyDescent="0.2">
      <c r="A70" s="266" t="s">
        <v>11</v>
      </c>
      <c r="B70" s="275" t="s">
        <v>71</v>
      </c>
      <c r="C70" s="275"/>
      <c r="D70" s="275"/>
      <c r="E70" s="276">
        <f>((15/360)*(2.16%))</f>
        <v>8.9999999999999998E-4</v>
      </c>
      <c r="F70" s="277"/>
      <c r="G70" s="280">
        <f>E70*($G$27+$G$34+$G$44)</f>
        <v>2.8557809999999999</v>
      </c>
    </row>
    <row r="71" spans="1:8" ht="63" customHeight="1" x14ac:dyDescent="0.2">
      <c r="A71" s="266"/>
      <c r="B71" s="281" t="s">
        <v>72</v>
      </c>
      <c r="C71" s="282"/>
      <c r="D71" s="283"/>
      <c r="E71" s="278"/>
      <c r="F71" s="279"/>
      <c r="G71" s="280"/>
    </row>
    <row r="72" spans="1:8" x14ac:dyDescent="0.2">
      <c r="A72" s="266" t="s">
        <v>13</v>
      </c>
      <c r="B72" s="275" t="s">
        <v>73</v>
      </c>
      <c r="C72" s="275"/>
      <c r="D72" s="275"/>
      <c r="E72" s="276">
        <f>((50%)*(1.99%)*(4/12)*(8.93%+8.93%+2.98%))</f>
        <v>6.9119333333333326E-4</v>
      </c>
      <c r="F72" s="277"/>
      <c r="G72" s="280">
        <f>(E72*G27)</f>
        <v>1.4119559174666667</v>
      </c>
    </row>
    <row r="73" spans="1:8" ht="54.75" customHeight="1" x14ac:dyDescent="0.2">
      <c r="A73" s="266"/>
      <c r="B73" s="281" t="s">
        <v>74</v>
      </c>
      <c r="C73" s="282"/>
      <c r="D73" s="283"/>
      <c r="E73" s="278"/>
      <c r="F73" s="279"/>
      <c r="G73" s="280"/>
    </row>
    <row r="74" spans="1:8" ht="19.5" customHeight="1" x14ac:dyDescent="0.2">
      <c r="A74" s="270" t="s">
        <v>75</v>
      </c>
      <c r="B74" s="270"/>
      <c r="C74" s="270"/>
      <c r="D74" s="270"/>
      <c r="E74" s="270"/>
      <c r="F74" s="270"/>
      <c r="G74" s="47">
        <f>SUM(G64:G73)</f>
        <v>393.4989402660778</v>
      </c>
    </row>
    <row r="75" spans="1:8" ht="3.75" customHeight="1" x14ac:dyDescent="0.2">
      <c r="A75" s="57"/>
      <c r="B75" s="58"/>
      <c r="C75" s="58"/>
      <c r="D75" s="58"/>
      <c r="E75" s="58"/>
      <c r="F75" s="58"/>
      <c r="G75" s="58"/>
    </row>
    <row r="76" spans="1:8" ht="3.75" customHeight="1" x14ac:dyDescent="0.2">
      <c r="A76" s="59"/>
      <c r="B76" s="60"/>
      <c r="C76" s="60"/>
      <c r="D76" s="60"/>
      <c r="E76" s="60"/>
      <c r="F76" s="60"/>
      <c r="G76" s="60"/>
    </row>
    <row r="77" spans="1:8" ht="30.75" customHeight="1" x14ac:dyDescent="0.2">
      <c r="A77" s="271" t="s">
        <v>76</v>
      </c>
      <c r="B77" s="271"/>
      <c r="C77" s="271"/>
      <c r="D77" s="271"/>
      <c r="E77" s="271"/>
      <c r="F77" s="271"/>
      <c r="G77" s="61">
        <f>G74</f>
        <v>393.4989402660778</v>
      </c>
    </row>
    <row r="78" spans="1:8" ht="3.75" customHeight="1" x14ac:dyDescent="0.2">
      <c r="A78" s="272"/>
      <c r="B78" s="272"/>
      <c r="C78" s="272"/>
      <c r="D78" s="272"/>
      <c r="E78" s="272"/>
      <c r="F78" s="272"/>
      <c r="G78" s="272"/>
    </row>
    <row r="79" spans="1:8" ht="21.75" customHeight="1" x14ac:dyDescent="0.2">
      <c r="A79" s="260" t="s">
        <v>77</v>
      </c>
      <c r="B79" s="260"/>
      <c r="C79" s="260"/>
      <c r="D79" s="260"/>
      <c r="E79" s="260"/>
      <c r="F79" s="260"/>
      <c r="G79" s="260"/>
    </row>
    <row r="80" spans="1:8" ht="19.5" customHeight="1" x14ac:dyDescent="0.2">
      <c r="A80" s="29" t="s">
        <v>5</v>
      </c>
      <c r="B80" s="30" t="s">
        <v>78</v>
      </c>
      <c r="C80" s="31"/>
      <c r="D80" s="31"/>
      <c r="E80" s="31"/>
      <c r="F80" s="31"/>
      <c r="G80" s="39" cm="1">
        <f t="array" ref="G80:H80">'Insumos Diversos'!J101:K101</f>
        <v>47</v>
      </c>
      <c r="H80" s="1">
        <v>0</v>
      </c>
    </row>
    <row r="81" spans="1:7" ht="19.5" customHeight="1" x14ac:dyDescent="0.2">
      <c r="A81" s="62" t="s">
        <v>7</v>
      </c>
      <c r="B81" s="30" t="s">
        <v>317</v>
      </c>
      <c r="C81" s="31"/>
      <c r="D81" s="31"/>
      <c r="E81" s="31"/>
      <c r="F81" s="31"/>
      <c r="G81" s="39">
        <f>'Insumos Diversos'!J51</f>
        <v>384</v>
      </c>
    </row>
    <row r="82" spans="1:7" ht="19.5" customHeight="1" x14ac:dyDescent="0.2">
      <c r="A82" s="63" t="s">
        <v>9</v>
      </c>
      <c r="B82" s="30" t="s">
        <v>79</v>
      </c>
      <c r="C82" s="31"/>
      <c r="D82" s="31"/>
      <c r="E82" s="31"/>
      <c r="F82" s="31"/>
      <c r="G82" s="39">
        <f>'Insumos Diversos'!J85</f>
        <v>2.4700000000000002</v>
      </c>
    </row>
    <row r="83" spans="1:7" ht="21.75" customHeight="1" x14ac:dyDescent="0.2">
      <c r="A83" s="273" t="s">
        <v>80</v>
      </c>
      <c r="B83" s="273"/>
      <c r="C83" s="273"/>
      <c r="D83" s="273"/>
      <c r="E83" s="273"/>
      <c r="F83" s="273"/>
      <c r="G83" s="37">
        <f>SUM(G80:G82)</f>
        <v>433.47</v>
      </c>
    </row>
    <row r="84" spans="1:7" ht="3.75" customHeight="1" x14ac:dyDescent="0.2">
      <c r="A84" s="274"/>
      <c r="B84" s="274"/>
      <c r="C84" s="274"/>
      <c r="D84" s="274"/>
      <c r="E84" s="274"/>
      <c r="F84" s="274"/>
      <c r="G84" s="274"/>
    </row>
    <row r="85" spans="1:7" ht="23.25" customHeight="1" x14ac:dyDescent="0.2">
      <c r="A85" s="260" t="s">
        <v>81</v>
      </c>
      <c r="B85" s="260"/>
      <c r="C85" s="260"/>
      <c r="D85" s="260"/>
      <c r="E85" s="260"/>
      <c r="F85" s="260"/>
      <c r="G85" s="260"/>
    </row>
    <row r="86" spans="1:7" ht="19.5" customHeight="1" x14ac:dyDescent="0.2">
      <c r="A86" s="38" t="s">
        <v>5</v>
      </c>
      <c r="B86" s="261" t="s">
        <v>82</v>
      </c>
      <c r="C86" s="262"/>
      <c r="D86" s="263"/>
      <c r="E86" s="264">
        <v>0.03</v>
      </c>
      <c r="F86" s="265"/>
      <c r="G86" s="39">
        <f>ROUND((G103)*E86,2)</f>
        <v>145.72</v>
      </c>
    </row>
    <row r="87" spans="1:7" ht="19.5" customHeight="1" x14ac:dyDescent="0.2">
      <c r="A87" s="38" t="s">
        <v>7</v>
      </c>
      <c r="B87" s="261" t="s">
        <v>83</v>
      </c>
      <c r="C87" s="262"/>
      <c r="D87" s="263"/>
      <c r="E87" s="264">
        <v>6.7900000000000002E-2</v>
      </c>
      <c r="F87" s="265"/>
      <c r="G87" s="39">
        <f>ROUND((G103+$G$86)*E87,2)</f>
        <v>339.71</v>
      </c>
    </row>
    <row r="88" spans="1:7" ht="19.5" customHeight="1" x14ac:dyDescent="0.2">
      <c r="A88" s="266" t="s">
        <v>9</v>
      </c>
      <c r="B88" s="267" t="s">
        <v>84</v>
      </c>
      <c r="C88" s="64"/>
      <c r="D88" s="65"/>
      <c r="E88" s="268">
        <f>SUM(E89:F93)</f>
        <v>0.14250000000000002</v>
      </c>
      <c r="F88" s="269"/>
      <c r="G88" s="66"/>
    </row>
    <row r="89" spans="1:7" ht="19.5" customHeight="1" x14ac:dyDescent="0.2">
      <c r="A89" s="266"/>
      <c r="B89" s="267"/>
      <c r="C89" s="67" t="s">
        <v>85</v>
      </c>
      <c r="D89" s="68" t="s">
        <v>86</v>
      </c>
      <c r="E89" s="255">
        <v>1.6500000000000001E-2</v>
      </c>
      <c r="F89" s="255"/>
      <c r="G89" s="39">
        <f>ROUND((E89)*($G$105),2)</f>
        <v>102.81</v>
      </c>
    </row>
    <row r="90" spans="1:7" ht="19.5" customHeight="1" x14ac:dyDescent="0.2">
      <c r="A90" s="266"/>
      <c r="B90" s="267"/>
      <c r="C90" s="69"/>
      <c r="D90" s="68" t="s">
        <v>87</v>
      </c>
      <c r="E90" s="255">
        <v>7.5999999999999998E-2</v>
      </c>
      <c r="F90" s="255"/>
      <c r="G90" s="39">
        <f>ROUND((E90)*($G$105),2)</f>
        <v>473.53</v>
      </c>
    </row>
    <row r="91" spans="1:7" ht="19.5" customHeight="1" x14ac:dyDescent="0.2">
      <c r="A91" s="266"/>
      <c r="B91" s="267"/>
      <c r="C91" s="70"/>
      <c r="D91" s="68" t="s">
        <v>88</v>
      </c>
      <c r="E91" s="255"/>
      <c r="F91" s="255"/>
      <c r="G91" s="39">
        <f>ROUND((E91)*($G$105),2)</f>
        <v>0</v>
      </c>
    </row>
    <row r="92" spans="1:7" ht="77.25" customHeight="1" x14ac:dyDescent="0.2">
      <c r="A92" s="266"/>
      <c r="B92" s="267"/>
      <c r="C92" s="71" t="s">
        <v>120</v>
      </c>
      <c r="D92" s="68" t="s">
        <v>89</v>
      </c>
      <c r="E92" s="255">
        <v>0.05</v>
      </c>
      <c r="F92" s="255"/>
      <c r="G92" s="39">
        <f>ROUND((E92)*($G$105),2)</f>
        <v>311.52999999999997</v>
      </c>
    </row>
    <row r="93" spans="1:7" ht="41.25" customHeight="1" x14ac:dyDescent="0.2">
      <c r="A93" s="266"/>
      <c r="B93" s="267"/>
      <c r="C93" s="256" t="s">
        <v>90</v>
      </c>
      <c r="D93" s="257"/>
      <c r="E93" s="255"/>
      <c r="F93" s="255"/>
      <c r="G93" s="39">
        <f>ROUND((E93)*($G$105),2)</f>
        <v>0</v>
      </c>
    </row>
    <row r="94" spans="1:7" ht="19.5" customHeight="1" x14ac:dyDescent="0.2">
      <c r="A94" s="266"/>
      <c r="B94" s="258" t="s">
        <v>91</v>
      </c>
      <c r="C94" s="258"/>
      <c r="D94" s="258"/>
      <c r="E94" s="258"/>
      <c r="F94" s="258"/>
      <c r="G94" s="72">
        <f>SUM(G89,G90,G91,G92,G93)</f>
        <v>887.86999999999989</v>
      </c>
    </row>
    <row r="95" spans="1:7" ht="21.75" customHeight="1" x14ac:dyDescent="0.2">
      <c r="A95" s="259" t="s">
        <v>92</v>
      </c>
      <c r="B95" s="259"/>
      <c r="C95" s="259"/>
      <c r="D95" s="259"/>
      <c r="E95" s="259"/>
      <c r="F95" s="259"/>
      <c r="G95" s="73">
        <f>SUM(G94,G87,G86)</f>
        <v>1373.3</v>
      </c>
    </row>
    <row r="96" spans="1:7" ht="3.75" customHeight="1" x14ac:dyDescent="0.2">
      <c r="A96" s="251"/>
      <c r="B96" s="251"/>
      <c r="C96" s="251"/>
      <c r="D96" s="251"/>
      <c r="E96" s="251"/>
      <c r="F96" s="251"/>
      <c r="G96" s="251"/>
    </row>
    <row r="97" spans="1:7" ht="23.25" customHeight="1" x14ac:dyDescent="0.2">
      <c r="A97" s="252" t="s">
        <v>93</v>
      </c>
      <c r="B97" s="252"/>
      <c r="C97" s="252"/>
      <c r="D97" s="252"/>
      <c r="E97" s="252"/>
      <c r="F97" s="252"/>
      <c r="G97" s="252"/>
    </row>
    <row r="98" spans="1:7" ht="19.5" customHeight="1" x14ac:dyDescent="0.2">
      <c r="A98" s="38" t="s">
        <v>5</v>
      </c>
      <c r="B98" s="33" t="s">
        <v>94</v>
      </c>
      <c r="C98" s="42"/>
      <c r="D98" s="42"/>
      <c r="E98" s="42"/>
      <c r="F98" s="42"/>
      <c r="G98" s="32">
        <f>G27</f>
        <v>2042.7800000000002</v>
      </c>
    </row>
    <row r="99" spans="1:7" ht="19.5" customHeight="1" x14ac:dyDescent="0.2">
      <c r="A99" s="38" t="s">
        <v>7</v>
      </c>
      <c r="B99" s="33" t="s">
        <v>95</v>
      </c>
      <c r="C99" s="42"/>
      <c r="D99" s="42"/>
      <c r="E99" s="42"/>
      <c r="F99" s="42"/>
      <c r="G99" s="32">
        <f>G51</f>
        <v>1824.89</v>
      </c>
    </row>
    <row r="100" spans="1:7" ht="19.5" customHeight="1" x14ac:dyDescent="0.2">
      <c r="A100" s="38" t="s">
        <v>9</v>
      </c>
      <c r="B100" s="33" t="s">
        <v>96</v>
      </c>
      <c r="C100" s="42"/>
      <c r="D100" s="42"/>
      <c r="E100" s="42"/>
      <c r="F100" s="42"/>
      <c r="G100" s="32">
        <f>G60</f>
        <v>162.69999999999999</v>
      </c>
    </row>
    <row r="101" spans="1:7" ht="19.5" customHeight="1" x14ac:dyDescent="0.2">
      <c r="A101" s="38" t="s">
        <v>11</v>
      </c>
      <c r="B101" s="33" t="s">
        <v>97</v>
      </c>
      <c r="C101" s="42"/>
      <c r="D101" s="42"/>
      <c r="E101" s="42"/>
      <c r="F101" s="42"/>
      <c r="G101" s="32">
        <f>G77</f>
        <v>393.4989402660778</v>
      </c>
    </row>
    <row r="102" spans="1:7" ht="19.5" customHeight="1" x14ac:dyDescent="0.2">
      <c r="A102" s="38" t="s">
        <v>13</v>
      </c>
      <c r="B102" s="33" t="s">
        <v>98</v>
      </c>
      <c r="C102" s="42"/>
      <c r="D102" s="42"/>
      <c r="E102" s="42"/>
      <c r="F102" s="42"/>
      <c r="G102" s="32">
        <f>G83</f>
        <v>433.47</v>
      </c>
    </row>
    <row r="103" spans="1:7" ht="19.5" customHeight="1" x14ac:dyDescent="0.2">
      <c r="A103" s="253" t="s">
        <v>99</v>
      </c>
      <c r="B103" s="254"/>
      <c r="C103" s="254"/>
      <c r="D103" s="254"/>
      <c r="E103" s="254"/>
      <c r="F103" s="254"/>
      <c r="G103" s="74">
        <f>SUM(G98:G102)</f>
        <v>4857.3389402660778</v>
      </c>
    </row>
    <row r="104" spans="1:7" ht="19.5" customHeight="1" x14ac:dyDescent="0.2">
      <c r="A104" s="38" t="s">
        <v>15</v>
      </c>
      <c r="B104" s="33" t="s">
        <v>100</v>
      </c>
      <c r="C104" s="42"/>
      <c r="D104" s="42"/>
      <c r="E104" s="42"/>
      <c r="F104" s="42"/>
      <c r="G104" s="32">
        <f>G95</f>
        <v>1373.3</v>
      </c>
    </row>
    <row r="105" spans="1:7" ht="43.5" customHeight="1" x14ac:dyDescent="0.2">
      <c r="A105" s="247" t="s">
        <v>101</v>
      </c>
      <c r="B105" s="247"/>
      <c r="C105" s="247"/>
      <c r="D105" s="247"/>
      <c r="E105" s="247"/>
      <c r="F105" s="247"/>
      <c r="G105" s="75">
        <f>SUM(G103+G86+G87)/(1-E88)</f>
        <v>6230.6343326718115</v>
      </c>
    </row>
    <row r="106" spans="1:7" ht="3.75" customHeight="1" x14ac:dyDescent="0.2">
      <c r="A106" s="251"/>
      <c r="B106" s="251"/>
      <c r="C106" s="251"/>
      <c r="D106" s="251"/>
      <c r="E106" s="251"/>
      <c r="F106" s="251"/>
      <c r="G106" s="251"/>
    </row>
    <row r="107" spans="1:7" ht="22.5" customHeight="1" x14ac:dyDescent="0.2">
      <c r="A107" s="249" t="s">
        <v>102</v>
      </c>
      <c r="B107" s="249"/>
      <c r="C107" s="249"/>
      <c r="D107" s="249"/>
      <c r="E107" s="249"/>
      <c r="F107" s="249"/>
      <c r="G107" s="249"/>
    </row>
    <row r="108" spans="1:7" ht="21" customHeight="1" x14ac:dyDescent="0.2">
      <c r="A108" s="248" t="s">
        <v>103</v>
      </c>
      <c r="B108" s="248"/>
      <c r="C108" s="248"/>
      <c r="D108" s="248"/>
      <c r="E108" s="248"/>
      <c r="F108" s="248"/>
      <c r="G108" s="32">
        <f>G105</f>
        <v>6230.6343326718115</v>
      </c>
    </row>
    <row r="109" spans="1:7" ht="21" customHeight="1" x14ac:dyDescent="0.2">
      <c r="A109" s="248" t="s">
        <v>104</v>
      </c>
      <c r="B109" s="248"/>
      <c r="C109" s="248"/>
      <c r="D109" s="248"/>
      <c r="E109" s="248"/>
      <c r="F109" s="248"/>
      <c r="G109" s="11">
        <v>1</v>
      </c>
    </row>
    <row r="110" spans="1:7" ht="21" customHeight="1" x14ac:dyDescent="0.2">
      <c r="A110" s="248" t="s">
        <v>105</v>
      </c>
      <c r="B110" s="248"/>
      <c r="C110" s="248"/>
      <c r="D110" s="248"/>
      <c r="E110" s="248"/>
      <c r="F110" s="248"/>
      <c r="G110" s="32">
        <f>G109*G108</f>
        <v>6230.6343326718115</v>
      </c>
    </row>
    <row r="111" spans="1:7" ht="21" customHeight="1" x14ac:dyDescent="0.2">
      <c r="A111" s="248" t="s">
        <v>106</v>
      </c>
      <c r="B111" s="248"/>
      <c r="C111" s="248"/>
      <c r="D111" s="248"/>
      <c r="E111" s="248"/>
      <c r="F111" s="248"/>
      <c r="G111" s="11">
        <v>1</v>
      </c>
    </row>
    <row r="112" spans="1:7" ht="22.5" customHeight="1" x14ac:dyDescent="0.2">
      <c r="A112" s="249" t="s">
        <v>107</v>
      </c>
      <c r="B112" s="249"/>
      <c r="C112" s="249"/>
      <c r="D112" s="249"/>
      <c r="E112" s="249"/>
      <c r="F112" s="249"/>
      <c r="G112" s="76">
        <f>G111*G110</f>
        <v>6230.6343326718115</v>
      </c>
    </row>
    <row r="113" spans="1:7" ht="3.75" customHeight="1" x14ac:dyDescent="0.2">
      <c r="A113" s="250"/>
      <c r="B113" s="250"/>
      <c r="C113" s="250"/>
      <c r="D113" s="250"/>
      <c r="E113" s="250"/>
      <c r="F113" s="250"/>
      <c r="G113" s="250"/>
    </row>
    <row r="114" spans="1:7" ht="22.5" customHeight="1" x14ac:dyDescent="0.2">
      <c r="A114" s="303" t="s">
        <v>182</v>
      </c>
      <c r="B114" s="304"/>
      <c r="C114" s="304"/>
      <c r="D114" s="304"/>
      <c r="E114" s="304"/>
      <c r="F114" s="305"/>
      <c r="G114" s="75">
        <f>G112*G18</f>
        <v>124612.68665343623</v>
      </c>
    </row>
  </sheetData>
  <mergeCells count="120">
    <mergeCell ref="A1:G1"/>
    <mergeCell ref="A3:G3"/>
    <mergeCell ref="A5:G5"/>
    <mergeCell ref="A6:G6"/>
    <mergeCell ref="A8:G8"/>
    <mergeCell ref="A9:G9"/>
    <mergeCell ref="A23:F23"/>
    <mergeCell ref="A27:F27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0:F50"/>
    <mergeCell ref="A51:F51"/>
    <mergeCell ref="D40:E40"/>
    <mergeCell ref="D41:E41"/>
    <mergeCell ref="D42:E42"/>
    <mergeCell ref="D43:E43"/>
    <mergeCell ref="A44:E44"/>
    <mergeCell ref="A45:G45"/>
    <mergeCell ref="B56:D56"/>
    <mergeCell ref="E56:F56"/>
    <mergeCell ref="B57:D57"/>
    <mergeCell ref="E57:F57"/>
    <mergeCell ref="B58:D58"/>
    <mergeCell ref="E58:F58"/>
    <mergeCell ref="A53:G53"/>
    <mergeCell ref="A54:A55"/>
    <mergeCell ref="B54:D54"/>
    <mergeCell ref="E54:F55"/>
    <mergeCell ref="G54:G55"/>
    <mergeCell ref="B55:C55"/>
    <mergeCell ref="B59:D59"/>
    <mergeCell ref="E59:F59"/>
    <mergeCell ref="A60:F60"/>
    <mergeCell ref="A62:G62"/>
    <mergeCell ref="A63:G63"/>
    <mergeCell ref="A64:A65"/>
    <mergeCell ref="B64:D64"/>
    <mergeCell ref="E64:F65"/>
    <mergeCell ref="G64:G65"/>
    <mergeCell ref="B65:D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0:A71"/>
    <mergeCell ref="B70:D70"/>
    <mergeCell ref="E70:F71"/>
    <mergeCell ref="G70:G71"/>
    <mergeCell ref="B71:D71"/>
    <mergeCell ref="A72:A73"/>
    <mergeCell ref="B72:D72"/>
    <mergeCell ref="E72:F73"/>
    <mergeCell ref="G72:G73"/>
    <mergeCell ref="B73:D73"/>
    <mergeCell ref="E87:F87"/>
    <mergeCell ref="A88:A94"/>
    <mergeCell ref="B88:B93"/>
    <mergeCell ref="E88:F88"/>
    <mergeCell ref="E89:F89"/>
    <mergeCell ref="E90:F90"/>
    <mergeCell ref="A74:F74"/>
    <mergeCell ref="A77:F77"/>
    <mergeCell ref="A78:G78"/>
    <mergeCell ref="A79:G79"/>
    <mergeCell ref="A83:F83"/>
    <mergeCell ref="A84:G84"/>
    <mergeCell ref="A114:F114"/>
    <mergeCell ref="E25:F25"/>
    <mergeCell ref="A108:F108"/>
    <mergeCell ref="A109:F109"/>
    <mergeCell ref="A110:F110"/>
    <mergeCell ref="A111:F111"/>
    <mergeCell ref="A112:F112"/>
    <mergeCell ref="A113:G113"/>
    <mergeCell ref="A96:G96"/>
    <mergeCell ref="A97:G97"/>
    <mergeCell ref="A103:F103"/>
    <mergeCell ref="A105:F105"/>
    <mergeCell ref="A106:G106"/>
    <mergeCell ref="A107:G107"/>
    <mergeCell ref="E91:F91"/>
    <mergeCell ref="E92:F92"/>
    <mergeCell ref="C93:D93"/>
    <mergeCell ref="E93:F93"/>
    <mergeCell ref="B94:F94"/>
    <mergeCell ref="A95:F95"/>
    <mergeCell ref="A85:G85"/>
    <mergeCell ref="B86:D86"/>
    <mergeCell ref="E86:F86"/>
    <mergeCell ref="B87:D87"/>
  </mergeCells>
  <pageMargins left="0.23622047244094491" right="0.23622047244094491" top="0.55118110236220474" bottom="0.55118110236220474" header="0.31496062992125984" footer="0.31496062992125984"/>
  <pageSetup paperSize="9" scale="84" firstPageNumber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2028E-40C9-47D6-B661-3F8CB3623338}">
  <sheetPr>
    <pageSetUpPr fitToPage="1"/>
  </sheetPr>
  <dimension ref="A1:ALZ114"/>
  <sheetViews>
    <sheetView showGridLines="0" topLeftCell="A73" zoomScaleNormal="100" workbookViewId="0">
      <selection activeCell="E88" sqref="E88:F88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7" customWidth="1"/>
    <col min="1026" max="16384" width="9.140625" style="77"/>
  </cols>
  <sheetData>
    <row r="1" spans="1:7" ht="28.5" customHeight="1" x14ac:dyDescent="0.2">
      <c r="A1" s="298" t="s">
        <v>0</v>
      </c>
      <c r="B1" s="298"/>
      <c r="C1" s="298"/>
      <c r="D1" s="298"/>
      <c r="E1" s="298"/>
      <c r="F1" s="298"/>
      <c r="G1" s="298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299" t="s">
        <v>108</v>
      </c>
      <c r="B3" s="299"/>
      <c r="C3" s="299"/>
      <c r="D3" s="299"/>
      <c r="E3" s="299"/>
      <c r="F3" s="299"/>
      <c r="G3" s="299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291" t="s">
        <v>1</v>
      </c>
      <c r="B5" s="291"/>
      <c r="C5" s="291"/>
      <c r="D5" s="291"/>
      <c r="E5" s="291"/>
      <c r="F5" s="291"/>
      <c r="G5" s="291"/>
    </row>
    <row r="6" spans="1:7" ht="21.75" customHeight="1" x14ac:dyDescent="0.2">
      <c r="A6" s="291" t="s">
        <v>2</v>
      </c>
      <c r="B6" s="291"/>
      <c r="C6" s="291"/>
      <c r="D6" s="291"/>
      <c r="E6" s="291"/>
      <c r="F6" s="291"/>
      <c r="G6" s="291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00" t="s">
        <v>3</v>
      </c>
      <c r="B8" s="300"/>
      <c r="C8" s="300"/>
      <c r="D8" s="300"/>
      <c r="E8" s="300"/>
      <c r="F8" s="300"/>
      <c r="G8" s="300"/>
    </row>
    <row r="9" spans="1:7" s="6" customFormat="1" ht="3.75" customHeight="1" x14ac:dyDescent="0.2">
      <c r="A9" s="301"/>
      <c r="B9" s="301"/>
      <c r="C9" s="301"/>
      <c r="D9" s="301"/>
      <c r="E9" s="301"/>
      <c r="F9" s="301"/>
      <c r="G9" s="301"/>
    </row>
    <row r="10" spans="1:7" s="6" customFormat="1" ht="21.75" customHeight="1" x14ac:dyDescent="0.25">
      <c r="A10" s="259" t="s">
        <v>4</v>
      </c>
      <c r="B10" s="259"/>
      <c r="C10" s="259"/>
      <c r="D10" s="259"/>
      <c r="E10" s="259"/>
      <c r="F10" s="259"/>
      <c r="G10" s="259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121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109</v>
      </c>
    </row>
    <row r="13" spans="1:7" s="6" customFormat="1" ht="34.5" customHeight="1" x14ac:dyDescent="0.25">
      <c r="A13" s="11" t="s">
        <v>9</v>
      </c>
      <c r="B13" s="295" t="s">
        <v>10</v>
      </c>
      <c r="C13" s="295"/>
      <c r="D13" s="295"/>
      <c r="E13" s="83"/>
      <c r="F13" s="17"/>
      <c r="G13" s="15" t="s">
        <v>112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110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111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295" t="s">
        <v>19</v>
      </c>
      <c r="C17" s="296"/>
      <c r="D17" s="297" t="s">
        <v>113</v>
      </c>
      <c r="E17" s="297"/>
      <c r="F17" s="22"/>
      <c r="G17" s="24">
        <v>1477.98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295" t="s">
        <v>26</v>
      </c>
      <c r="C20" s="295"/>
      <c r="D20" s="295"/>
      <c r="E20" s="83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260" t="s">
        <v>27</v>
      </c>
      <c r="B22" s="260"/>
      <c r="C22" s="260"/>
      <c r="D22" s="260"/>
      <c r="E22" s="260"/>
      <c r="F22" s="260"/>
      <c r="G22" s="260"/>
    </row>
    <row r="23" spans="1:7" s="1" customFormat="1" ht="19.5" customHeight="1" x14ac:dyDescent="0.25">
      <c r="A23" s="302"/>
      <c r="B23" s="302"/>
      <c r="C23" s="302"/>
      <c r="D23" s="302"/>
      <c r="E23" s="302"/>
      <c r="F23" s="302"/>
      <c r="G23" s="82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80">
        <f>G17</f>
        <v>1477.98</v>
      </c>
    </row>
    <row r="25" spans="1:7" s="1" customFormat="1" ht="30" customHeight="1" x14ac:dyDescent="0.25">
      <c r="A25" s="29" t="s">
        <v>7</v>
      </c>
      <c r="B25" s="33" t="s">
        <v>114</v>
      </c>
      <c r="C25" s="34"/>
      <c r="D25" s="35"/>
      <c r="E25" s="255">
        <v>0</v>
      </c>
      <c r="F25" s="255"/>
      <c r="G25" s="80">
        <f>(G24*E25)</f>
        <v>0</v>
      </c>
    </row>
    <row r="26" spans="1:7" s="1" customFormat="1" ht="30" customHeight="1" x14ac:dyDescent="0.25">
      <c r="A26" s="29" t="s">
        <v>9</v>
      </c>
      <c r="B26" s="33" t="s">
        <v>115</v>
      </c>
      <c r="C26" s="34"/>
      <c r="D26" s="36"/>
      <c r="E26" s="36"/>
      <c r="F26" s="31"/>
      <c r="G26" s="80"/>
    </row>
    <row r="27" spans="1:7" s="1" customFormat="1" ht="21.75" customHeight="1" x14ac:dyDescent="0.25">
      <c r="A27" s="259" t="s">
        <v>30</v>
      </c>
      <c r="B27" s="259"/>
      <c r="C27" s="259"/>
      <c r="D27" s="259"/>
      <c r="E27" s="259"/>
      <c r="F27" s="259"/>
      <c r="G27" s="37">
        <f>SUM(G24:G26)</f>
        <v>1477.98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260" t="s">
        <v>31</v>
      </c>
      <c r="B29" s="260"/>
      <c r="C29" s="260"/>
      <c r="D29" s="260"/>
      <c r="E29" s="260"/>
      <c r="F29" s="260"/>
      <c r="G29" s="260"/>
    </row>
    <row r="30" spans="1:7" s="1" customFormat="1" ht="19.5" customHeight="1" x14ac:dyDescent="0.25">
      <c r="A30" s="270" t="s">
        <v>32</v>
      </c>
      <c r="B30" s="270"/>
      <c r="C30" s="270"/>
      <c r="D30" s="270"/>
      <c r="E30" s="270"/>
      <c r="F30" s="270"/>
      <c r="G30" s="270"/>
    </row>
    <row r="31" spans="1:7" s="1" customFormat="1" ht="19.5" customHeight="1" x14ac:dyDescent="0.25">
      <c r="A31" s="258"/>
      <c r="B31" s="258"/>
      <c r="C31" s="258"/>
      <c r="D31" s="258"/>
      <c r="E31" s="294" t="s">
        <v>33</v>
      </c>
      <c r="F31" s="294"/>
      <c r="G31" s="82" t="s">
        <v>28</v>
      </c>
    </row>
    <row r="32" spans="1:7" ht="19.5" customHeight="1" x14ac:dyDescent="0.2">
      <c r="A32" s="79" t="s">
        <v>5</v>
      </c>
      <c r="B32" s="291" t="s">
        <v>34</v>
      </c>
      <c r="C32" s="291"/>
      <c r="D32" s="291"/>
      <c r="E32" s="255">
        <v>8.3299999999999999E-2</v>
      </c>
      <c r="F32" s="255"/>
      <c r="G32" s="39">
        <f>ROUND($E$32*$G$27,2)</f>
        <v>123.12</v>
      </c>
    </row>
    <row r="33" spans="1:7" ht="49.5" customHeight="1" x14ac:dyDescent="0.2">
      <c r="A33" s="79" t="s">
        <v>7</v>
      </c>
      <c r="B33" s="275" t="s">
        <v>35</v>
      </c>
      <c r="C33" s="291"/>
      <c r="D33" s="291"/>
      <c r="E33" s="292">
        <v>2.7799999999999998E-2</v>
      </c>
      <c r="F33" s="292"/>
      <c r="G33" s="39">
        <f>ROUND($E$33*$G$27,2)</f>
        <v>41.09</v>
      </c>
    </row>
    <row r="34" spans="1:7" ht="19.5" customHeight="1" x14ac:dyDescent="0.2">
      <c r="A34" s="270" t="s">
        <v>36</v>
      </c>
      <c r="B34" s="270"/>
      <c r="C34" s="270"/>
      <c r="D34" s="270"/>
      <c r="E34" s="293">
        <f>SUM(E32:E33)</f>
        <v>0.1111</v>
      </c>
      <c r="F34" s="293"/>
      <c r="G34" s="40">
        <f>SUM(G32:G33)</f>
        <v>164.21</v>
      </c>
    </row>
    <row r="35" spans="1:7" s="41" customFormat="1" ht="19.5" customHeight="1" x14ac:dyDescent="0.25">
      <c r="A35" s="270" t="s">
        <v>37</v>
      </c>
      <c r="B35" s="270"/>
      <c r="C35" s="270"/>
      <c r="D35" s="270"/>
      <c r="E35" s="270"/>
      <c r="F35" s="270"/>
      <c r="G35" s="270"/>
    </row>
    <row r="36" spans="1:7" s="41" customFormat="1" ht="39" customHeight="1" x14ac:dyDescent="0.25">
      <c r="A36" s="79" t="s">
        <v>5</v>
      </c>
      <c r="B36" s="33" t="s">
        <v>38</v>
      </c>
      <c r="C36" s="42"/>
      <c r="D36" s="286" t="s">
        <v>39</v>
      </c>
      <c r="E36" s="286"/>
      <c r="F36" s="43">
        <v>0.2</v>
      </c>
      <c r="G36" s="39">
        <f>ROUND(F36*($G$27+$G$34),2)</f>
        <v>328.44</v>
      </c>
    </row>
    <row r="37" spans="1:7" s="41" customFormat="1" ht="39" customHeight="1" x14ac:dyDescent="0.25">
      <c r="A37" s="79" t="s">
        <v>7</v>
      </c>
      <c r="B37" s="33" t="s">
        <v>40</v>
      </c>
      <c r="C37" s="42"/>
      <c r="D37" s="286" t="s">
        <v>41</v>
      </c>
      <c r="E37" s="286"/>
      <c r="F37" s="44">
        <v>2.5000000000000001E-2</v>
      </c>
      <c r="G37" s="39">
        <f t="shared" ref="G37:G43" si="0">ROUND(F37*($G$27+$G$34),2)</f>
        <v>41.05</v>
      </c>
    </row>
    <row r="38" spans="1:7" s="41" customFormat="1" ht="62.25" customHeight="1" x14ac:dyDescent="0.25">
      <c r="A38" s="79" t="s">
        <v>9</v>
      </c>
      <c r="B38" s="284" t="s">
        <v>42</v>
      </c>
      <c r="C38" s="290"/>
      <c r="D38" s="286" t="s">
        <v>43</v>
      </c>
      <c r="E38" s="286"/>
      <c r="F38" s="45">
        <v>0.06</v>
      </c>
      <c r="G38" s="39">
        <f t="shared" si="0"/>
        <v>98.53</v>
      </c>
    </row>
    <row r="39" spans="1:7" s="41" customFormat="1" ht="48" customHeight="1" x14ac:dyDescent="0.25">
      <c r="A39" s="79" t="s">
        <v>11</v>
      </c>
      <c r="B39" s="33" t="s">
        <v>44</v>
      </c>
      <c r="C39" s="42"/>
      <c r="D39" s="286" t="s">
        <v>41</v>
      </c>
      <c r="E39" s="286"/>
      <c r="F39" s="44">
        <v>1.4999999999999999E-2</v>
      </c>
      <c r="G39" s="39">
        <f t="shared" si="0"/>
        <v>24.63</v>
      </c>
    </row>
    <row r="40" spans="1:7" s="41" customFormat="1" ht="43.5" customHeight="1" x14ac:dyDescent="0.25">
      <c r="A40" s="79" t="s">
        <v>13</v>
      </c>
      <c r="B40" s="33" t="s">
        <v>45</v>
      </c>
      <c r="C40" s="42"/>
      <c r="D40" s="286" t="s">
        <v>41</v>
      </c>
      <c r="E40" s="286"/>
      <c r="F40" s="44">
        <v>0.01</v>
      </c>
      <c r="G40" s="39">
        <f t="shared" si="0"/>
        <v>16.420000000000002</v>
      </c>
    </row>
    <row r="41" spans="1:7" s="41" customFormat="1" ht="42.75" customHeight="1" x14ac:dyDescent="0.25">
      <c r="A41" s="79" t="s">
        <v>15</v>
      </c>
      <c r="B41" s="33" t="s">
        <v>46</v>
      </c>
      <c r="C41" s="42"/>
      <c r="D41" s="286" t="s">
        <v>41</v>
      </c>
      <c r="E41" s="286"/>
      <c r="F41" s="44">
        <v>6.0000000000000001E-3</v>
      </c>
      <c r="G41" s="39">
        <f t="shared" si="0"/>
        <v>9.85</v>
      </c>
    </row>
    <row r="42" spans="1:7" s="41" customFormat="1" ht="46.5" customHeight="1" x14ac:dyDescent="0.25">
      <c r="A42" s="79" t="s">
        <v>18</v>
      </c>
      <c r="B42" s="33" t="s">
        <v>47</v>
      </c>
      <c r="C42" s="42"/>
      <c r="D42" s="286" t="s">
        <v>41</v>
      </c>
      <c r="E42" s="286"/>
      <c r="F42" s="44">
        <v>2E-3</v>
      </c>
      <c r="G42" s="39">
        <f t="shared" si="0"/>
        <v>3.28</v>
      </c>
    </row>
    <row r="43" spans="1:7" s="41" customFormat="1" ht="48" customHeight="1" x14ac:dyDescent="0.25">
      <c r="A43" s="79" t="s">
        <v>20</v>
      </c>
      <c r="B43" s="33" t="s">
        <v>48</v>
      </c>
      <c r="C43" s="42"/>
      <c r="D43" s="286" t="s">
        <v>41</v>
      </c>
      <c r="E43" s="286"/>
      <c r="F43" s="44">
        <v>0.08</v>
      </c>
      <c r="G43" s="39">
        <f t="shared" si="0"/>
        <v>131.38</v>
      </c>
    </row>
    <row r="44" spans="1:7" s="41" customFormat="1" ht="19.5" customHeight="1" x14ac:dyDescent="0.25">
      <c r="A44" s="287" t="s">
        <v>49</v>
      </c>
      <c r="B44" s="288"/>
      <c r="C44" s="288"/>
      <c r="D44" s="288"/>
      <c r="E44" s="289"/>
      <c r="F44" s="81">
        <f>SUM(F36:F43)</f>
        <v>0.39800000000000008</v>
      </c>
      <c r="G44" s="47">
        <f>SUM(G36:G43)</f>
        <v>653.57999999999993</v>
      </c>
    </row>
    <row r="45" spans="1:7" ht="19.5" customHeight="1" x14ac:dyDescent="0.2">
      <c r="A45" s="270" t="s">
        <v>50</v>
      </c>
      <c r="B45" s="270"/>
      <c r="C45" s="270"/>
      <c r="D45" s="270"/>
      <c r="E45" s="270"/>
      <c r="F45" s="270"/>
      <c r="G45" s="270"/>
    </row>
    <row r="46" spans="1:7" ht="57.75" customHeight="1" x14ac:dyDescent="0.2">
      <c r="A46" s="48" t="s">
        <v>5</v>
      </c>
      <c r="B46" s="256" t="s">
        <v>51</v>
      </c>
      <c r="C46" s="257"/>
      <c r="D46" s="49" t="s">
        <v>116</v>
      </c>
      <c r="E46" s="39">
        <v>597.96</v>
      </c>
      <c r="F46" s="50">
        <v>0.01</v>
      </c>
      <c r="G46" s="39">
        <f>ROUND((E46)*(1-F46),2)</f>
        <v>591.98</v>
      </c>
    </row>
    <row r="47" spans="1:7" ht="70.5" customHeight="1" x14ac:dyDescent="0.2">
      <c r="A47" s="79" t="s">
        <v>7</v>
      </c>
      <c r="B47" s="256" t="s">
        <v>52</v>
      </c>
      <c r="C47" s="257"/>
      <c r="D47" s="49" t="s">
        <v>117</v>
      </c>
      <c r="E47" s="39">
        <v>3.85</v>
      </c>
      <c r="F47" s="50">
        <v>0.06</v>
      </c>
      <c r="G47" s="39">
        <f>ROUND((E47*2*22)-(0.06*$G$24),2)</f>
        <v>80.72</v>
      </c>
    </row>
    <row r="48" spans="1:7" ht="70.5" customHeight="1" x14ac:dyDescent="0.2">
      <c r="A48" s="79" t="s">
        <v>9</v>
      </c>
      <c r="B48" s="261" t="s">
        <v>118</v>
      </c>
      <c r="C48" s="263"/>
      <c r="D48" s="49" t="s">
        <v>119</v>
      </c>
      <c r="E48" s="39">
        <v>21.88</v>
      </c>
      <c r="F48" s="51"/>
      <c r="G48" s="39">
        <f>E48</f>
        <v>21.88</v>
      </c>
    </row>
    <row r="49" spans="1:9" ht="40.5" customHeight="1" x14ac:dyDescent="0.2">
      <c r="A49" s="79" t="s">
        <v>11</v>
      </c>
      <c r="B49" s="261" t="s">
        <v>115</v>
      </c>
      <c r="C49" s="263"/>
      <c r="D49" s="49"/>
      <c r="E49" s="39"/>
      <c r="F49" s="51"/>
      <c r="G49" s="39">
        <f>E49</f>
        <v>0</v>
      </c>
    </row>
    <row r="50" spans="1:9" ht="31.5" customHeight="1" x14ac:dyDescent="0.2">
      <c r="A50" s="270" t="s">
        <v>53</v>
      </c>
      <c r="B50" s="270"/>
      <c r="C50" s="270"/>
      <c r="D50" s="270"/>
      <c r="E50" s="270"/>
      <c r="F50" s="270"/>
      <c r="G50" s="40">
        <f>SUM(G46:G49)</f>
        <v>694.58</v>
      </c>
    </row>
    <row r="51" spans="1:9" ht="31.5" customHeight="1" x14ac:dyDescent="0.2">
      <c r="A51" s="271" t="s">
        <v>54</v>
      </c>
      <c r="B51" s="271"/>
      <c r="C51" s="271"/>
      <c r="D51" s="271"/>
      <c r="E51" s="271"/>
      <c r="F51" s="271"/>
      <c r="G51" s="52">
        <f>SUM(G50,G44,G34)</f>
        <v>1512.37</v>
      </c>
    </row>
    <row r="52" spans="1:9" ht="3" customHeight="1" x14ac:dyDescent="0.2">
      <c r="A52" s="26"/>
      <c r="B52" s="27"/>
      <c r="C52" s="27"/>
      <c r="D52" s="27"/>
      <c r="E52" s="27"/>
      <c r="F52" s="27"/>
      <c r="G52" s="27"/>
    </row>
    <row r="53" spans="1:9" ht="21.75" customHeight="1" x14ac:dyDescent="0.2">
      <c r="A53" s="260" t="s">
        <v>55</v>
      </c>
      <c r="B53" s="260"/>
      <c r="C53" s="260"/>
      <c r="D53" s="260"/>
      <c r="E53" s="260"/>
      <c r="F53" s="260"/>
      <c r="G53" s="260"/>
    </row>
    <row r="54" spans="1:9" ht="80.25" customHeight="1" x14ac:dyDescent="0.2">
      <c r="A54" s="266" t="s">
        <v>5</v>
      </c>
      <c r="B54" s="275" t="s">
        <v>56</v>
      </c>
      <c r="C54" s="275"/>
      <c r="D54" s="275"/>
      <c r="E54" s="255">
        <f>(1/12)*D55</f>
        <v>4.1666666666666666E-3</v>
      </c>
      <c r="F54" s="255"/>
      <c r="G54" s="280">
        <f>ROUND($G$27+$G$34,0)*E54</f>
        <v>6.8416666666666668</v>
      </c>
    </row>
    <row r="55" spans="1:9" ht="77.25" customHeight="1" x14ac:dyDescent="0.2">
      <c r="A55" s="266"/>
      <c r="B55" s="285" t="s">
        <v>57</v>
      </c>
      <c r="C55" s="285"/>
      <c r="D55" s="53">
        <v>0.05</v>
      </c>
      <c r="E55" s="255"/>
      <c r="F55" s="255"/>
      <c r="G55" s="280"/>
    </row>
    <row r="56" spans="1:9" ht="42.75" customHeight="1" x14ac:dyDescent="0.2">
      <c r="A56" s="79" t="s">
        <v>7</v>
      </c>
      <c r="B56" s="275" t="s">
        <v>58</v>
      </c>
      <c r="C56" s="275"/>
      <c r="D56" s="275"/>
      <c r="E56" s="255">
        <v>0.08</v>
      </c>
      <c r="F56" s="255"/>
      <c r="G56" s="39">
        <f>ROUND(G54*E56,2)</f>
        <v>0.55000000000000004</v>
      </c>
      <c r="H56" s="54"/>
      <c r="I56" s="54"/>
    </row>
    <row r="57" spans="1:9" ht="53.25" customHeight="1" x14ac:dyDescent="0.2">
      <c r="A57" s="79" t="s">
        <v>9</v>
      </c>
      <c r="B57" s="256" t="s">
        <v>59</v>
      </c>
      <c r="C57" s="284"/>
      <c r="D57" s="257"/>
      <c r="E57" s="255">
        <f>(7/30)/12</f>
        <v>1.9444444444444445E-2</v>
      </c>
      <c r="F57" s="255"/>
      <c r="G57" s="39">
        <f>ROUND((($G$27+$G$34)*E57),2)</f>
        <v>31.93</v>
      </c>
    </row>
    <row r="58" spans="1:9" ht="37.5" customHeight="1" x14ac:dyDescent="0.2">
      <c r="A58" s="79" t="s">
        <v>11</v>
      </c>
      <c r="B58" s="275" t="s">
        <v>60</v>
      </c>
      <c r="C58" s="275"/>
      <c r="D58" s="275"/>
      <c r="E58" s="255">
        <f>F44</f>
        <v>0.39800000000000008</v>
      </c>
      <c r="F58" s="255"/>
      <c r="G58" s="39">
        <f>ROUND(E58*G57,2)</f>
        <v>12.71</v>
      </c>
    </row>
    <row r="59" spans="1:9" ht="64.5" customHeight="1" x14ac:dyDescent="0.2">
      <c r="A59" s="79" t="s">
        <v>13</v>
      </c>
      <c r="B59" s="275" t="s">
        <v>61</v>
      </c>
      <c r="C59" s="275"/>
      <c r="D59" s="275"/>
      <c r="E59" s="255">
        <v>0.04</v>
      </c>
      <c r="F59" s="255"/>
      <c r="G59" s="39">
        <f>ROUND(E59*($G$27+$G$34),2)</f>
        <v>65.69</v>
      </c>
    </row>
    <row r="60" spans="1:9" ht="21.75" customHeight="1" x14ac:dyDescent="0.2">
      <c r="A60" s="259" t="s">
        <v>62</v>
      </c>
      <c r="B60" s="259"/>
      <c r="C60" s="259"/>
      <c r="D60" s="259"/>
      <c r="E60" s="259"/>
      <c r="F60" s="259"/>
      <c r="G60" s="52">
        <f>ROUND(SUM(G54:G59),2)</f>
        <v>117.72</v>
      </c>
    </row>
    <row r="61" spans="1:9" ht="3.75" customHeight="1" x14ac:dyDescent="0.2">
      <c r="A61" s="55"/>
      <c r="B61" s="56"/>
      <c r="C61" s="56"/>
      <c r="D61" s="56"/>
      <c r="E61" s="56"/>
      <c r="F61" s="56"/>
      <c r="G61" s="56"/>
    </row>
    <row r="62" spans="1:9" ht="21.75" customHeight="1" x14ac:dyDescent="0.2">
      <c r="A62" s="260" t="s">
        <v>63</v>
      </c>
      <c r="B62" s="260"/>
      <c r="C62" s="260"/>
      <c r="D62" s="260"/>
      <c r="E62" s="260"/>
      <c r="F62" s="260"/>
      <c r="G62" s="260"/>
    </row>
    <row r="63" spans="1:9" ht="21.75" customHeight="1" x14ac:dyDescent="0.2">
      <c r="A63" s="270" t="s">
        <v>64</v>
      </c>
      <c r="B63" s="270"/>
      <c r="C63" s="270"/>
      <c r="D63" s="270"/>
      <c r="E63" s="270"/>
      <c r="F63" s="270"/>
      <c r="G63" s="270"/>
    </row>
    <row r="64" spans="1:9" ht="21.75" customHeight="1" x14ac:dyDescent="0.2">
      <c r="A64" s="266" t="s">
        <v>5</v>
      </c>
      <c r="B64" s="275" t="s">
        <v>65</v>
      </c>
      <c r="C64" s="275"/>
      <c r="D64" s="275"/>
      <c r="E64" s="276">
        <v>8.3299999999999999E-2</v>
      </c>
      <c r="F64" s="277"/>
      <c r="G64" s="280">
        <f>E64*($G$27+$G$51+$G$60)</f>
        <v>258.90223099999997</v>
      </c>
    </row>
    <row r="65" spans="1:8" ht="39.75" customHeight="1" x14ac:dyDescent="0.2">
      <c r="A65" s="266"/>
      <c r="B65" s="281" t="s">
        <v>66</v>
      </c>
      <c r="C65" s="282"/>
      <c r="D65" s="283"/>
      <c r="E65" s="278"/>
      <c r="F65" s="279"/>
      <c r="G65" s="280"/>
    </row>
    <row r="66" spans="1:8" x14ac:dyDescent="0.2">
      <c r="A66" s="266" t="s">
        <v>7</v>
      </c>
      <c r="B66" s="275" t="s">
        <v>67</v>
      </c>
      <c r="C66" s="275"/>
      <c r="D66" s="275"/>
      <c r="E66" s="276">
        <f>(6/360)</f>
        <v>1.6666666666666666E-2</v>
      </c>
      <c r="F66" s="277"/>
      <c r="G66" s="280">
        <f>E66*($G$27+$G$34+$G$44)</f>
        <v>38.262833333333333</v>
      </c>
    </row>
    <row r="67" spans="1:8" ht="78" customHeight="1" x14ac:dyDescent="0.2">
      <c r="A67" s="266"/>
      <c r="B67" s="281" t="s">
        <v>68</v>
      </c>
      <c r="C67" s="282"/>
      <c r="D67" s="283"/>
      <c r="E67" s="278"/>
      <c r="F67" s="279"/>
      <c r="G67" s="280"/>
    </row>
    <row r="68" spans="1:8" x14ac:dyDescent="0.2">
      <c r="A68" s="266" t="s">
        <v>9</v>
      </c>
      <c r="B68" s="275" t="s">
        <v>69</v>
      </c>
      <c r="C68" s="275"/>
      <c r="D68" s="275"/>
      <c r="E68" s="276">
        <f>((5/360)*(1.399%))</f>
        <v>1.9430555555555556E-4</v>
      </c>
      <c r="F68" s="277"/>
      <c r="G68" s="280">
        <f>E68*($G$27+$G$34+$G$44)</f>
        <v>0.44608086527777779</v>
      </c>
    </row>
    <row r="69" spans="1:8" ht="57" customHeight="1" x14ac:dyDescent="0.2">
      <c r="A69" s="266"/>
      <c r="B69" s="281" t="s">
        <v>70</v>
      </c>
      <c r="C69" s="282"/>
      <c r="D69" s="283"/>
      <c r="E69" s="278"/>
      <c r="F69" s="279"/>
      <c r="G69" s="280"/>
    </row>
    <row r="70" spans="1:8" x14ac:dyDescent="0.2">
      <c r="A70" s="266" t="s">
        <v>11</v>
      </c>
      <c r="B70" s="275" t="s">
        <v>71</v>
      </c>
      <c r="C70" s="275"/>
      <c r="D70" s="275"/>
      <c r="E70" s="276">
        <f>((15/360)*(2.16%))</f>
        <v>8.9999999999999998E-4</v>
      </c>
      <c r="F70" s="277"/>
      <c r="G70" s="280">
        <f>E70*($G$27+$G$34+$G$44)</f>
        <v>2.0661929999999997</v>
      </c>
    </row>
    <row r="71" spans="1:8" ht="63" customHeight="1" x14ac:dyDescent="0.2">
      <c r="A71" s="266"/>
      <c r="B71" s="281" t="s">
        <v>72</v>
      </c>
      <c r="C71" s="282"/>
      <c r="D71" s="283"/>
      <c r="E71" s="278"/>
      <c r="F71" s="279"/>
      <c r="G71" s="280"/>
    </row>
    <row r="72" spans="1:8" x14ac:dyDescent="0.2">
      <c r="A72" s="266" t="s">
        <v>13</v>
      </c>
      <c r="B72" s="275" t="s">
        <v>73</v>
      </c>
      <c r="C72" s="275"/>
      <c r="D72" s="275"/>
      <c r="E72" s="276">
        <f>((50%)*(1.99%)*(4/12)*(8.93%+8.93%+2.98%))</f>
        <v>6.9119333333333326E-4</v>
      </c>
      <c r="F72" s="277"/>
      <c r="G72" s="280">
        <f>(E72*G27)</f>
        <v>1.0215699227999999</v>
      </c>
    </row>
    <row r="73" spans="1:8" ht="54.75" customHeight="1" x14ac:dyDescent="0.2">
      <c r="A73" s="266"/>
      <c r="B73" s="281" t="s">
        <v>74</v>
      </c>
      <c r="C73" s="282"/>
      <c r="D73" s="283"/>
      <c r="E73" s="278"/>
      <c r="F73" s="279"/>
      <c r="G73" s="280"/>
    </row>
    <row r="74" spans="1:8" ht="19.5" customHeight="1" x14ac:dyDescent="0.2">
      <c r="A74" s="270" t="s">
        <v>75</v>
      </c>
      <c r="B74" s="270"/>
      <c r="C74" s="270"/>
      <c r="D74" s="270"/>
      <c r="E74" s="270"/>
      <c r="F74" s="270"/>
      <c r="G74" s="47">
        <f>SUM(G64:G73)</f>
        <v>300.69890812141108</v>
      </c>
    </row>
    <row r="75" spans="1:8" ht="3.75" customHeight="1" x14ac:dyDescent="0.2">
      <c r="A75" s="57"/>
      <c r="B75" s="58"/>
      <c r="C75" s="58"/>
      <c r="D75" s="58"/>
      <c r="E75" s="58"/>
      <c r="F75" s="58"/>
      <c r="G75" s="58"/>
    </row>
    <row r="76" spans="1:8" ht="3.75" customHeight="1" x14ac:dyDescent="0.2">
      <c r="A76" s="59"/>
      <c r="B76" s="60"/>
      <c r="C76" s="60"/>
      <c r="D76" s="60"/>
      <c r="E76" s="60"/>
      <c r="F76" s="60"/>
      <c r="G76" s="60"/>
    </row>
    <row r="77" spans="1:8" ht="30.75" customHeight="1" x14ac:dyDescent="0.2">
      <c r="A77" s="271" t="s">
        <v>76</v>
      </c>
      <c r="B77" s="271"/>
      <c r="C77" s="271"/>
      <c r="D77" s="271"/>
      <c r="E77" s="271"/>
      <c r="F77" s="271"/>
      <c r="G77" s="61">
        <f>G74</f>
        <v>300.69890812141108</v>
      </c>
    </row>
    <row r="78" spans="1:8" ht="3.75" customHeight="1" x14ac:dyDescent="0.2">
      <c r="A78" s="272"/>
      <c r="B78" s="272"/>
      <c r="C78" s="272"/>
      <c r="D78" s="272"/>
      <c r="E78" s="272"/>
      <c r="F78" s="272"/>
      <c r="G78" s="272"/>
    </row>
    <row r="79" spans="1:8" ht="21.75" customHeight="1" x14ac:dyDescent="0.2">
      <c r="A79" s="260" t="s">
        <v>77</v>
      </c>
      <c r="B79" s="260"/>
      <c r="C79" s="260"/>
      <c r="D79" s="260"/>
      <c r="E79" s="260"/>
      <c r="F79" s="260"/>
      <c r="G79" s="260"/>
    </row>
    <row r="80" spans="1:8" ht="19.5" customHeight="1" x14ac:dyDescent="0.2">
      <c r="A80" s="29" t="s">
        <v>5</v>
      </c>
      <c r="B80" s="30" t="s">
        <v>78</v>
      </c>
      <c r="C80" s="31"/>
      <c r="D80" s="31"/>
      <c r="E80" s="31"/>
      <c r="F80" s="31"/>
      <c r="G80" s="39" cm="1">
        <f t="array" ref="G80:H80">'Insumos Diversos'!J101:K101</f>
        <v>47</v>
      </c>
      <c r="H80" s="1">
        <v>0</v>
      </c>
    </row>
    <row r="81" spans="1:7" ht="19.5" customHeight="1" x14ac:dyDescent="0.2">
      <c r="A81" s="62" t="s">
        <v>7</v>
      </c>
      <c r="B81" s="30" t="s">
        <v>317</v>
      </c>
      <c r="C81" s="31"/>
      <c r="D81" s="31"/>
      <c r="E81" s="31"/>
      <c r="F81" s="31"/>
      <c r="G81" s="39">
        <f>'Insumos Diversos'!J51</f>
        <v>384</v>
      </c>
    </row>
    <row r="82" spans="1:7" ht="19.5" customHeight="1" x14ac:dyDescent="0.2">
      <c r="A82" s="63" t="s">
        <v>9</v>
      </c>
      <c r="B82" s="30" t="s">
        <v>79</v>
      </c>
      <c r="C82" s="31"/>
      <c r="D82" s="31"/>
      <c r="E82" s="31"/>
      <c r="F82" s="31"/>
      <c r="G82" s="39">
        <f>'Insumos Diversos'!J85</f>
        <v>2.4700000000000002</v>
      </c>
    </row>
    <row r="83" spans="1:7" ht="21.75" customHeight="1" x14ac:dyDescent="0.2">
      <c r="A83" s="273" t="s">
        <v>80</v>
      </c>
      <c r="B83" s="273"/>
      <c r="C83" s="273"/>
      <c r="D83" s="273"/>
      <c r="E83" s="273"/>
      <c r="F83" s="273"/>
      <c r="G83" s="37">
        <f>SUM(G80:G82)</f>
        <v>433.47</v>
      </c>
    </row>
    <row r="84" spans="1:7" ht="3.75" customHeight="1" x14ac:dyDescent="0.2">
      <c r="A84" s="274"/>
      <c r="B84" s="274"/>
      <c r="C84" s="274"/>
      <c r="D84" s="274"/>
      <c r="E84" s="274"/>
      <c r="F84" s="274"/>
      <c r="G84" s="274"/>
    </row>
    <row r="85" spans="1:7" ht="23.25" customHeight="1" x14ac:dyDescent="0.2">
      <c r="A85" s="260" t="s">
        <v>81</v>
      </c>
      <c r="B85" s="260"/>
      <c r="C85" s="260"/>
      <c r="D85" s="260"/>
      <c r="E85" s="260"/>
      <c r="F85" s="260"/>
      <c r="G85" s="260"/>
    </row>
    <row r="86" spans="1:7" ht="19.5" customHeight="1" x14ac:dyDescent="0.2">
      <c r="A86" s="79" t="s">
        <v>5</v>
      </c>
      <c r="B86" s="261" t="s">
        <v>82</v>
      </c>
      <c r="C86" s="262"/>
      <c r="D86" s="263"/>
      <c r="E86" s="264">
        <v>0.03</v>
      </c>
      <c r="F86" s="265"/>
      <c r="G86" s="39">
        <f>ROUND((G103)*E86,2)</f>
        <v>115.27</v>
      </c>
    </row>
    <row r="87" spans="1:7" ht="19.5" customHeight="1" x14ac:dyDescent="0.2">
      <c r="A87" s="79" t="s">
        <v>7</v>
      </c>
      <c r="B87" s="261" t="s">
        <v>83</v>
      </c>
      <c r="C87" s="262"/>
      <c r="D87" s="263"/>
      <c r="E87" s="264">
        <v>6.7900000000000002E-2</v>
      </c>
      <c r="F87" s="265"/>
      <c r="G87" s="39">
        <f>ROUND((G103+$G$86)*E87,2)</f>
        <v>268.70999999999998</v>
      </c>
    </row>
    <row r="88" spans="1:7" ht="19.5" customHeight="1" x14ac:dyDescent="0.2">
      <c r="A88" s="266" t="s">
        <v>9</v>
      </c>
      <c r="B88" s="267" t="s">
        <v>84</v>
      </c>
      <c r="C88" s="64"/>
      <c r="D88" s="65"/>
      <c r="E88" s="268">
        <f>SUM(E89:F93)</f>
        <v>0.14250000000000002</v>
      </c>
      <c r="F88" s="269"/>
      <c r="G88" s="66"/>
    </row>
    <row r="89" spans="1:7" ht="19.5" customHeight="1" x14ac:dyDescent="0.2">
      <c r="A89" s="266"/>
      <c r="B89" s="267"/>
      <c r="C89" s="67" t="s">
        <v>85</v>
      </c>
      <c r="D89" s="68" t="s">
        <v>86</v>
      </c>
      <c r="E89" s="255">
        <v>1.6500000000000001E-2</v>
      </c>
      <c r="F89" s="255"/>
      <c r="G89" s="39">
        <f>ROUND((E89)*($G$105),2)</f>
        <v>81.319999999999993</v>
      </c>
    </row>
    <row r="90" spans="1:7" ht="19.5" customHeight="1" x14ac:dyDescent="0.2">
      <c r="A90" s="266"/>
      <c r="B90" s="267"/>
      <c r="C90" s="69"/>
      <c r="D90" s="68" t="s">
        <v>87</v>
      </c>
      <c r="E90" s="255">
        <v>7.5999999999999998E-2</v>
      </c>
      <c r="F90" s="255"/>
      <c r="G90" s="39">
        <f>ROUND((E90)*($G$105),2)</f>
        <v>374.57</v>
      </c>
    </row>
    <row r="91" spans="1:7" ht="19.5" customHeight="1" x14ac:dyDescent="0.2">
      <c r="A91" s="266"/>
      <c r="B91" s="267"/>
      <c r="C91" s="70"/>
      <c r="D91" s="68" t="s">
        <v>88</v>
      </c>
      <c r="E91" s="255"/>
      <c r="F91" s="255"/>
      <c r="G91" s="39">
        <f>ROUND((E91)*($G$105),2)</f>
        <v>0</v>
      </c>
    </row>
    <row r="92" spans="1:7" ht="77.25" customHeight="1" x14ac:dyDescent="0.2">
      <c r="A92" s="266"/>
      <c r="B92" s="267"/>
      <c r="C92" s="71" t="s">
        <v>120</v>
      </c>
      <c r="D92" s="68" t="s">
        <v>89</v>
      </c>
      <c r="E92" s="255">
        <v>0.05</v>
      </c>
      <c r="F92" s="255"/>
      <c r="G92" s="39">
        <f>ROUND((E92)*($G$105),2)</f>
        <v>246.43</v>
      </c>
    </row>
    <row r="93" spans="1:7" ht="41.25" customHeight="1" x14ac:dyDescent="0.2">
      <c r="A93" s="266"/>
      <c r="B93" s="267"/>
      <c r="C93" s="256" t="s">
        <v>90</v>
      </c>
      <c r="D93" s="257"/>
      <c r="E93" s="255"/>
      <c r="F93" s="255"/>
      <c r="G93" s="39">
        <f>ROUND((E93)*($G$105),2)</f>
        <v>0</v>
      </c>
    </row>
    <row r="94" spans="1:7" ht="19.5" customHeight="1" x14ac:dyDescent="0.2">
      <c r="A94" s="266"/>
      <c r="B94" s="258" t="s">
        <v>91</v>
      </c>
      <c r="C94" s="258"/>
      <c r="D94" s="258"/>
      <c r="E94" s="258"/>
      <c r="F94" s="258"/>
      <c r="G94" s="72">
        <f>SUM(G89,G90,G91,G92,G93)</f>
        <v>702.31999999999994</v>
      </c>
    </row>
    <row r="95" spans="1:7" ht="21.75" customHeight="1" x14ac:dyDescent="0.2">
      <c r="A95" s="259" t="s">
        <v>92</v>
      </c>
      <c r="B95" s="259"/>
      <c r="C95" s="259"/>
      <c r="D95" s="259"/>
      <c r="E95" s="259"/>
      <c r="F95" s="259"/>
      <c r="G95" s="73">
        <f>SUM(G94,G87,G86)</f>
        <v>1086.3</v>
      </c>
    </row>
    <row r="96" spans="1:7" ht="3.75" customHeight="1" x14ac:dyDescent="0.2">
      <c r="A96" s="251"/>
      <c r="B96" s="251"/>
      <c r="C96" s="251"/>
      <c r="D96" s="251"/>
      <c r="E96" s="251"/>
      <c r="F96" s="251"/>
      <c r="G96" s="251"/>
    </row>
    <row r="97" spans="1:7" ht="23.25" customHeight="1" x14ac:dyDescent="0.2">
      <c r="A97" s="252" t="s">
        <v>93</v>
      </c>
      <c r="B97" s="252"/>
      <c r="C97" s="252"/>
      <c r="D97" s="252"/>
      <c r="E97" s="252"/>
      <c r="F97" s="252"/>
      <c r="G97" s="252"/>
    </row>
    <row r="98" spans="1:7" ht="19.5" customHeight="1" x14ac:dyDescent="0.2">
      <c r="A98" s="79" t="s">
        <v>5</v>
      </c>
      <c r="B98" s="33" t="s">
        <v>94</v>
      </c>
      <c r="C98" s="42"/>
      <c r="D98" s="42"/>
      <c r="E98" s="42"/>
      <c r="F98" s="42"/>
      <c r="G98" s="80">
        <f>G27</f>
        <v>1477.98</v>
      </c>
    </row>
    <row r="99" spans="1:7" ht="19.5" customHeight="1" x14ac:dyDescent="0.2">
      <c r="A99" s="79" t="s">
        <v>7</v>
      </c>
      <c r="B99" s="33" t="s">
        <v>95</v>
      </c>
      <c r="C99" s="42"/>
      <c r="D99" s="42"/>
      <c r="E99" s="42"/>
      <c r="F99" s="42"/>
      <c r="G99" s="80">
        <f>G51</f>
        <v>1512.37</v>
      </c>
    </row>
    <row r="100" spans="1:7" ht="19.5" customHeight="1" x14ac:dyDescent="0.2">
      <c r="A100" s="79" t="s">
        <v>9</v>
      </c>
      <c r="B100" s="33" t="s">
        <v>96</v>
      </c>
      <c r="C100" s="42"/>
      <c r="D100" s="42"/>
      <c r="E100" s="42"/>
      <c r="F100" s="42"/>
      <c r="G100" s="80">
        <f>G60</f>
        <v>117.72</v>
      </c>
    </row>
    <row r="101" spans="1:7" ht="19.5" customHeight="1" x14ac:dyDescent="0.2">
      <c r="A101" s="79" t="s">
        <v>11</v>
      </c>
      <c r="B101" s="33" t="s">
        <v>97</v>
      </c>
      <c r="C101" s="42"/>
      <c r="D101" s="42"/>
      <c r="E101" s="42"/>
      <c r="F101" s="42"/>
      <c r="G101" s="80">
        <f>G77</f>
        <v>300.69890812141108</v>
      </c>
    </row>
    <row r="102" spans="1:7" ht="19.5" customHeight="1" x14ac:dyDescent="0.2">
      <c r="A102" s="79" t="s">
        <v>13</v>
      </c>
      <c r="B102" s="33" t="s">
        <v>98</v>
      </c>
      <c r="C102" s="42"/>
      <c r="D102" s="42"/>
      <c r="E102" s="42"/>
      <c r="F102" s="42"/>
      <c r="G102" s="80">
        <f>G83</f>
        <v>433.47</v>
      </c>
    </row>
    <row r="103" spans="1:7" ht="19.5" customHeight="1" x14ac:dyDescent="0.2">
      <c r="A103" s="253" t="s">
        <v>99</v>
      </c>
      <c r="B103" s="254"/>
      <c r="C103" s="254"/>
      <c r="D103" s="254"/>
      <c r="E103" s="254"/>
      <c r="F103" s="254"/>
      <c r="G103" s="74">
        <f>SUM(G98:G102)</f>
        <v>3842.2389081214105</v>
      </c>
    </row>
    <row r="104" spans="1:7" ht="19.5" customHeight="1" x14ac:dyDescent="0.2">
      <c r="A104" s="79" t="s">
        <v>15</v>
      </c>
      <c r="B104" s="33" t="s">
        <v>100</v>
      </c>
      <c r="C104" s="42"/>
      <c r="D104" s="42"/>
      <c r="E104" s="42"/>
      <c r="F104" s="42"/>
      <c r="G104" s="80">
        <f>G95</f>
        <v>1086.3</v>
      </c>
    </row>
    <row r="105" spans="1:7" ht="43.5" customHeight="1" x14ac:dyDescent="0.2">
      <c r="A105" s="247" t="s">
        <v>101</v>
      </c>
      <c r="B105" s="247"/>
      <c r="C105" s="247"/>
      <c r="D105" s="247"/>
      <c r="E105" s="247"/>
      <c r="F105" s="247"/>
      <c r="G105" s="75">
        <f>SUM(G103+G86+G87)/(1-E88)</f>
        <v>4928.5351698208869</v>
      </c>
    </row>
    <row r="106" spans="1:7" ht="3.75" customHeight="1" x14ac:dyDescent="0.2">
      <c r="A106" s="251"/>
      <c r="B106" s="251"/>
      <c r="C106" s="251"/>
      <c r="D106" s="251"/>
      <c r="E106" s="251"/>
      <c r="F106" s="251"/>
      <c r="G106" s="251"/>
    </row>
    <row r="107" spans="1:7" ht="22.5" customHeight="1" x14ac:dyDescent="0.2">
      <c r="A107" s="249" t="s">
        <v>102</v>
      </c>
      <c r="B107" s="249"/>
      <c r="C107" s="249"/>
      <c r="D107" s="249"/>
      <c r="E107" s="249"/>
      <c r="F107" s="249"/>
      <c r="G107" s="249"/>
    </row>
    <row r="108" spans="1:7" ht="21" customHeight="1" x14ac:dyDescent="0.2">
      <c r="A108" s="248" t="s">
        <v>103</v>
      </c>
      <c r="B108" s="248"/>
      <c r="C108" s="248"/>
      <c r="D108" s="248"/>
      <c r="E108" s="248"/>
      <c r="F108" s="248"/>
      <c r="G108" s="80">
        <f>G105</f>
        <v>4928.5351698208869</v>
      </c>
    </row>
    <row r="109" spans="1:7" ht="21" customHeight="1" x14ac:dyDescent="0.2">
      <c r="A109" s="248" t="s">
        <v>104</v>
      </c>
      <c r="B109" s="248"/>
      <c r="C109" s="248"/>
      <c r="D109" s="248"/>
      <c r="E109" s="248"/>
      <c r="F109" s="248"/>
      <c r="G109" s="11">
        <v>1</v>
      </c>
    </row>
    <row r="110" spans="1:7" ht="21" customHeight="1" x14ac:dyDescent="0.2">
      <c r="A110" s="248" t="s">
        <v>105</v>
      </c>
      <c r="B110" s="248"/>
      <c r="C110" s="248"/>
      <c r="D110" s="248"/>
      <c r="E110" s="248"/>
      <c r="F110" s="248"/>
      <c r="G110" s="80">
        <f>G109*G108</f>
        <v>4928.5351698208869</v>
      </c>
    </row>
    <row r="111" spans="1:7" ht="21" customHeight="1" x14ac:dyDescent="0.2">
      <c r="A111" s="248" t="s">
        <v>106</v>
      </c>
      <c r="B111" s="248"/>
      <c r="C111" s="248"/>
      <c r="D111" s="248"/>
      <c r="E111" s="248"/>
      <c r="F111" s="248"/>
      <c r="G111" s="11">
        <v>1</v>
      </c>
    </row>
    <row r="112" spans="1:7" ht="22.5" customHeight="1" x14ac:dyDescent="0.2">
      <c r="A112" s="249" t="s">
        <v>107</v>
      </c>
      <c r="B112" s="249"/>
      <c r="C112" s="249"/>
      <c r="D112" s="249"/>
      <c r="E112" s="249"/>
      <c r="F112" s="249"/>
      <c r="G112" s="76">
        <f>G111*G110</f>
        <v>4928.5351698208869</v>
      </c>
    </row>
    <row r="113" spans="1:7" ht="3.75" customHeight="1" x14ac:dyDescent="0.2">
      <c r="A113" s="250"/>
      <c r="B113" s="250"/>
      <c r="C113" s="250"/>
      <c r="D113" s="250"/>
      <c r="E113" s="250"/>
      <c r="F113" s="250"/>
      <c r="G113" s="250"/>
    </row>
    <row r="114" spans="1:7" ht="22.5" customHeight="1" x14ac:dyDescent="0.2">
      <c r="A114" s="303" t="s">
        <v>182</v>
      </c>
      <c r="B114" s="304"/>
      <c r="C114" s="304"/>
      <c r="D114" s="304"/>
      <c r="E114" s="304"/>
      <c r="F114" s="305"/>
      <c r="G114" s="75">
        <f>G112*G18</f>
        <v>98570.703396417739</v>
      </c>
    </row>
  </sheetData>
  <mergeCells count="120">
    <mergeCell ref="A1:G1"/>
    <mergeCell ref="A3:G3"/>
    <mergeCell ref="A5:G5"/>
    <mergeCell ref="A6:G6"/>
    <mergeCell ref="A8:G8"/>
    <mergeCell ref="A9:G9"/>
    <mergeCell ref="A23:F23"/>
    <mergeCell ref="E25:F25"/>
    <mergeCell ref="A27:F27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0:F50"/>
    <mergeCell ref="A51:F51"/>
    <mergeCell ref="D40:E40"/>
    <mergeCell ref="D41:E41"/>
    <mergeCell ref="D42:E42"/>
    <mergeCell ref="D43:E43"/>
    <mergeCell ref="A44:E44"/>
    <mergeCell ref="A45:G45"/>
    <mergeCell ref="B56:D56"/>
    <mergeCell ref="E56:F56"/>
    <mergeCell ref="B57:D57"/>
    <mergeCell ref="E57:F57"/>
    <mergeCell ref="B58:D58"/>
    <mergeCell ref="E58:F58"/>
    <mergeCell ref="A53:G53"/>
    <mergeCell ref="A54:A55"/>
    <mergeCell ref="B54:D54"/>
    <mergeCell ref="E54:F55"/>
    <mergeCell ref="G54:G55"/>
    <mergeCell ref="B55:C55"/>
    <mergeCell ref="B59:D59"/>
    <mergeCell ref="E59:F59"/>
    <mergeCell ref="A60:F60"/>
    <mergeCell ref="A62:G62"/>
    <mergeCell ref="A63:G63"/>
    <mergeCell ref="A64:A65"/>
    <mergeCell ref="B64:D64"/>
    <mergeCell ref="E64:F65"/>
    <mergeCell ref="G64:G65"/>
    <mergeCell ref="B65:D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4:F74"/>
    <mergeCell ref="A77:F77"/>
    <mergeCell ref="A78:G78"/>
    <mergeCell ref="A79:G79"/>
    <mergeCell ref="A83:F83"/>
    <mergeCell ref="A84:G84"/>
    <mergeCell ref="A70:A71"/>
    <mergeCell ref="B70:D70"/>
    <mergeCell ref="E70:F71"/>
    <mergeCell ref="G70:G71"/>
    <mergeCell ref="B71:D71"/>
    <mergeCell ref="A72:A73"/>
    <mergeCell ref="B72:D72"/>
    <mergeCell ref="E72:F73"/>
    <mergeCell ref="G72:G73"/>
    <mergeCell ref="B73:D73"/>
    <mergeCell ref="E91:F91"/>
    <mergeCell ref="E92:F92"/>
    <mergeCell ref="C93:D93"/>
    <mergeCell ref="E93:F93"/>
    <mergeCell ref="B94:F94"/>
    <mergeCell ref="A95:F95"/>
    <mergeCell ref="A85:G85"/>
    <mergeCell ref="B86:D86"/>
    <mergeCell ref="E86:F86"/>
    <mergeCell ref="B87:D87"/>
    <mergeCell ref="E87:F87"/>
    <mergeCell ref="A88:A94"/>
    <mergeCell ref="B88:B93"/>
    <mergeCell ref="E88:F88"/>
    <mergeCell ref="E89:F89"/>
    <mergeCell ref="E90:F90"/>
    <mergeCell ref="A114:F114"/>
    <mergeCell ref="A108:F108"/>
    <mergeCell ref="A109:F109"/>
    <mergeCell ref="A110:F110"/>
    <mergeCell ref="A111:F111"/>
    <mergeCell ref="A112:F112"/>
    <mergeCell ref="A113:G113"/>
    <mergeCell ref="A96:G96"/>
    <mergeCell ref="A97:G97"/>
    <mergeCell ref="A103:F103"/>
    <mergeCell ref="A105:F105"/>
    <mergeCell ref="A106:G106"/>
    <mergeCell ref="A107:G107"/>
  </mergeCells>
  <pageMargins left="0.23622047244094491" right="0.23622047244094491" top="0.55118110236220474" bottom="0.55118110236220474" header="0.31496062992125984" footer="0.31496062992125984"/>
  <pageSetup paperSize="9" scale="84" firstPageNumber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7F70-43F0-41F0-AF76-187E1102E533}">
  <sheetPr>
    <pageSetUpPr fitToPage="1"/>
  </sheetPr>
  <dimension ref="A1:ALZ114"/>
  <sheetViews>
    <sheetView showGridLines="0" topLeftCell="A73" zoomScaleNormal="100" workbookViewId="0">
      <selection activeCell="E88" sqref="E88:F88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7" customWidth="1"/>
    <col min="1026" max="16384" width="9.140625" style="77"/>
  </cols>
  <sheetData>
    <row r="1" spans="1:7" ht="28.5" customHeight="1" x14ac:dyDescent="0.2">
      <c r="A1" s="298" t="s">
        <v>0</v>
      </c>
      <c r="B1" s="298"/>
      <c r="C1" s="298"/>
      <c r="D1" s="298"/>
      <c r="E1" s="298"/>
      <c r="F1" s="298"/>
      <c r="G1" s="298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299" t="s">
        <v>324</v>
      </c>
      <c r="B3" s="299"/>
      <c r="C3" s="299"/>
      <c r="D3" s="299"/>
      <c r="E3" s="299"/>
      <c r="F3" s="299"/>
      <c r="G3" s="299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291" t="s">
        <v>1</v>
      </c>
      <c r="B5" s="291"/>
      <c r="C5" s="291"/>
      <c r="D5" s="291"/>
      <c r="E5" s="291"/>
      <c r="F5" s="291"/>
      <c r="G5" s="291"/>
    </row>
    <row r="6" spans="1:7" ht="21.75" customHeight="1" x14ac:dyDescent="0.2">
      <c r="A6" s="291" t="s">
        <v>2</v>
      </c>
      <c r="B6" s="291"/>
      <c r="C6" s="291"/>
      <c r="D6" s="291"/>
      <c r="E6" s="291"/>
      <c r="F6" s="291"/>
      <c r="G6" s="291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00" t="s">
        <v>3</v>
      </c>
      <c r="B8" s="300"/>
      <c r="C8" s="300"/>
      <c r="D8" s="300"/>
      <c r="E8" s="300"/>
      <c r="F8" s="300"/>
      <c r="G8" s="300"/>
    </row>
    <row r="9" spans="1:7" s="6" customFormat="1" ht="3.75" customHeight="1" x14ac:dyDescent="0.2">
      <c r="A9" s="301"/>
      <c r="B9" s="301"/>
      <c r="C9" s="301"/>
      <c r="D9" s="301"/>
      <c r="E9" s="301"/>
      <c r="F9" s="301"/>
      <c r="G9" s="301"/>
    </row>
    <row r="10" spans="1:7" s="6" customFormat="1" ht="21.75" customHeight="1" x14ac:dyDescent="0.25">
      <c r="A10" s="259" t="s">
        <v>4</v>
      </c>
      <c r="B10" s="259"/>
      <c r="C10" s="259"/>
      <c r="D10" s="259"/>
      <c r="E10" s="259"/>
      <c r="F10" s="259"/>
      <c r="G10" s="259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121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109</v>
      </c>
    </row>
    <row r="13" spans="1:7" s="6" customFormat="1" ht="34.5" customHeight="1" x14ac:dyDescent="0.25">
      <c r="A13" s="11" t="s">
        <v>9</v>
      </c>
      <c r="B13" s="295" t="s">
        <v>10</v>
      </c>
      <c r="C13" s="295"/>
      <c r="D13" s="295"/>
      <c r="E13" s="83"/>
      <c r="F13" s="17"/>
      <c r="G13" s="15" t="s">
        <v>112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205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206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295" t="s">
        <v>19</v>
      </c>
      <c r="C17" s="296"/>
      <c r="D17" s="297" t="s">
        <v>113</v>
      </c>
      <c r="E17" s="297"/>
      <c r="F17" s="22"/>
      <c r="G17" s="24">
        <v>1778.06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295" t="s">
        <v>26</v>
      </c>
      <c r="C20" s="295"/>
      <c r="D20" s="295"/>
      <c r="E20" s="83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260" t="s">
        <v>27</v>
      </c>
      <c r="B22" s="260"/>
      <c r="C22" s="260"/>
      <c r="D22" s="260"/>
      <c r="E22" s="260"/>
      <c r="F22" s="260"/>
      <c r="G22" s="260"/>
    </row>
    <row r="23" spans="1:7" s="1" customFormat="1" ht="19.5" customHeight="1" x14ac:dyDescent="0.25">
      <c r="A23" s="302"/>
      <c r="B23" s="302"/>
      <c r="C23" s="302"/>
      <c r="D23" s="302"/>
      <c r="E23" s="302"/>
      <c r="F23" s="302"/>
      <c r="G23" s="82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80">
        <f>G17</f>
        <v>1778.06</v>
      </c>
    </row>
    <row r="25" spans="1:7" s="1" customFormat="1" ht="30" customHeight="1" x14ac:dyDescent="0.25">
      <c r="A25" s="29" t="s">
        <v>7</v>
      </c>
      <c r="B25" s="33" t="s">
        <v>114</v>
      </c>
      <c r="C25" s="34"/>
      <c r="D25" s="35"/>
      <c r="E25" s="255">
        <v>0</v>
      </c>
      <c r="F25" s="255"/>
      <c r="G25" s="80">
        <f>(G24*E25)</f>
        <v>0</v>
      </c>
    </row>
    <row r="26" spans="1:7" s="1" customFormat="1" ht="30" customHeight="1" x14ac:dyDescent="0.25">
      <c r="A26" s="29" t="s">
        <v>9</v>
      </c>
      <c r="B26" s="33" t="s">
        <v>115</v>
      </c>
      <c r="C26" s="34"/>
      <c r="D26" s="36"/>
      <c r="E26" s="36"/>
      <c r="F26" s="31"/>
      <c r="G26" s="80"/>
    </row>
    <row r="27" spans="1:7" s="1" customFormat="1" ht="21.75" customHeight="1" x14ac:dyDescent="0.25">
      <c r="A27" s="259" t="s">
        <v>30</v>
      </c>
      <c r="B27" s="259"/>
      <c r="C27" s="259"/>
      <c r="D27" s="259"/>
      <c r="E27" s="259"/>
      <c r="F27" s="259"/>
      <c r="G27" s="37">
        <f>SUM(G24:G26)</f>
        <v>1778.06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260" t="s">
        <v>31</v>
      </c>
      <c r="B29" s="260"/>
      <c r="C29" s="260"/>
      <c r="D29" s="260"/>
      <c r="E29" s="260"/>
      <c r="F29" s="260"/>
      <c r="G29" s="260"/>
    </row>
    <row r="30" spans="1:7" s="1" customFormat="1" ht="19.5" customHeight="1" x14ac:dyDescent="0.25">
      <c r="A30" s="270" t="s">
        <v>32</v>
      </c>
      <c r="B30" s="270"/>
      <c r="C30" s="270"/>
      <c r="D30" s="270"/>
      <c r="E30" s="270"/>
      <c r="F30" s="270"/>
      <c r="G30" s="270"/>
    </row>
    <row r="31" spans="1:7" s="1" customFormat="1" ht="19.5" customHeight="1" x14ac:dyDescent="0.25">
      <c r="A31" s="258"/>
      <c r="B31" s="258"/>
      <c r="C31" s="258"/>
      <c r="D31" s="258"/>
      <c r="E31" s="294" t="s">
        <v>33</v>
      </c>
      <c r="F31" s="294"/>
      <c r="G31" s="82" t="s">
        <v>28</v>
      </c>
    </row>
    <row r="32" spans="1:7" ht="19.5" customHeight="1" x14ac:dyDescent="0.2">
      <c r="A32" s="79" t="s">
        <v>5</v>
      </c>
      <c r="B32" s="291" t="s">
        <v>34</v>
      </c>
      <c r="C32" s="291"/>
      <c r="D32" s="291"/>
      <c r="E32" s="255">
        <v>8.3299999999999999E-2</v>
      </c>
      <c r="F32" s="255"/>
      <c r="G32" s="39">
        <f>ROUND($E$32*$G$27,2)</f>
        <v>148.11000000000001</v>
      </c>
    </row>
    <row r="33" spans="1:7" ht="49.5" customHeight="1" x14ac:dyDescent="0.2">
      <c r="A33" s="79" t="s">
        <v>7</v>
      </c>
      <c r="B33" s="275" t="s">
        <v>35</v>
      </c>
      <c r="C33" s="291"/>
      <c r="D33" s="291"/>
      <c r="E33" s="292">
        <v>2.7799999999999998E-2</v>
      </c>
      <c r="F33" s="292"/>
      <c r="G33" s="39">
        <f>ROUND($E$33*$G$27,2)</f>
        <v>49.43</v>
      </c>
    </row>
    <row r="34" spans="1:7" ht="19.5" customHeight="1" x14ac:dyDescent="0.2">
      <c r="A34" s="270" t="s">
        <v>36</v>
      </c>
      <c r="B34" s="270"/>
      <c r="C34" s="270"/>
      <c r="D34" s="270"/>
      <c r="E34" s="293">
        <f>SUM(E32:E33)</f>
        <v>0.1111</v>
      </c>
      <c r="F34" s="293"/>
      <c r="G34" s="40">
        <f>SUM(G32:G33)</f>
        <v>197.54000000000002</v>
      </c>
    </row>
    <row r="35" spans="1:7" s="41" customFormat="1" ht="19.5" customHeight="1" x14ac:dyDescent="0.25">
      <c r="A35" s="270" t="s">
        <v>37</v>
      </c>
      <c r="B35" s="270"/>
      <c r="C35" s="270"/>
      <c r="D35" s="270"/>
      <c r="E35" s="270"/>
      <c r="F35" s="270"/>
      <c r="G35" s="270"/>
    </row>
    <row r="36" spans="1:7" s="41" customFormat="1" ht="39" customHeight="1" x14ac:dyDescent="0.25">
      <c r="A36" s="79" t="s">
        <v>5</v>
      </c>
      <c r="B36" s="33" t="s">
        <v>38</v>
      </c>
      <c r="C36" s="42"/>
      <c r="D36" s="286" t="s">
        <v>39</v>
      </c>
      <c r="E36" s="286"/>
      <c r="F36" s="43">
        <v>0.2</v>
      </c>
      <c r="G36" s="39">
        <f>ROUND(F36*($G$27+$G$34),2)</f>
        <v>395.12</v>
      </c>
    </row>
    <row r="37" spans="1:7" s="41" customFormat="1" ht="39" customHeight="1" x14ac:dyDescent="0.25">
      <c r="A37" s="79" t="s">
        <v>7</v>
      </c>
      <c r="B37" s="33" t="s">
        <v>40</v>
      </c>
      <c r="C37" s="42"/>
      <c r="D37" s="286" t="s">
        <v>41</v>
      </c>
      <c r="E37" s="286"/>
      <c r="F37" s="44">
        <v>2.5000000000000001E-2</v>
      </c>
      <c r="G37" s="39">
        <f t="shared" ref="G37:G43" si="0">ROUND(F37*($G$27+$G$34),2)</f>
        <v>49.39</v>
      </c>
    </row>
    <row r="38" spans="1:7" s="41" customFormat="1" ht="62.25" customHeight="1" x14ac:dyDescent="0.25">
      <c r="A38" s="79" t="s">
        <v>9</v>
      </c>
      <c r="B38" s="284" t="s">
        <v>42</v>
      </c>
      <c r="C38" s="290"/>
      <c r="D38" s="286" t="s">
        <v>43</v>
      </c>
      <c r="E38" s="286"/>
      <c r="F38" s="45">
        <v>0.06</v>
      </c>
      <c r="G38" s="39">
        <f t="shared" si="0"/>
        <v>118.54</v>
      </c>
    </row>
    <row r="39" spans="1:7" s="41" customFormat="1" ht="48" customHeight="1" x14ac:dyDescent="0.25">
      <c r="A39" s="79" t="s">
        <v>11</v>
      </c>
      <c r="B39" s="33" t="s">
        <v>44</v>
      </c>
      <c r="C39" s="42"/>
      <c r="D39" s="286" t="s">
        <v>41</v>
      </c>
      <c r="E39" s="286"/>
      <c r="F39" s="44">
        <v>1.4999999999999999E-2</v>
      </c>
      <c r="G39" s="39">
        <f t="shared" si="0"/>
        <v>29.63</v>
      </c>
    </row>
    <row r="40" spans="1:7" s="41" customFormat="1" ht="43.5" customHeight="1" x14ac:dyDescent="0.25">
      <c r="A40" s="79" t="s">
        <v>13</v>
      </c>
      <c r="B40" s="33" t="s">
        <v>45</v>
      </c>
      <c r="C40" s="42"/>
      <c r="D40" s="286" t="s">
        <v>41</v>
      </c>
      <c r="E40" s="286"/>
      <c r="F40" s="44">
        <v>0.01</v>
      </c>
      <c r="G40" s="39">
        <f t="shared" si="0"/>
        <v>19.760000000000002</v>
      </c>
    </row>
    <row r="41" spans="1:7" s="41" customFormat="1" ht="42.75" customHeight="1" x14ac:dyDescent="0.25">
      <c r="A41" s="79" t="s">
        <v>15</v>
      </c>
      <c r="B41" s="33" t="s">
        <v>46</v>
      </c>
      <c r="C41" s="42"/>
      <c r="D41" s="286" t="s">
        <v>41</v>
      </c>
      <c r="E41" s="286"/>
      <c r="F41" s="44">
        <v>6.0000000000000001E-3</v>
      </c>
      <c r="G41" s="39">
        <f t="shared" si="0"/>
        <v>11.85</v>
      </c>
    </row>
    <row r="42" spans="1:7" s="41" customFormat="1" ht="46.5" customHeight="1" x14ac:dyDescent="0.25">
      <c r="A42" s="79" t="s">
        <v>18</v>
      </c>
      <c r="B42" s="33" t="s">
        <v>47</v>
      </c>
      <c r="C42" s="42"/>
      <c r="D42" s="286" t="s">
        <v>41</v>
      </c>
      <c r="E42" s="286"/>
      <c r="F42" s="44">
        <v>2E-3</v>
      </c>
      <c r="G42" s="39">
        <f t="shared" si="0"/>
        <v>3.95</v>
      </c>
    </row>
    <row r="43" spans="1:7" s="41" customFormat="1" ht="48" customHeight="1" x14ac:dyDescent="0.25">
      <c r="A43" s="79" t="s">
        <v>20</v>
      </c>
      <c r="B43" s="33" t="s">
        <v>48</v>
      </c>
      <c r="C43" s="42"/>
      <c r="D43" s="286" t="s">
        <v>41</v>
      </c>
      <c r="E43" s="286"/>
      <c r="F43" s="44">
        <v>0.08</v>
      </c>
      <c r="G43" s="39">
        <f t="shared" si="0"/>
        <v>158.05000000000001</v>
      </c>
    </row>
    <row r="44" spans="1:7" s="41" customFormat="1" ht="19.5" customHeight="1" x14ac:dyDescent="0.25">
      <c r="A44" s="287" t="s">
        <v>49</v>
      </c>
      <c r="B44" s="288"/>
      <c r="C44" s="288"/>
      <c r="D44" s="288"/>
      <c r="E44" s="289"/>
      <c r="F44" s="81">
        <f>SUM(F36:F43)</f>
        <v>0.39800000000000008</v>
      </c>
      <c r="G44" s="47">
        <f>SUM(G36:G43)</f>
        <v>786.29</v>
      </c>
    </row>
    <row r="45" spans="1:7" ht="19.5" customHeight="1" x14ac:dyDescent="0.2">
      <c r="A45" s="270" t="s">
        <v>50</v>
      </c>
      <c r="B45" s="270"/>
      <c r="C45" s="270"/>
      <c r="D45" s="270"/>
      <c r="E45" s="270"/>
      <c r="F45" s="270"/>
      <c r="G45" s="270"/>
    </row>
    <row r="46" spans="1:7" ht="57.75" customHeight="1" x14ac:dyDescent="0.2">
      <c r="A46" s="48" t="s">
        <v>5</v>
      </c>
      <c r="B46" s="256" t="s">
        <v>51</v>
      </c>
      <c r="C46" s="257"/>
      <c r="D46" s="49" t="s">
        <v>116</v>
      </c>
      <c r="E46" s="39">
        <v>597.96</v>
      </c>
      <c r="F46" s="50">
        <v>0.01</v>
      </c>
      <c r="G46" s="39">
        <f>ROUND((E46)*(1-F46),2)</f>
        <v>591.98</v>
      </c>
    </row>
    <row r="47" spans="1:7" ht="70.5" customHeight="1" x14ac:dyDescent="0.2">
      <c r="A47" s="79" t="s">
        <v>7</v>
      </c>
      <c r="B47" s="256" t="s">
        <v>52</v>
      </c>
      <c r="C47" s="257"/>
      <c r="D47" s="49" t="s">
        <v>117</v>
      </c>
      <c r="E47" s="39">
        <v>3.85</v>
      </c>
      <c r="F47" s="50">
        <v>0.06</v>
      </c>
      <c r="G47" s="39">
        <f>ROUND((E47*2*22)-(0.06*$G$24),2)</f>
        <v>62.72</v>
      </c>
    </row>
    <row r="48" spans="1:7" ht="70.5" customHeight="1" x14ac:dyDescent="0.2">
      <c r="A48" s="79" t="s">
        <v>9</v>
      </c>
      <c r="B48" s="261" t="s">
        <v>118</v>
      </c>
      <c r="C48" s="263"/>
      <c r="D48" s="49" t="s">
        <v>119</v>
      </c>
      <c r="E48" s="39">
        <v>21.88</v>
      </c>
      <c r="F48" s="51"/>
      <c r="G48" s="39">
        <f>E48</f>
        <v>21.88</v>
      </c>
    </row>
    <row r="49" spans="1:9" ht="40.5" customHeight="1" x14ac:dyDescent="0.2">
      <c r="A49" s="79" t="s">
        <v>11</v>
      </c>
      <c r="B49" s="261" t="s">
        <v>115</v>
      </c>
      <c r="C49" s="263"/>
      <c r="D49" s="49"/>
      <c r="E49" s="39"/>
      <c r="F49" s="51"/>
      <c r="G49" s="39">
        <f>E49</f>
        <v>0</v>
      </c>
    </row>
    <row r="50" spans="1:9" ht="31.5" customHeight="1" x14ac:dyDescent="0.2">
      <c r="A50" s="270" t="s">
        <v>53</v>
      </c>
      <c r="B50" s="270"/>
      <c r="C50" s="270"/>
      <c r="D50" s="270"/>
      <c r="E50" s="270"/>
      <c r="F50" s="270"/>
      <c r="G50" s="40">
        <f>SUM(G46:G49)</f>
        <v>676.58</v>
      </c>
    </row>
    <row r="51" spans="1:9" ht="31.5" customHeight="1" x14ac:dyDescent="0.2">
      <c r="A51" s="271" t="s">
        <v>54</v>
      </c>
      <c r="B51" s="271"/>
      <c r="C51" s="271"/>
      <c r="D51" s="271"/>
      <c r="E51" s="271"/>
      <c r="F51" s="271"/>
      <c r="G51" s="52">
        <f>SUM(G50,G44,G34)</f>
        <v>1660.4099999999999</v>
      </c>
    </row>
    <row r="52" spans="1:9" ht="3" customHeight="1" x14ac:dyDescent="0.2">
      <c r="A52" s="26"/>
      <c r="B52" s="27"/>
      <c r="C52" s="27"/>
      <c r="D52" s="27"/>
      <c r="E52" s="27"/>
      <c r="F52" s="27"/>
      <c r="G52" s="27"/>
    </row>
    <row r="53" spans="1:9" ht="21.75" customHeight="1" x14ac:dyDescent="0.2">
      <c r="A53" s="260" t="s">
        <v>55</v>
      </c>
      <c r="B53" s="260"/>
      <c r="C53" s="260"/>
      <c r="D53" s="260"/>
      <c r="E53" s="260"/>
      <c r="F53" s="260"/>
      <c r="G53" s="260"/>
    </row>
    <row r="54" spans="1:9" ht="80.25" customHeight="1" x14ac:dyDescent="0.2">
      <c r="A54" s="266" t="s">
        <v>5</v>
      </c>
      <c r="B54" s="275" t="s">
        <v>56</v>
      </c>
      <c r="C54" s="275"/>
      <c r="D54" s="275"/>
      <c r="E54" s="255">
        <f>(1/12)*D55</f>
        <v>4.1666666666666666E-3</v>
      </c>
      <c r="F54" s="255"/>
      <c r="G54" s="280">
        <f>ROUND($G$27+$G$34,0)*E54</f>
        <v>8.2333333333333325</v>
      </c>
    </row>
    <row r="55" spans="1:9" ht="77.25" customHeight="1" x14ac:dyDescent="0.2">
      <c r="A55" s="266"/>
      <c r="B55" s="285" t="s">
        <v>57</v>
      </c>
      <c r="C55" s="285"/>
      <c r="D55" s="53">
        <v>0.05</v>
      </c>
      <c r="E55" s="255"/>
      <c r="F55" s="255"/>
      <c r="G55" s="280"/>
    </row>
    <row r="56" spans="1:9" ht="42.75" customHeight="1" x14ac:dyDescent="0.2">
      <c r="A56" s="79" t="s">
        <v>7</v>
      </c>
      <c r="B56" s="275" t="s">
        <v>58</v>
      </c>
      <c r="C56" s="275"/>
      <c r="D56" s="275"/>
      <c r="E56" s="255">
        <v>0.08</v>
      </c>
      <c r="F56" s="255"/>
      <c r="G56" s="39">
        <f>ROUND(G54*E56,2)</f>
        <v>0.66</v>
      </c>
      <c r="H56" s="54"/>
      <c r="I56" s="54"/>
    </row>
    <row r="57" spans="1:9" ht="53.25" customHeight="1" x14ac:dyDescent="0.2">
      <c r="A57" s="79" t="s">
        <v>9</v>
      </c>
      <c r="B57" s="256" t="s">
        <v>59</v>
      </c>
      <c r="C57" s="284"/>
      <c r="D57" s="257"/>
      <c r="E57" s="255">
        <f>(7/30)/12</f>
        <v>1.9444444444444445E-2</v>
      </c>
      <c r="F57" s="255"/>
      <c r="G57" s="39">
        <f>ROUND((($G$27+$G$34)*E57),2)</f>
        <v>38.409999999999997</v>
      </c>
    </row>
    <row r="58" spans="1:9" ht="37.5" customHeight="1" x14ac:dyDescent="0.2">
      <c r="A58" s="79" t="s">
        <v>11</v>
      </c>
      <c r="B58" s="275" t="s">
        <v>60</v>
      </c>
      <c r="C58" s="275"/>
      <c r="D58" s="275"/>
      <c r="E58" s="255">
        <f>F44</f>
        <v>0.39800000000000008</v>
      </c>
      <c r="F58" s="255"/>
      <c r="G58" s="39">
        <f>ROUND(E58*G57,2)</f>
        <v>15.29</v>
      </c>
    </row>
    <row r="59" spans="1:9" ht="64.5" customHeight="1" x14ac:dyDescent="0.2">
      <c r="A59" s="79" t="s">
        <v>13</v>
      </c>
      <c r="B59" s="275" t="s">
        <v>61</v>
      </c>
      <c r="C59" s="275"/>
      <c r="D59" s="275"/>
      <c r="E59" s="255">
        <v>0.04</v>
      </c>
      <c r="F59" s="255"/>
      <c r="G59" s="39">
        <f>ROUND(E59*($G$27+$G$34),2)</f>
        <v>79.02</v>
      </c>
    </row>
    <row r="60" spans="1:9" ht="21.75" customHeight="1" x14ac:dyDescent="0.2">
      <c r="A60" s="259" t="s">
        <v>62</v>
      </c>
      <c r="B60" s="259"/>
      <c r="C60" s="259"/>
      <c r="D60" s="259"/>
      <c r="E60" s="259"/>
      <c r="F60" s="259"/>
      <c r="G60" s="52">
        <f>ROUND(SUM(G54:G59),2)</f>
        <v>141.61000000000001</v>
      </c>
    </row>
    <row r="61" spans="1:9" ht="3.75" customHeight="1" x14ac:dyDescent="0.2">
      <c r="A61" s="55"/>
      <c r="B61" s="56"/>
      <c r="C61" s="56"/>
      <c r="D61" s="56"/>
      <c r="E61" s="56"/>
      <c r="F61" s="56"/>
      <c r="G61" s="56"/>
    </row>
    <row r="62" spans="1:9" ht="21.75" customHeight="1" x14ac:dyDescent="0.2">
      <c r="A62" s="260" t="s">
        <v>63</v>
      </c>
      <c r="B62" s="260"/>
      <c r="C62" s="260"/>
      <c r="D62" s="260"/>
      <c r="E62" s="260"/>
      <c r="F62" s="260"/>
      <c r="G62" s="260"/>
    </row>
    <row r="63" spans="1:9" ht="21.75" customHeight="1" x14ac:dyDescent="0.2">
      <c r="A63" s="270" t="s">
        <v>64</v>
      </c>
      <c r="B63" s="270"/>
      <c r="C63" s="270"/>
      <c r="D63" s="270"/>
      <c r="E63" s="270"/>
      <c r="F63" s="270"/>
      <c r="G63" s="270"/>
    </row>
    <row r="64" spans="1:9" ht="21.75" customHeight="1" x14ac:dyDescent="0.2">
      <c r="A64" s="266" t="s">
        <v>5</v>
      </c>
      <c r="B64" s="275" t="s">
        <v>65</v>
      </c>
      <c r="C64" s="275"/>
      <c r="D64" s="275"/>
      <c r="E64" s="276">
        <v>8.3299999999999999E-2</v>
      </c>
      <c r="F64" s="277"/>
      <c r="G64" s="280">
        <f>E64*($G$27+$G$51+$G$60)</f>
        <v>298.220664</v>
      </c>
    </row>
    <row r="65" spans="1:8" ht="39.75" customHeight="1" x14ac:dyDescent="0.2">
      <c r="A65" s="266"/>
      <c r="B65" s="281" t="s">
        <v>66</v>
      </c>
      <c r="C65" s="282"/>
      <c r="D65" s="283"/>
      <c r="E65" s="278"/>
      <c r="F65" s="279"/>
      <c r="G65" s="280"/>
    </row>
    <row r="66" spans="1:8" x14ac:dyDescent="0.2">
      <c r="A66" s="266" t="s">
        <v>7</v>
      </c>
      <c r="B66" s="275" t="s">
        <v>67</v>
      </c>
      <c r="C66" s="275"/>
      <c r="D66" s="275"/>
      <c r="E66" s="276">
        <f>(6/360)</f>
        <v>1.6666666666666666E-2</v>
      </c>
      <c r="F66" s="277"/>
      <c r="G66" s="280">
        <f>E66*($G$27+$G$34+$G$44)</f>
        <v>46.031499999999994</v>
      </c>
    </row>
    <row r="67" spans="1:8" ht="78" customHeight="1" x14ac:dyDescent="0.2">
      <c r="A67" s="266"/>
      <c r="B67" s="281" t="s">
        <v>68</v>
      </c>
      <c r="C67" s="282"/>
      <c r="D67" s="283"/>
      <c r="E67" s="278"/>
      <c r="F67" s="279"/>
      <c r="G67" s="280"/>
    </row>
    <row r="68" spans="1:8" x14ac:dyDescent="0.2">
      <c r="A68" s="266" t="s">
        <v>9</v>
      </c>
      <c r="B68" s="275" t="s">
        <v>69</v>
      </c>
      <c r="C68" s="275"/>
      <c r="D68" s="275"/>
      <c r="E68" s="276">
        <f>((5/360)*(1.399%))</f>
        <v>1.9430555555555556E-4</v>
      </c>
      <c r="F68" s="277"/>
      <c r="G68" s="280">
        <f>E68*($G$27+$G$34+$G$44)</f>
        <v>0.53665057083333334</v>
      </c>
    </row>
    <row r="69" spans="1:8" ht="57" customHeight="1" x14ac:dyDescent="0.2">
      <c r="A69" s="266"/>
      <c r="B69" s="281" t="s">
        <v>70</v>
      </c>
      <c r="C69" s="282"/>
      <c r="D69" s="283"/>
      <c r="E69" s="278"/>
      <c r="F69" s="279"/>
      <c r="G69" s="280"/>
    </row>
    <row r="70" spans="1:8" x14ac:dyDescent="0.2">
      <c r="A70" s="266" t="s">
        <v>11</v>
      </c>
      <c r="B70" s="275" t="s">
        <v>71</v>
      </c>
      <c r="C70" s="275"/>
      <c r="D70" s="275"/>
      <c r="E70" s="276">
        <f>((15/360)*(2.16%))</f>
        <v>8.9999999999999998E-4</v>
      </c>
      <c r="F70" s="277"/>
      <c r="G70" s="280">
        <f>E70*($G$27+$G$34+$G$44)</f>
        <v>2.4857009999999997</v>
      </c>
    </row>
    <row r="71" spans="1:8" ht="63" customHeight="1" x14ac:dyDescent="0.2">
      <c r="A71" s="266"/>
      <c r="B71" s="281" t="s">
        <v>72</v>
      </c>
      <c r="C71" s="282"/>
      <c r="D71" s="283"/>
      <c r="E71" s="278"/>
      <c r="F71" s="279"/>
      <c r="G71" s="280"/>
    </row>
    <row r="72" spans="1:8" x14ac:dyDescent="0.2">
      <c r="A72" s="266" t="s">
        <v>13</v>
      </c>
      <c r="B72" s="275" t="s">
        <v>73</v>
      </c>
      <c r="C72" s="275"/>
      <c r="D72" s="275"/>
      <c r="E72" s="276">
        <f>((50%)*(1.99%)*(4/12)*(8.93%+8.93%+2.98%))</f>
        <v>6.9119333333333326E-4</v>
      </c>
      <c r="F72" s="277"/>
      <c r="G72" s="280">
        <f>(E72*G27)</f>
        <v>1.2289832182666665</v>
      </c>
    </row>
    <row r="73" spans="1:8" ht="54.75" customHeight="1" x14ac:dyDescent="0.2">
      <c r="A73" s="266"/>
      <c r="B73" s="281" t="s">
        <v>74</v>
      </c>
      <c r="C73" s="282"/>
      <c r="D73" s="283"/>
      <c r="E73" s="278"/>
      <c r="F73" s="279"/>
      <c r="G73" s="280"/>
    </row>
    <row r="74" spans="1:8" ht="19.5" customHeight="1" x14ac:dyDescent="0.2">
      <c r="A74" s="270" t="s">
        <v>75</v>
      </c>
      <c r="B74" s="270"/>
      <c r="C74" s="270"/>
      <c r="D74" s="270"/>
      <c r="E74" s="270"/>
      <c r="F74" s="270"/>
      <c r="G74" s="47">
        <f>SUM(G64:G73)</f>
        <v>348.50349878909998</v>
      </c>
    </row>
    <row r="75" spans="1:8" ht="3.75" customHeight="1" x14ac:dyDescent="0.2">
      <c r="A75" s="57"/>
      <c r="B75" s="58"/>
      <c r="C75" s="58"/>
      <c r="D75" s="58"/>
      <c r="E75" s="58"/>
      <c r="F75" s="58"/>
      <c r="G75" s="58"/>
    </row>
    <row r="76" spans="1:8" ht="3.75" customHeight="1" x14ac:dyDescent="0.2">
      <c r="A76" s="59"/>
      <c r="B76" s="60"/>
      <c r="C76" s="60"/>
      <c r="D76" s="60"/>
      <c r="E76" s="60"/>
      <c r="F76" s="60"/>
      <c r="G76" s="60"/>
    </row>
    <row r="77" spans="1:8" ht="30.75" customHeight="1" x14ac:dyDescent="0.2">
      <c r="A77" s="271" t="s">
        <v>76</v>
      </c>
      <c r="B77" s="271"/>
      <c r="C77" s="271"/>
      <c r="D77" s="271"/>
      <c r="E77" s="271"/>
      <c r="F77" s="271"/>
      <c r="G77" s="61">
        <f>G74</f>
        <v>348.50349878909998</v>
      </c>
    </row>
    <row r="78" spans="1:8" ht="3.75" customHeight="1" x14ac:dyDescent="0.2">
      <c r="A78" s="272"/>
      <c r="B78" s="272"/>
      <c r="C78" s="272"/>
      <c r="D78" s="272"/>
      <c r="E78" s="272"/>
      <c r="F78" s="272"/>
      <c r="G78" s="272"/>
    </row>
    <row r="79" spans="1:8" ht="21.75" customHeight="1" x14ac:dyDescent="0.2">
      <c r="A79" s="260" t="s">
        <v>77</v>
      </c>
      <c r="B79" s="260"/>
      <c r="C79" s="260"/>
      <c r="D79" s="260"/>
      <c r="E79" s="260"/>
      <c r="F79" s="260"/>
      <c r="G79" s="260"/>
    </row>
    <row r="80" spans="1:8" ht="19.5" customHeight="1" x14ac:dyDescent="0.2">
      <c r="A80" s="29" t="s">
        <v>5</v>
      </c>
      <c r="B80" s="30" t="s">
        <v>78</v>
      </c>
      <c r="C80" s="31"/>
      <c r="D80" s="31"/>
      <c r="E80" s="31"/>
      <c r="F80" s="31"/>
      <c r="G80" s="39" cm="1">
        <f t="array" ref="G80:H80">'Insumos Diversos'!J101:K101</f>
        <v>47</v>
      </c>
      <c r="H80" s="1">
        <v>0</v>
      </c>
    </row>
    <row r="81" spans="1:7" ht="19.5" customHeight="1" x14ac:dyDescent="0.2">
      <c r="A81" s="62" t="s">
        <v>7</v>
      </c>
      <c r="B81" s="30" t="s">
        <v>318</v>
      </c>
      <c r="C81" s="31"/>
      <c r="D81" s="31"/>
      <c r="E81" s="31"/>
      <c r="F81" s="31"/>
      <c r="G81" s="39">
        <f>'Insumos Diversos'!J51</f>
        <v>384</v>
      </c>
    </row>
    <row r="82" spans="1:7" ht="19.5" customHeight="1" x14ac:dyDescent="0.2">
      <c r="A82" s="63" t="s">
        <v>9</v>
      </c>
      <c r="B82" s="30" t="s">
        <v>79</v>
      </c>
      <c r="C82" s="31"/>
      <c r="D82" s="31"/>
      <c r="E82" s="31"/>
      <c r="F82" s="31"/>
      <c r="G82" s="39">
        <f>'Insumos Diversos'!J85</f>
        <v>2.4700000000000002</v>
      </c>
    </row>
    <row r="83" spans="1:7" ht="21.75" customHeight="1" x14ac:dyDescent="0.2">
      <c r="A83" s="273" t="s">
        <v>80</v>
      </c>
      <c r="B83" s="273"/>
      <c r="C83" s="273"/>
      <c r="D83" s="273"/>
      <c r="E83" s="273"/>
      <c r="F83" s="273"/>
      <c r="G83" s="37">
        <f>SUM(G80:G82)</f>
        <v>433.47</v>
      </c>
    </row>
    <row r="84" spans="1:7" ht="3.75" customHeight="1" x14ac:dyDescent="0.2">
      <c r="A84" s="274"/>
      <c r="B84" s="274"/>
      <c r="C84" s="274"/>
      <c r="D84" s="274"/>
      <c r="E84" s="274"/>
      <c r="F84" s="274"/>
      <c r="G84" s="274"/>
    </row>
    <row r="85" spans="1:7" ht="23.25" customHeight="1" x14ac:dyDescent="0.2">
      <c r="A85" s="260" t="s">
        <v>81</v>
      </c>
      <c r="B85" s="260"/>
      <c r="C85" s="260"/>
      <c r="D85" s="260"/>
      <c r="E85" s="260"/>
      <c r="F85" s="260"/>
      <c r="G85" s="260"/>
    </row>
    <row r="86" spans="1:7" ht="19.5" customHeight="1" x14ac:dyDescent="0.2">
      <c r="A86" s="79" t="s">
        <v>5</v>
      </c>
      <c r="B86" s="261" t="s">
        <v>82</v>
      </c>
      <c r="C86" s="262"/>
      <c r="D86" s="263"/>
      <c r="E86" s="264">
        <v>0.03</v>
      </c>
      <c r="F86" s="265"/>
      <c r="G86" s="39">
        <f>ROUND((G103)*E86,2)</f>
        <v>130.86000000000001</v>
      </c>
    </row>
    <row r="87" spans="1:7" ht="19.5" customHeight="1" x14ac:dyDescent="0.2">
      <c r="A87" s="79" t="s">
        <v>7</v>
      </c>
      <c r="B87" s="261" t="s">
        <v>83</v>
      </c>
      <c r="C87" s="262"/>
      <c r="D87" s="263"/>
      <c r="E87" s="264">
        <v>6.7900000000000002E-2</v>
      </c>
      <c r="F87" s="265"/>
      <c r="G87" s="39">
        <f>ROUND((G103+$G$86)*E87,2)</f>
        <v>305.07</v>
      </c>
    </row>
    <row r="88" spans="1:7" ht="19.5" customHeight="1" x14ac:dyDescent="0.2">
      <c r="A88" s="266" t="s">
        <v>9</v>
      </c>
      <c r="B88" s="267" t="s">
        <v>84</v>
      </c>
      <c r="C88" s="64"/>
      <c r="D88" s="65"/>
      <c r="E88" s="268">
        <f>SUM(E89:F93)</f>
        <v>0.14250000000000002</v>
      </c>
      <c r="F88" s="269"/>
      <c r="G88" s="66"/>
    </row>
    <row r="89" spans="1:7" ht="19.5" customHeight="1" x14ac:dyDescent="0.2">
      <c r="A89" s="266"/>
      <c r="B89" s="267"/>
      <c r="C89" s="67" t="s">
        <v>85</v>
      </c>
      <c r="D89" s="68" t="s">
        <v>86</v>
      </c>
      <c r="E89" s="255">
        <v>1.6500000000000001E-2</v>
      </c>
      <c r="F89" s="255"/>
      <c r="G89" s="39">
        <f>ROUND((E89)*($G$105),2)</f>
        <v>92.32</v>
      </c>
    </row>
    <row r="90" spans="1:7" ht="19.5" customHeight="1" x14ac:dyDescent="0.2">
      <c r="A90" s="266"/>
      <c r="B90" s="267"/>
      <c r="C90" s="69"/>
      <c r="D90" s="68" t="s">
        <v>87</v>
      </c>
      <c r="E90" s="255">
        <v>7.5999999999999998E-2</v>
      </c>
      <c r="F90" s="255"/>
      <c r="G90" s="39">
        <f>ROUND((E90)*($G$105),2)</f>
        <v>425.24</v>
      </c>
    </row>
    <row r="91" spans="1:7" ht="19.5" customHeight="1" x14ac:dyDescent="0.2">
      <c r="A91" s="266"/>
      <c r="B91" s="267"/>
      <c r="C91" s="70"/>
      <c r="D91" s="68" t="s">
        <v>88</v>
      </c>
      <c r="E91" s="255"/>
      <c r="F91" s="255"/>
      <c r="G91" s="39">
        <f>ROUND((E91)*($G$105),2)</f>
        <v>0</v>
      </c>
    </row>
    <row r="92" spans="1:7" ht="77.25" customHeight="1" x14ac:dyDescent="0.2">
      <c r="A92" s="266"/>
      <c r="B92" s="267"/>
      <c r="C92" s="71" t="s">
        <v>120</v>
      </c>
      <c r="D92" s="68" t="s">
        <v>89</v>
      </c>
      <c r="E92" s="255">
        <v>0.05</v>
      </c>
      <c r="F92" s="255"/>
      <c r="G92" s="39">
        <f>ROUND((E92)*($G$105),2)</f>
        <v>279.77</v>
      </c>
    </row>
    <row r="93" spans="1:7" ht="41.25" customHeight="1" x14ac:dyDescent="0.2">
      <c r="A93" s="266"/>
      <c r="B93" s="267"/>
      <c r="C93" s="256" t="s">
        <v>90</v>
      </c>
      <c r="D93" s="257"/>
      <c r="E93" s="255"/>
      <c r="F93" s="255"/>
      <c r="G93" s="39">
        <f>ROUND((E93)*($G$105),2)</f>
        <v>0</v>
      </c>
    </row>
    <row r="94" spans="1:7" ht="19.5" customHeight="1" x14ac:dyDescent="0.2">
      <c r="A94" s="266"/>
      <c r="B94" s="258" t="s">
        <v>91</v>
      </c>
      <c r="C94" s="258"/>
      <c r="D94" s="258"/>
      <c r="E94" s="258"/>
      <c r="F94" s="258"/>
      <c r="G94" s="72">
        <f>SUM(G89,G90,G91,G92,G93)</f>
        <v>797.32999999999993</v>
      </c>
    </row>
    <row r="95" spans="1:7" ht="21.75" customHeight="1" x14ac:dyDescent="0.2">
      <c r="A95" s="259" t="s">
        <v>92</v>
      </c>
      <c r="B95" s="259"/>
      <c r="C95" s="259"/>
      <c r="D95" s="259"/>
      <c r="E95" s="259"/>
      <c r="F95" s="259"/>
      <c r="G95" s="73">
        <f>SUM(G94,G87,G86)</f>
        <v>1233.2599999999998</v>
      </c>
    </row>
    <row r="96" spans="1:7" ht="3.75" customHeight="1" x14ac:dyDescent="0.2">
      <c r="A96" s="251"/>
      <c r="B96" s="251"/>
      <c r="C96" s="251"/>
      <c r="D96" s="251"/>
      <c r="E96" s="251"/>
      <c r="F96" s="251"/>
      <c r="G96" s="251"/>
    </row>
    <row r="97" spans="1:7" ht="23.25" customHeight="1" x14ac:dyDescent="0.2">
      <c r="A97" s="252" t="s">
        <v>93</v>
      </c>
      <c r="B97" s="252"/>
      <c r="C97" s="252"/>
      <c r="D97" s="252"/>
      <c r="E97" s="252"/>
      <c r="F97" s="252"/>
      <c r="G97" s="252"/>
    </row>
    <row r="98" spans="1:7" ht="19.5" customHeight="1" x14ac:dyDescent="0.2">
      <c r="A98" s="79" t="s">
        <v>5</v>
      </c>
      <c r="B98" s="33" t="s">
        <v>94</v>
      </c>
      <c r="C98" s="42"/>
      <c r="D98" s="42"/>
      <c r="E98" s="42"/>
      <c r="F98" s="42"/>
      <c r="G98" s="80">
        <f>G27</f>
        <v>1778.06</v>
      </c>
    </row>
    <row r="99" spans="1:7" ht="19.5" customHeight="1" x14ac:dyDescent="0.2">
      <c r="A99" s="79" t="s">
        <v>7</v>
      </c>
      <c r="B99" s="33" t="s">
        <v>95</v>
      </c>
      <c r="C99" s="42"/>
      <c r="D99" s="42"/>
      <c r="E99" s="42"/>
      <c r="F99" s="42"/>
      <c r="G99" s="80">
        <f>G51</f>
        <v>1660.4099999999999</v>
      </c>
    </row>
    <row r="100" spans="1:7" ht="19.5" customHeight="1" x14ac:dyDescent="0.2">
      <c r="A100" s="79" t="s">
        <v>9</v>
      </c>
      <c r="B100" s="33" t="s">
        <v>96</v>
      </c>
      <c r="C100" s="42"/>
      <c r="D100" s="42"/>
      <c r="E100" s="42"/>
      <c r="F100" s="42"/>
      <c r="G100" s="80">
        <f>G60</f>
        <v>141.61000000000001</v>
      </c>
    </row>
    <row r="101" spans="1:7" ht="19.5" customHeight="1" x14ac:dyDescent="0.2">
      <c r="A101" s="79" t="s">
        <v>11</v>
      </c>
      <c r="B101" s="33" t="s">
        <v>97</v>
      </c>
      <c r="C101" s="42"/>
      <c r="D101" s="42"/>
      <c r="E101" s="42"/>
      <c r="F101" s="42"/>
      <c r="G101" s="80">
        <f>G77</f>
        <v>348.50349878909998</v>
      </c>
    </row>
    <row r="102" spans="1:7" ht="19.5" customHeight="1" x14ac:dyDescent="0.2">
      <c r="A102" s="79" t="s">
        <v>13</v>
      </c>
      <c r="B102" s="33" t="s">
        <v>98</v>
      </c>
      <c r="C102" s="42"/>
      <c r="D102" s="42"/>
      <c r="E102" s="42"/>
      <c r="F102" s="42"/>
      <c r="G102" s="80">
        <f>G83</f>
        <v>433.47</v>
      </c>
    </row>
    <row r="103" spans="1:7" ht="19.5" customHeight="1" x14ac:dyDescent="0.2">
      <c r="A103" s="253" t="s">
        <v>99</v>
      </c>
      <c r="B103" s="254"/>
      <c r="C103" s="254"/>
      <c r="D103" s="254"/>
      <c r="E103" s="254"/>
      <c r="F103" s="254"/>
      <c r="G103" s="74">
        <f>SUM(G98:G102)</f>
        <v>4362.0534987890996</v>
      </c>
    </row>
    <row r="104" spans="1:7" ht="19.5" customHeight="1" x14ac:dyDescent="0.2">
      <c r="A104" s="79" t="s">
        <v>15</v>
      </c>
      <c r="B104" s="33" t="s">
        <v>100</v>
      </c>
      <c r="C104" s="42"/>
      <c r="D104" s="42"/>
      <c r="E104" s="42"/>
      <c r="F104" s="42"/>
      <c r="G104" s="80">
        <f>G95</f>
        <v>1233.2599999999998</v>
      </c>
    </row>
    <row r="105" spans="1:7" ht="43.5" customHeight="1" x14ac:dyDescent="0.2">
      <c r="A105" s="247" t="s">
        <v>101</v>
      </c>
      <c r="B105" s="247"/>
      <c r="C105" s="247"/>
      <c r="D105" s="247"/>
      <c r="E105" s="247"/>
      <c r="F105" s="247"/>
      <c r="G105" s="75">
        <f>SUM(G103+G86+G87)/(1-E88)</f>
        <v>5595.3160335732937</v>
      </c>
    </row>
    <row r="106" spans="1:7" ht="3.75" customHeight="1" x14ac:dyDescent="0.2">
      <c r="A106" s="251"/>
      <c r="B106" s="251"/>
      <c r="C106" s="251"/>
      <c r="D106" s="251"/>
      <c r="E106" s="251"/>
      <c r="F106" s="251"/>
      <c r="G106" s="251"/>
    </row>
    <row r="107" spans="1:7" ht="22.5" customHeight="1" x14ac:dyDescent="0.2">
      <c r="A107" s="249" t="s">
        <v>102</v>
      </c>
      <c r="B107" s="249"/>
      <c r="C107" s="249"/>
      <c r="D107" s="249"/>
      <c r="E107" s="249"/>
      <c r="F107" s="249"/>
      <c r="G107" s="249"/>
    </row>
    <row r="108" spans="1:7" ht="21" customHeight="1" x14ac:dyDescent="0.2">
      <c r="A108" s="248" t="s">
        <v>103</v>
      </c>
      <c r="B108" s="248"/>
      <c r="C108" s="248"/>
      <c r="D108" s="248"/>
      <c r="E108" s="248"/>
      <c r="F108" s="248"/>
      <c r="G108" s="80">
        <f>G105</f>
        <v>5595.3160335732937</v>
      </c>
    </row>
    <row r="109" spans="1:7" ht="21" customHeight="1" x14ac:dyDescent="0.2">
      <c r="A109" s="248" t="s">
        <v>104</v>
      </c>
      <c r="B109" s="248"/>
      <c r="C109" s="248"/>
      <c r="D109" s="248"/>
      <c r="E109" s="248"/>
      <c r="F109" s="248"/>
      <c r="G109" s="11">
        <v>1</v>
      </c>
    </row>
    <row r="110" spans="1:7" ht="21" customHeight="1" x14ac:dyDescent="0.2">
      <c r="A110" s="248" t="s">
        <v>105</v>
      </c>
      <c r="B110" s="248"/>
      <c r="C110" s="248"/>
      <c r="D110" s="248"/>
      <c r="E110" s="248"/>
      <c r="F110" s="248"/>
      <c r="G110" s="80">
        <f>G109*G108</f>
        <v>5595.3160335732937</v>
      </c>
    </row>
    <row r="111" spans="1:7" ht="21" customHeight="1" x14ac:dyDescent="0.2">
      <c r="A111" s="248" t="s">
        <v>106</v>
      </c>
      <c r="B111" s="248"/>
      <c r="C111" s="248"/>
      <c r="D111" s="248"/>
      <c r="E111" s="248"/>
      <c r="F111" s="248"/>
      <c r="G111" s="11">
        <v>1</v>
      </c>
    </row>
    <row r="112" spans="1:7" ht="22.5" customHeight="1" x14ac:dyDescent="0.2">
      <c r="A112" s="249" t="s">
        <v>107</v>
      </c>
      <c r="B112" s="249"/>
      <c r="C112" s="249"/>
      <c r="D112" s="249"/>
      <c r="E112" s="249"/>
      <c r="F112" s="249"/>
      <c r="G112" s="76">
        <f>G111*G110</f>
        <v>5595.3160335732937</v>
      </c>
    </row>
    <row r="113" spans="1:7" ht="3.75" customHeight="1" x14ac:dyDescent="0.2">
      <c r="A113" s="250"/>
      <c r="B113" s="250"/>
      <c r="C113" s="250"/>
      <c r="D113" s="250"/>
      <c r="E113" s="250"/>
      <c r="F113" s="250"/>
      <c r="G113" s="250"/>
    </row>
    <row r="114" spans="1:7" ht="22.5" customHeight="1" x14ac:dyDescent="0.2">
      <c r="A114" s="303" t="s">
        <v>182</v>
      </c>
      <c r="B114" s="304"/>
      <c r="C114" s="304"/>
      <c r="D114" s="304"/>
      <c r="E114" s="304"/>
      <c r="F114" s="305"/>
      <c r="G114" s="75">
        <f>G112*G18</f>
        <v>111906.32067146587</v>
      </c>
    </row>
  </sheetData>
  <mergeCells count="120">
    <mergeCell ref="A1:G1"/>
    <mergeCell ref="A3:G3"/>
    <mergeCell ref="A5:G5"/>
    <mergeCell ref="A6:G6"/>
    <mergeCell ref="A8:G8"/>
    <mergeCell ref="A9:G9"/>
    <mergeCell ref="A23:F23"/>
    <mergeCell ref="E25:F25"/>
    <mergeCell ref="A27:F27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0:F50"/>
    <mergeCell ref="A51:F51"/>
    <mergeCell ref="D40:E40"/>
    <mergeCell ref="D41:E41"/>
    <mergeCell ref="D42:E42"/>
    <mergeCell ref="D43:E43"/>
    <mergeCell ref="A44:E44"/>
    <mergeCell ref="A45:G45"/>
    <mergeCell ref="B56:D56"/>
    <mergeCell ref="E56:F56"/>
    <mergeCell ref="B57:D57"/>
    <mergeCell ref="E57:F57"/>
    <mergeCell ref="B58:D58"/>
    <mergeCell ref="E58:F58"/>
    <mergeCell ref="A53:G53"/>
    <mergeCell ref="A54:A55"/>
    <mergeCell ref="B54:D54"/>
    <mergeCell ref="E54:F55"/>
    <mergeCell ref="G54:G55"/>
    <mergeCell ref="B55:C55"/>
    <mergeCell ref="B59:D59"/>
    <mergeCell ref="E59:F59"/>
    <mergeCell ref="A60:F60"/>
    <mergeCell ref="A62:G62"/>
    <mergeCell ref="A63:G63"/>
    <mergeCell ref="A64:A65"/>
    <mergeCell ref="B64:D64"/>
    <mergeCell ref="E64:F65"/>
    <mergeCell ref="G64:G65"/>
    <mergeCell ref="B65:D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4:F74"/>
    <mergeCell ref="A77:F77"/>
    <mergeCell ref="A78:G78"/>
    <mergeCell ref="A79:G79"/>
    <mergeCell ref="A83:F83"/>
    <mergeCell ref="A84:G84"/>
    <mergeCell ref="A70:A71"/>
    <mergeCell ref="B70:D70"/>
    <mergeCell ref="E70:F71"/>
    <mergeCell ref="G70:G71"/>
    <mergeCell ref="B71:D71"/>
    <mergeCell ref="A72:A73"/>
    <mergeCell ref="B72:D72"/>
    <mergeCell ref="E72:F73"/>
    <mergeCell ref="G72:G73"/>
    <mergeCell ref="B73:D73"/>
    <mergeCell ref="E91:F91"/>
    <mergeCell ref="E92:F92"/>
    <mergeCell ref="C93:D93"/>
    <mergeCell ref="E93:F93"/>
    <mergeCell ref="B94:F94"/>
    <mergeCell ref="A95:F95"/>
    <mergeCell ref="A85:G85"/>
    <mergeCell ref="B86:D86"/>
    <mergeCell ref="E86:F86"/>
    <mergeCell ref="B87:D87"/>
    <mergeCell ref="E87:F87"/>
    <mergeCell ref="A88:A94"/>
    <mergeCell ref="B88:B93"/>
    <mergeCell ref="E88:F88"/>
    <mergeCell ref="E89:F89"/>
    <mergeCell ref="E90:F90"/>
    <mergeCell ref="A114:F114"/>
    <mergeCell ref="A108:F108"/>
    <mergeCell ref="A109:F109"/>
    <mergeCell ref="A110:F110"/>
    <mergeCell ref="A111:F111"/>
    <mergeCell ref="A112:F112"/>
    <mergeCell ref="A113:G113"/>
    <mergeCell ref="A96:G96"/>
    <mergeCell ref="A97:G97"/>
    <mergeCell ref="A103:F103"/>
    <mergeCell ref="A105:F105"/>
    <mergeCell ref="A106:G106"/>
    <mergeCell ref="A107:G107"/>
  </mergeCells>
  <pageMargins left="0.23622047244094491" right="0.23622047244094491" top="0.55118110236220474" bottom="0.55118110236220474" header="0.31496062992125984" footer="0.31496062992125984"/>
  <pageSetup paperSize="9" scale="84" firstPageNumber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64EBF-3277-4534-BBAC-A0CFA466EE9F}">
  <dimension ref="A1:K48"/>
  <sheetViews>
    <sheetView showGridLines="0" zoomScaleNormal="100" workbookViewId="0">
      <selection activeCell="A31" sqref="A31:G42"/>
    </sheetView>
  </sheetViews>
  <sheetFormatPr defaultRowHeight="12.75" x14ac:dyDescent="0.25"/>
  <cols>
    <col min="1" max="1" width="14.5703125" style="146" customWidth="1"/>
    <col min="2" max="7" width="13.7109375" style="131" customWidth="1"/>
    <col min="8" max="8" width="15.42578125" style="131" customWidth="1"/>
    <col min="9" max="9" width="45.7109375" style="131" customWidth="1"/>
    <col min="10" max="11" width="17.7109375" style="131" customWidth="1"/>
    <col min="12" max="13" width="45.7109375" style="131" customWidth="1"/>
    <col min="14" max="256" width="9.140625" style="131"/>
    <col min="257" max="257" width="14.28515625" style="131" customWidth="1"/>
    <col min="258" max="258" width="19.28515625" style="131" customWidth="1"/>
    <col min="259" max="259" width="16" style="131" customWidth="1"/>
    <col min="260" max="260" width="17.140625" style="131" customWidth="1"/>
    <col min="261" max="261" width="10.140625" style="131" customWidth="1"/>
    <col min="262" max="262" width="10.5703125" style="131" customWidth="1"/>
    <col min="263" max="263" width="9.85546875" style="131" customWidth="1"/>
    <col min="264" max="265" width="12.7109375" style="131" bestFit="1" customWidth="1"/>
    <col min="266" max="266" width="9.140625" style="131"/>
    <col min="267" max="267" width="10.28515625" style="131" bestFit="1" customWidth="1"/>
    <col min="268" max="512" width="9.140625" style="131"/>
    <col min="513" max="513" width="14.28515625" style="131" customWidth="1"/>
    <col min="514" max="514" width="19.28515625" style="131" customWidth="1"/>
    <col min="515" max="515" width="16" style="131" customWidth="1"/>
    <col min="516" max="516" width="17.140625" style="131" customWidth="1"/>
    <col min="517" max="517" width="10.140625" style="131" customWidth="1"/>
    <col min="518" max="518" width="10.5703125" style="131" customWidth="1"/>
    <col min="519" max="519" width="9.85546875" style="131" customWidth="1"/>
    <col min="520" max="521" width="12.7109375" style="131" bestFit="1" customWidth="1"/>
    <col min="522" max="522" width="9.140625" style="131"/>
    <col min="523" max="523" width="10.28515625" style="131" bestFit="1" customWidth="1"/>
    <col min="524" max="768" width="9.140625" style="131"/>
    <col min="769" max="769" width="14.28515625" style="131" customWidth="1"/>
    <col min="770" max="770" width="19.28515625" style="131" customWidth="1"/>
    <col min="771" max="771" width="16" style="131" customWidth="1"/>
    <col min="772" max="772" width="17.140625" style="131" customWidth="1"/>
    <col min="773" max="773" width="10.140625" style="131" customWidth="1"/>
    <col min="774" max="774" width="10.5703125" style="131" customWidth="1"/>
    <col min="775" max="775" width="9.85546875" style="131" customWidth="1"/>
    <col min="776" max="777" width="12.7109375" style="131" bestFit="1" customWidth="1"/>
    <col min="778" max="778" width="9.140625" style="131"/>
    <col min="779" max="779" width="10.28515625" style="131" bestFit="1" customWidth="1"/>
    <col min="780" max="1024" width="9.140625" style="131"/>
    <col min="1025" max="1025" width="14.28515625" style="131" customWidth="1"/>
    <col min="1026" max="1026" width="19.28515625" style="131" customWidth="1"/>
    <col min="1027" max="1027" width="16" style="131" customWidth="1"/>
    <col min="1028" max="1028" width="17.140625" style="131" customWidth="1"/>
    <col min="1029" max="1029" width="10.140625" style="131" customWidth="1"/>
    <col min="1030" max="1030" width="10.5703125" style="131" customWidth="1"/>
    <col min="1031" max="1031" width="9.85546875" style="131" customWidth="1"/>
    <col min="1032" max="1033" width="12.7109375" style="131" bestFit="1" customWidth="1"/>
    <col min="1034" max="1034" width="9.140625" style="131"/>
    <col min="1035" max="1035" width="10.28515625" style="131" bestFit="1" customWidth="1"/>
    <col min="1036" max="1280" width="9.140625" style="131"/>
    <col min="1281" max="1281" width="14.28515625" style="131" customWidth="1"/>
    <col min="1282" max="1282" width="19.28515625" style="131" customWidth="1"/>
    <col min="1283" max="1283" width="16" style="131" customWidth="1"/>
    <col min="1284" max="1284" width="17.140625" style="131" customWidth="1"/>
    <col min="1285" max="1285" width="10.140625" style="131" customWidth="1"/>
    <col min="1286" max="1286" width="10.5703125" style="131" customWidth="1"/>
    <col min="1287" max="1287" width="9.85546875" style="131" customWidth="1"/>
    <col min="1288" max="1289" width="12.7109375" style="131" bestFit="1" customWidth="1"/>
    <col min="1290" max="1290" width="9.140625" style="131"/>
    <col min="1291" max="1291" width="10.28515625" style="131" bestFit="1" customWidth="1"/>
    <col min="1292" max="1536" width="9.140625" style="131"/>
    <col min="1537" max="1537" width="14.28515625" style="131" customWidth="1"/>
    <col min="1538" max="1538" width="19.28515625" style="131" customWidth="1"/>
    <col min="1539" max="1539" width="16" style="131" customWidth="1"/>
    <col min="1540" max="1540" width="17.140625" style="131" customWidth="1"/>
    <col min="1541" max="1541" width="10.140625" style="131" customWidth="1"/>
    <col min="1542" max="1542" width="10.5703125" style="131" customWidth="1"/>
    <col min="1543" max="1543" width="9.85546875" style="131" customWidth="1"/>
    <col min="1544" max="1545" width="12.7109375" style="131" bestFit="1" customWidth="1"/>
    <col min="1546" max="1546" width="9.140625" style="131"/>
    <col min="1547" max="1547" width="10.28515625" style="131" bestFit="1" customWidth="1"/>
    <col min="1548" max="1792" width="9.140625" style="131"/>
    <col min="1793" max="1793" width="14.28515625" style="131" customWidth="1"/>
    <col min="1794" max="1794" width="19.28515625" style="131" customWidth="1"/>
    <col min="1795" max="1795" width="16" style="131" customWidth="1"/>
    <col min="1796" max="1796" width="17.140625" style="131" customWidth="1"/>
    <col min="1797" max="1797" width="10.140625" style="131" customWidth="1"/>
    <col min="1798" max="1798" width="10.5703125" style="131" customWidth="1"/>
    <col min="1799" max="1799" width="9.85546875" style="131" customWidth="1"/>
    <col min="1800" max="1801" width="12.7109375" style="131" bestFit="1" customWidth="1"/>
    <col min="1802" max="1802" width="9.140625" style="131"/>
    <col min="1803" max="1803" width="10.28515625" style="131" bestFit="1" customWidth="1"/>
    <col min="1804" max="2048" width="9.140625" style="131"/>
    <col min="2049" max="2049" width="14.28515625" style="131" customWidth="1"/>
    <col min="2050" max="2050" width="19.28515625" style="131" customWidth="1"/>
    <col min="2051" max="2051" width="16" style="131" customWidth="1"/>
    <col min="2052" max="2052" width="17.140625" style="131" customWidth="1"/>
    <col min="2053" max="2053" width="10.140625" style="131" customWidth="1"/>
    <col min="2054" max="2054" width="10.5703125" style="131" customWidth="1"/>
    <col min="2055" max="2055" width="9.85546875" style="131" customWidth="1"/>
    <col min="2056" max="2057" width="12.7109375" style="131" bestFit="1" customWidth="1"/>
    <col min="2058" max="2058" width="9.140625" style="131"/>
    <col min="2059" max="2059" width="10.28515625" style="131" bestFit="1" customWidth="1"/>
    <col min="2060" max="2304" width="9.140625" style="131"/>
    <col min="2305" max="2305" width="14.28515625" style="131" customWidth="1"/>
    <col min="2306" max="2306" width="19.28515625" style="131" customWidth="1"/>
    <col min="2307" max="2307" width="16" style="131" customWidth="1"/>
    <col min="2308" max="2308" width="17.140625" style="131" customWidth="1"/>
    <col min="2309" max="2309" width="10.140625" style="131" customWidth="1"/>
    <col min="2310" max="2310" width="10.5703125" style="131" customWidth="1"/>
    <col min="2311" max="2311" width="9.85546875" style="131" customWidth="1"/>
    <col min="2312" max="2313" width="12.7109375" style="131" bestFit="1" customWidth="1"/>
    <col min="2314" max="2314" width="9.140625" style="131"/>
    <col min="2315" max="2315" width="10.28515625" style="131" bestFit="1" customWidth="1"/>
    <col min="2316" max="2560" width="9.140625" style="131"/>
    <col min="2561" max="2561" width="14.28515625" style="131" customWidth="1"/>
    <col min="2562" max="2562" width="19.28515625" style="131" customWidth="1"/>
    <col min="2563" max="2563" width="16" style="131" customWidth="1"/>
    <col min="2564" max="2564" width="17.140625" style="131" customWidth="1"/>
    <col min="2565" max="2565" width="10.140625" style="131" customWidth="1"/>
    <col min="2566" max="2566" width="10.5703125" style="131" customWidth="1"/>
    <col min="2567" max="2567" width="9.85546875" style="131" customWidth="1"/>
    <col min="2568" max="2569" width="12.7109375" style="131" bestFit="1" customWidth="1"/>
    <col min="2570" max="2570" width="9.140625" style="131"/>
    <col min="2571" max="2571" width="10.28515625" style="131" bestFit="1" customWidth="1"/>
    <col min="2572" max="2816" width="9.140625" style="131"/>
    <col min="2817" max="2817" width="14.28515625" style="131" customWidth="1"/>
    <col min="2818" max="2818" width="19.28515625" style="131" customWidth="1"/>
    <col min="2819" max="2819" width="16" style="131" customWidth="1"/>
    <col min="2820" max="2820" width="17.140625" style="131" customWidth="1"/>
    <col min="2821" max="2821" width="10.140625" style="131" customWidth="1"/>
    <col min="2822" max="2822" width="10.5703125" style="131" customWidth="1"/>
    <col min="2823" max="2823" width="9.85546875" style="131" customWidth="1"/>
    <col min="2824" max="2825" width="12.7109375" style="131" bestFit="1" customWidth="1"/>
    <col min="2826" max="2826" width="9.140625" style="131"/>
    <col min="2827" max="2827" width="10.28515625" style="131" bestFit="1" customWidth="1"/>
    <col min="2828" max="3072" width="9.140625" style="131"/>
    <col min="3073" max="3073" width="14.28515625" style="131" customWidth="1"/>
    <col min="3074" max="3074" width="19.28515625" style="131" customWidth="1"/>
    <col min="3075" max="3075" width="16" style="131" customWidth="1"/>
    <col min="3076" max="3076" width="17.140625" style="131" customWidth="1"/>
    <col min="3077" max="3077" width="10.140625" style="131" customWidth="1"/>
    <col min="3078" max="3078" width="10.5703125" style="131" customWidth="1"/>
    <col min="3079" max="3079" width="9.85546875" style="131" customWidth="1"/>
    <col min="3080" max="3081" width="12.7109375" style="131" bestFit="1" customWidth="1"/>
    <col min="3082" max="3082" width="9.140625" style="131"/>
    <col min="3083" max="3083" width="10.28515625" style="131" bestFit="1" customWidth="1"/>
    <col min="3084" max="3328" width="9.140625" style="131"/>
    <col min="3329" max="3329" width="14.28515625" style="131" customWidth="1"/>
    <col min="3330" max="3330" width="19.28515625" style="131" customWidth="1"/>
    <col min="3331" max="3331" width="16" style="131" customWidth="1"/>
    <col min="3332" max="3332" width="17.140625" style="131" customWidth="1"/>
    <col min="3333" max="3333" width="10.140625" style="131" customWidth="1"/>
    <col min="3334" max="3334" width="10.5703125" style="131" customWidth="1"/>
    <col min="3335" max="3335" width="9.85546875" style="131" customWidth="1"/>
    <col min="3336" max="3337" width="12.7109375" style="131" bestFit="1" customWidth="1"/>
    <col min="3338" max="3338" width="9.140625" style="131"/>
    <col min="3339" max="3339" width="10.28515625" style="131" bestFit="1" customWidth="1"/>
    <col min="3340" max="3584" width="9.140625" style="131"/>
    <col min="3585" max="3585" width="14.28515625" style="131" customWidth="1"/>
    <col min="3586" max="3586" width="19.28515625" style="131" customWidth="1"/>
    <col min="3587" max="3587" width="16" style="131" customWidth="1"/>
    <col min="3588" max="3588" width="17.140625" style="131" customWidth="1"/>
    <col min="3589" max="3589" width="10.140625" style="131" customWidth="1"/>
    <col min="3590" max="3590" width="10.5703125" style="131" customWidth="1"/>
    <col min="3591" max="3591" width="9.85546875" style="131" customWidth="1"/>
    <col min="3592" max="3593" width="12.7109375" style="131" bestFit="1" customWidth="1"/>
    <col min="3594" max="3594" width="9.140625" style="131"/>
    <col min="3595" max="3595" width="10.28515625" style="131" bestFit="1" customWidth="1"/>
    <col min="3596" max="3840" width="9.140625" style="131"/>
    <col min="3841" max="3841" width="14.28515625" style="131" customWidth="1"/>
    <col min="3842" max="3842" width="19.28515625" style="131" customWidth="1"/>
    <col min="3843" max="3843" width="16" style="131" customWidth="1"/>
    <col min="3844" max="3844" width="17.140625" style="131" customWidth="1"/>
    <col min="3845" max="3845" width="10.140625" style="131" customWidth="1"/>
    <col min="3846" max="3846" width="10.5703125" style="131" customWidth="1"/>
    <col min="3847" max="3847" width="9.85546875" style="131" customWidth="1"/>
    <col min="3848" max="3849" width="12.7109375" style="131" bestFit="1" customWidth="1"/>
    <col min="3850" max="3850" width="9.140625" style="131"/>
    <col min="3851" max="3851" width="10.28515625" style="131" bestFit="1" customWidth="1"/>
    <col min="3852" max="4096" width="9.140625" style="131"/>
    <col min="4097" max="4097" width="14.28515625" style="131" customWidth="1"/>
    <col min="4098" max="4098" width="19.28515625" style="131" customWidth="1"/>
    <col min="4099" max="4099" width="16" style="131" customWidth="1"/>
    <col min="4100" max="4100" width="17.140625" style="131" customWidth="1"/>
    <col min="4101" max="4101" width="10.140625" style="131" customWidth="1"/>
    <col min="4102" max="4102" width="10.5703125" style="131" customWidth="1"/>
    <col min="4103" max="4103" width="9.85546875" style="131" customWidth="1"/>
    <col min="4104" max="4105" width="12.7109375" style="131" bestFit="1" customWidth="1"/>
    <col min="4106" max="4106" width="9.140625" style="131"/>
    <col min="4107" max="4107" width="10.28515625" style="131" bestFit="1" customWidth="1"/>
    <col min="4108" max="4352" width="9.140625" style="131"/>
    <col min="4353" max="4353" width="14.28515625" style="131" customWidth="1"/>
    <col min="4354" max="4354" width="19.28515625" style="131" customWidth="1"/>
    <col min="4355" max="4355" width="16" style="131" customWidth="1"/>
    <col min="4356" max="4356" width="17.140625" style="131" customWidth="1"/>
    <col min="4357" max="4357" width="10.140625" style="131" customWidth="1"/>
    <col min="4358" max="4358" width="10.5703125" style="131" customWidth="1"/>
    <col min="4359" max="4359" width="9.85546875" style="131" customWidth="1"/>
    <col min="4360" max="4361" width="12.7109375" style="131" bestFit="1" customWidth="1"/>
    <col min="4362" max="4362" width="9.140625" style="131"/>
    <col min="4363" max="4363" width="10.28515625" style="131" bestFit="1" customWidth="1"/>
    <col min="4364" max="4608" width="9.140625" style="131"/>
    <col min="4609" max="4609" width="14.28515625" style="131" customWidth="1"/>
    <col min="4610" max="4610" width="19.28515625" style="131" customWidth="1"/>
    <col min="4611" max="4611" width="16" style="131" customWidth="1"/>
    <col min="4612" max="4612" width="17.140625" style="131" customWidth="1"/>
    <col min="4613" max="4613" width="10.140625" style="131" customWidth="1"/>
    <col min="4614" max="4614" width="10.5703125" style="131" customWidth="1"/>
    <col min="4615" max="4615" width="9.85546875" style="131" customWidth="1"/>
    <col min="4616" max="4617" width="12.7109375" style="131" bestFit="1" customWidth="1"/>
    <col min="4618" max="4618" width="9.140625" style="131"/>
    <col min="4619" max="4619" width="10.28515625" style="131" bestFit="1" customWidth="1"/>
    <col min="4620" max="4864" width="9.140625" style="131"/>
    <col min="4865" max="4865" width="14.28515625" style="131" customWidth="1"/>
    <col min="4866" max="4866" width="19.28515625" style="131" customWidth="1"/>
    <col min="4867" max="4867" width="16" style="131" customWidth="1"/>
    <col min="4868" max="4868" width="17.140625" style="131" customWidth="1"/>
    <col min="4869" max="4869" width="10.140625" style="131" customWidth="1"/>
    <col min="4870" max="4870" width="10.5703125" style="131" customWidth="1"/>
    <col min="4871" max="4871" width="9.85546875" style="131" customWidth="1"/>
    <col min="4872" max="4873" width="12.7109375" style="131" bestFit="1" customWidth="1"/>
    <col min="4874" max="4874" width="9.140625" style="131"/>
    <col min="4875" max="4875" width="10.28515625" style="131" bestFit="1" customWidth="1"/>
    <col min="4876" max="5120" width="9.140625" style="131"/>
    <col min="5121" max="5121" width="14.28515625" style="131" customWidth="1"/>
    <col min="5122" max="5122" width="19.28515625" style="131" customWidth="1"/>
    <col min="5123" max="5123" width="16" style="131" customWidth="1"/>
    <col min="5124" max="5124" width="17.140625" style="131" customWidth="1"/>
    <col min="5125" max="5125" width="10.140625" style="131" customWidth="1"/>
    <col min="5126" max="5126" width="10.5703125" style="131" customWidth="1"/>
    <col min="5127" max="5127" width="9.85546875" style="131" customWidth="1"/>
    <col min="5128" max="5129" width="12.7109375" style="131" bestFit="1" customWidth="1"/>
    <col min="5130" max="5130" width="9.140625" style="131"/>
    <col min="5131" max="5131" width="10.28515625" style="131" bestFit="1" customWidth="1"/>
    <col min="5132" max="5376" width="9.140625" style="131"/>
    <col min="5377" max="5377" width="14.28515625" style="131" customWidth="1"/>
    <col min="5378" max="5378" width="19.28515625" style="131" customWidth="1"/>
    <col min="5379" max="5379" width="16" style="131" customWidth="1"/>
    <col min="5380" max="5380" width="17.140625" style="131" customWidth="1"/>
    <col min="5381" max="5381" width="10.140625" style="131" customWidth="1"/>
    <col min="5382" max="5382" width="10.5703125" style="131" customWidth="1"/>
    <col min="5383" max="5383" width="9.85546875" style="131" customWidth="1"/>
    <col min="5384" max="5385" width="12.7109375" style="131" bestFit="1" customWidth="1"/>
    <col min="5386" max="5386" width="9.140625" style="131"/>
    <col min="5387" max="5387" width="10.28515625" style="131" bestFit="1" customWidth="1"/>
    <col min="5388" max="5632" width="9.140625" style="131"/>
    <col min="5633" max="5633" width="14.28515625" style="131" customWidth="1"/>
    <col min="5634" max="5634" width="19.28515625" style="131" customWidth="1"/>
    <col min="5635" max="5635" width="16" style="131" customWidth="1"/>
    <col min="5636" max="5636" width="17.140625" style="131" customWidth="1"/>
    <col min="5637" max="5637" width="10.140625" style="131" customWidth="1"/>
    <col min="5638" max="5638" width="10.5703125" style="131" customWidth="1"/>
    <col min="5639" max="5639" width="9.85546875" style="131" customWidth="1"/>
    <col min="5640" max="5641" width="12.7109375" style="131" bestFit="1" customWidth="1"/>
    <col min="5642" max="5642" width="9.140625" style="131"/>
    <col min="5643" max="5643" width="10.28515625" style="131" bestFit="1" customWidth="1"/>
    <col min="5644" max="5888" width="9.140625" style="131"/>
    <col min="5889" max="5889" width="14.28515625" style="131" customWidth="1"/>
    <col min="5890" max="5890" width="19.28515625" style="131" customWidth="1"/>
    <col min="5891" max="5891" width="16" style="131" customWidth="1"/>
    <col min="5892" max="5892" width="17.140625" style="131" customWidth="1"/>
    <col min="5893" max="5893" width="10.140625" style="131" customWidth="1"/>
    <col min="5894" max="5894" width="10.5703125" style="131" customWidth="1"/>
    <col min="5895" max="5895" width="9.85546875" style="131" customWidth="1"/>
    <col min="5896" max="5897" width="12.7109375" style="131" bestFit="1" customWidth="1"/>
    <col min="5898" max="5898" width="9.140625" style="131"/>
    <col min="5899" max="5899" width="10.28515625" style="131" bestFit="1" customWidth="1"/>
    <col min="5900" max="6144" width="9.140625" style="131"/>
    <col min="6145" max="6145" width="14.28515625" style="131" customWidth="1"/>
    <col min="6146" max="6146" width="19.28515625" style="131" customWidth="1"/>
    <col min="6147" max="6147" width="16" style="131" customWidth="1"/>
    <col min="6148" max="6148" width="17.140625" style="131" customWidth="1"/>
    <col min="6149" max="6149" width="10.140625" style="131" customWidth="1"/>
    <col min="6150" max="6150" width="10.5703125" style="131" customWidth="1"/>
    <col min="6151" max="6151" width="9.85546875" style="131" customWidth="1"/>
    <col min="6152" max="6153" width="12.7109375" style="131" bestFit="1" customWidth="1"/>
    <col min="6154" max="6154" width="9.140625" style="131"/>
    <col min="6155" max="6155" width="10.28515625" style="131" bestFit="1" customWidth="1"/>
    <col min="6156" max="6400" width="9.140625" style="131"/>
    <col min="6401" max="6401" width="14.28515625" style="131" customWidth="1"/>
    <col min="6402" max="6402" width="19.28515625" style="131" customWidth="1"/>
    <col min="6403" max="6403" width="16" style="131" customWidth="1"/>
    <col min="6404" max="6404" width="17.140625" style="131" customWidth="1"/>
    <col min="6405" max="6405" width="10.140625" style="131" customWidth="1"/>
    <col min="6406" max="6406" width="10.5703125" style="131" customWidth="1"/>
    <col min="6407" max="6407" width="9.85546875" style="131" customWidth="1"/>
    <col min="6408" max="6409" width="12.7109375" style="131" bestFit="1" customWidth="1"/>
    <col min="6410" max="6410" width="9.140625" style="131"/>
    <col min="6411" max="6411" width="10.28515625" style="131" bestFit="1" customWidth="1"/>
    <col min="6412" max="6656" width="9.140625" style="131"/>
    <col min="6657" max="6657" width="14.28515625" style="131" customWidth="1"/>
    <col min="6658" max="6658" width="19.28515625" style="131" customWidth="1"/>
    <col min="6659" max="6659" width="16" style="131" customWidth="1"/>
    <col min="6660" max="6660" width="17.140625" style="131" customWidth="1"/>
    <col min="6661" max="6661" width="10.140625" style="131" customWidth="1"/>
    <col min="6662" max="6662" width="10.5703125" style="131" customWidth="1"/>
    <col min="6663" max="6663" width="9.85546875" style="131" customWidth="1"/>
    <col min="6664" max="6665" width="12.7109375" style="131" bestFit="1" customWidth="1"/>
    <col min="6666" max="6666" width="9.140625" style="131"/>
    <col min="6667" max="6667" width="10.28515625" style="131" bestFit="1" customWidth="1"/>
    <col min="6668" max="6912" width="9.140625" style="131"/>
    <col min="6913" max="6913" width="14.28515625" style="131" customWidth="1"/>
    <col min="6914" max="6914" width="19.28515625" style="131" customWidth="1"/>
    <col min="6915" max="6915" width="16" style="131" customWidth="1"/>
    <col min="6916" max="6916" width="17.140625" style="131" customWidth="1"/>
    <col min="6917" max="6917" width="10.140625" style="131" customWidth="1"/>
    <col min="6918" max="6918" width="10.5703125" style="131" customWidth="1"/>
    <col min="6919" max="6919" width="9.85546875" style="131" customWidth="1"/>
    <col min="6920" max="6921" width="12.7109375" style="131" bestFit="1" customWidth="1"/>
    <col min="6922" max="6922" width="9.140625" style="131"/>
    <col min="6923" max="6923" width="10.28515625" style="131" bestFit="1" customWidth="1"/>
    <col min="6924" max="7168" width="9.140625" style="131"/>
    <col min="7169" max="7169" width="14.28515625" style="131" customWidth="1"/>
    <col min="7170" max="7170" width="19.28515625" style="131" customWidth="1"/>
    <col min="7171" max="7171" width="16" style="131" customWidth="1"/>
    <col min="7172" max="7172" width="17.140625" style="131" customWidth="1"/>
    <col min="7173" max="7173" width="10.140625" style="131" customWidth="1"/>
    <col min="7174" max="7174" width="10.5703125" style="131" customWidth="1"/>
    <col min="7175" max="7175" width="9.85546875" style="131" customWidth="1"/>
    <col min="7176" max="7177" width="12.7109375" style="131" bestFit="1" customWidth="1"/>
    <col min="7178" max="7178" width="9.140625" style="131"/>
    <col min="7179" max="7179" width="10.28515625" style="131" bestFit="1" customWidth="1"/>
    <col min="7180" max="7424" width="9.140625" style="131"/>
    <col min="7425" max="7425" width="14.28515625" style="131" customWidth="1"/>
    <col min="7426" max="7426" width="19.28515625" style="131" customWidth="1"/>
    <col min="7427" max="7427" width="16" style="131" customWidth="1"/>
    <col min="7428" max="7428" width="17.140625" style="131" customWidth="1"/>
    <col min="7429" max="7429" width="10.140625" style="131" customWidth="1"/>
    <col min="7430" max="7430" width="10.5703125" style="131" customWidth="1"/>
    <col min="7431" max="7431" width="9.85546875" style="131" customWidth="1"/>
    <col min="7432" max="7433" width="12.7109375" style="131" bestFit="1" customWidth="1"/>
    <col min="7434" max="7434" width="9.140625" style="131"/>
    <col min="7435" max="7435" width="10.28515625" style="131" bestFit="1" customWidth="1"/>
    <col min="7436" max="7680" width="9.140625" style="131"/>
    <col min="7681" max="7681" width="14.28515625" style="131" customWidth="1"/>
    <col min="7682" max="7682" width="19.28515625" style="131" customWidth="1"/>
    <col min="7683" max="7683" width="16" style="131" customWidth="1"/>
    <col min="7684" max="7684" width="17.140625" style="131" customWidth="1"/>
    <col min="7685" max="7685" width="10.140625" style="131" customWidth="1"/>
    <col min="7686" max="7686" width="10.5703125" style="131" customWidth="1"/>
    <col min="7687" max="7687" width="9.85546875" style="131" customWidth="1"/>
    <col min="7688" max="7689" width="12.7109375" style="131" bestFit="1" customWidth="1"/>
    <col min="7690" max="7690" width="9.140625" style="131"/>
    <col min="7691" max="7691" width="10.28515625" style="131" bestFit="1" customWidth="1"/>
    <col min="7692" max="7936" width="9.140625" style="131"/>
    <col min="7937" max="7937" width="14.28515625" style="131" customWidth="1"/>
    <col min="7938" max="7938" width="19.28515625" style="131" customWidth="1"/>
    <col min="7939" max="7939" width="16" style="131" customWidth="1"/>
    <col min="7940" max="7940" width="17.140625" style="131" customWidth="1"/>
    <col min="7941" max="7941" width="10.140625" style="131" customWidth="1"/>
    <col min="7942" max="7942" width="10.5703125" style="131" customWidth="1"/>
    <col min="7943" max="7943" width="9.85546875" style="131" customWidth="1"/>
    <col min="7944" max="7945" width="12.7109375" style="131" bestFit="1" customWidth="1"/>
    <col min="7946" max="7946" width="9.140625" style="131"/>
    <col min="7947" max="7947" width="10.28515625" style="131" bestFit="1" customWidth="1"/>
    <col min="7948" max="8192" width="9.140625" style="131"/>
    <col min="8193" max="8193" width="14.28515625" style="131" customWidth="1"/>
    <col min="8194" max="8194" width="19.28515625" style="131" customWidth="1"/>
    <col min="8195" max="8195" width="16" style="131" customWidth="1"/>
    <col min="8196" max="8196" width="17.140625" style="131" customWidth="1"/>
    <col min="8197" max="8197" width="10.140625" style="131" customWidth="1"/>
    <col min="8198" max="8198" width="10.5703125" style="131" customWidth="1"/>
    <col min="8199" max="8199" width="9.85546875" style="131" customWidth="1"/>
    <col min="8200" max="8201" width="12.7109375" style="131" bestFit="1" customWidth="1"/>
    <col min="8202" max="8202" width="9.140625" style="131"/>
    <col min="8203" max="8203" width="10.28515625" style="131" bestFit="1" customWidth="1"/>
    <col min="8204" max="8448" width="9.140625" style="131"/>
    <col min="8449" max="8449" width="14.28515625" style="131" customWidth="1"/>
    <col min="8450" max="8450" width="19.28515625" style="131" customWidth="1"/>
    <col min="8451" max="8451" width="16" style="131" customWidth="1"/>
    <col min="8452" max="8452" width="17.140625" style="131" customWidth="1"/>
    <col min="8453" max="8453" width="10.140625" style="131" customWidth="1"/>
    <col min="8454" max="8454" width="10.5703125" style="131" customWidth="1"/>
    <col min="8455" max="8455" width="9.85546875" style="131" customWidth="1"/>
    <col min="8456" max="8457" width="12.7109375" style="131" bestFit="1" customWidth="1"/>
    <col min="8458" max="8458" width="9.140625" style="131"/>
    <col min="8459" max="8459" width="10.28515625" style="131" bestFit="1" customWidth="1"/>
    <col min="8460" max="8704" width="9.140625" style="131"/>
    <col min="8705" max="8705" width="14.28515625" style="131" customWidth="1"/>
    <col min="8706" max="8706" width="19.28515625" style="131" customWidth="1"/>
    <col min="8707" max="8707" width="16" style="131" customWidth="1"/>
    <col min="8708" max="8708" width="17.140625" style="131" customWidth="1"/>
    <col min="8709" max="8709" width="10.140625" style="131" customWidth="1"/>
    <col min="8710" max="8710" width="10.5703125" style="131" customWidth="1"/>
    <col min="8711" max="8711" width="9.85546875" style="131" customWidth="1"/>
    <col min="8712" max="8713" width="12.7109375" style="131" bestFit="1" customWidth="1"/>
    <col min="8714" max="8714" width="9.140625" style="131"/>
    <col min="8715" max="8715" width="10.28515625" style="131" bestFit="1" customWidth="1"/>
    <col min="8716" max="8960" width="9.140625" style="131"/>
    <col min="8961" max="8961" width="14.28515625" style="131" customWidth="1"/>
    <col min="8962" max="8962" width="19.28515625" style="131" customWidth="1"/>
    <col min="8963" max="8963" width="16" style="131" customWidth="1"/>
    <col min="8964" max="8964" width="17.140625" style="131" customWidth="1"/>
    <col min="8965" max="8965" width="10.140625" style="131" customWidth="1"/>
    <col min="8966" max="8966" width="10.5703125" style="131" customWidth="1"/>
    <col min="8967" max="8967" width="9.85546875" style="131" customWidth="1"/>
    <col min="8968" max="8969" width="12.7109375" style="131" bestFit="1" customWidth="1"/>
    <col min="8970" max="8970" width="9.140625" style="131"/>
    <col min="8971" max="8971" width="10.28515625" style="131" bestFit="1" customWidth="1"/>
    <col min="8972" max="9216" width="9.140625" style="131"/>
    <col min="9217" max="9217" width="14.28515625" style="131" customWidth="1"/>
    <col min="9218" max="9218" width="19.28515625" style="131" customWidth="1"/>
    <col min="9219" max="9219" width="16" style="131" customWidth="1"/>
    <col min="9220" max="9220" width="17.140625" style="131" customWidth="1"/>
    <col min="9221" max="9221" width="10.140625" style="131" customWidth="1"/>
    <col min="9222" max="9222" width="10.5703125" style="131" customWidth="1"/>
    <col min="9223" max="9223" width="9.85546875" style="131" customWidth="1"/>
    <col min="9224" max="9225" width="12.7109375" style="131" bestFit="1" customWidth="1"/>
    <col min="9226" max="9226" width="9.140625" style="131"/>
    <col min="9227" max="9227" width="10.28515625" style="131" bestFit="1" customWidth="1"/>
    <col min="9228" max="9472" width="9.140625" style="131"/>
    <col min="9473" max="9473" width="14.28515625" style="131" customWidth="1"/>
    <col min="9474" max="9474" width="19.28515625" style="131" customWidth="1"/>
    <col min="9475" max="9475" width="16" style="131" customWidth="1"/>
    <col min="9476" max="9476" width="17.140625" style="131" customWidth="1"/>
    <col min="9477" max="9477" width="10.140625" style="131" customWidth="1"/>
    <col min="9478" max="9478" width="10.5703125" style="131" customWidth="1"/>
    <col min="9479" max="9479" width="9.85546875" style="131" customWidth="1"/>
    <col min="9480" max="9481" width="12.7109375" style="131" bestFit="1" customWidth="1"/>
    <col min="9482" max="9482" width="9.140625" style="131"/>
    <col min="9483" max="9483" width="10.28515625" style="131" bestFit="1" customWidth="1"/>
    <col min="9484" max="9728" width="9.140625" style="131"/>
    <col min="9729" max="9729" width="14.28515625" style="131" customWidth="1"/>
    <col min="9730" max="9730" width="19.28515625" style="131" customWidth="1"/>
    <col min="9731" max="9731" width="16" style="131" customWidth="1"/>
    <col min="9732" max="9732" width="17.140625" style="131" customWidth="1"/>
    <col min="9733" max="9733" width="10.140625" style="131" customWidth="1"/>
    <col min="9734" max="9734" width="10.5703125" style="131" customWidth="1"/>
    <col min="9735" max="9735" width="9.85546875" style="131" customWidth="1"/>
    <col min="9736" max="9737" width="12.7109375" style="131" bestFit="1" customWidth="1"/>
    <col min="9738" max="9738" width="9.140625" style="131"/>
    <col min="9739" max="9739" width="10.28515625" style="131" bestFit="1" customWidth="1"/>
    <col min="9740" max="9984" width="9.140625" style="131"/>
    <col min="9985" max="9985" width="14.28515625" style="131" customWidth="1"/>
    <col min="9986" max="9986" width="19.28515625" style="131" customWidth="1"/>
    <col min="9987" max="9987" width="16" style="131" customWidth="1"/>
    <col min="9988" max="9988" width="17.140625" style="131" customWidth="1"/>
    <col min="9989" max="9989" width="10.140625" style="131" customWidth="1"/>
    <col min="9990" max="9990" width="10.5703125" style="131" customWidth="1"/>
    <col min="9991" max="9991" width="9.85546875" style="131" customWidth="1"/>
    <col min="9992" max="9993" width="12.7109375" style="131" bestFit="1" customWidth="1"/>
    <col min="9994" max="9994" width="9.140625" style="131"/>
    <col min="9995" max="9995" width="10.28515625" style="131" bestFit="1" customWidth="1"/>
    <col min="9996" max="10240" width="9.140625" style="131"/>
    <col min="10241" max="10241" width="14.28515625" style="131" customWidth="1"/>
    <col min="10242" max="10242" width="19.28515625" style="131" customWidth="1"/>
    <col min="10243" max="10243" width="16" style="131" customWidth="1"/>
    <col min="10244" max="10244" width="17.140625" style="131" customWidth="1"/>
    <col min="10245" max="10245" width="10.140625" style="131" customWidth="1"/>
    <col min="10246" max="10246" width="10.5703125" style="131" customWidth="1"/>
    <col min="10247" max="10247" width="9.85546875" style="131" customWidth="1"/>
    <col min="10248" max="10249" width="12.7109375" style="131" bestFit="1" customWidth="1"/>
    <col min="10250" max="10250" width="9.140625" style="131"/>
    <col min="10251" max="10251" width="10.28515625" style="131" bestFit="1" customWidth="1"/>
    <col min="10252" max="10496" width="9.140625" style="131"/>
    <col min="10497" max="10497" width="14.28515625" style="131" customWidth="1"/>
    <col min="10498" max="10498" width="19.28515625" style="131" customWidth="1"/>
    <col min="10499" max="10499" width="16" style="131" customWidth="1"/>
    <col min="10500" max="10500" width="17.140625" style="131" customWidth="1"/>
    <col min="10501" max="10501" width="10.140625" style="131" customWidth="1"/>
    <col min="10502" max="10502" width="10.5703125" style="131" customWidth="1"/>
    <col min="10503" max="10503" width="9.85546875" style="131" customWidth="1"/>
    <col min="10504" max="10505" width="12.7109375" style="131" bestFit="1" customWidth="1"/>
    <col min="10506" max="10506" width="9.140625" style="131"/>
    <col min="10507" max="10507" width="10.28515625" style="131" bestFit="1" customWidth="1"/>
    <col min="10508" max="10752" width="9.140625" style="131"/>
    <col min="10753" max="10753" width="14.28515625" style="131" customWidth="1"/>
    <col min="10754" max="10754" width="19.28515625" style="131" customWidth="1"/>
    <col min="10755" max="10755" width="16" style="131" customWidth="1"/>
    <col min="10756" max="10756" width="17.140625" style="131" customWidth="1"/>
    <col min="10757" max="10757" width="10.140625" style="131" customWidth="1"/>
    <col min="10758" max="10758" width="10.5703125" style="131" customWidth="1"/>
    <col min="10759" max="10759" width="9.85546875" style="131" customWidth="1"/>
    <col min="10760" max="10761" width="12.7109375" style="131" bestFit="1" customWidth="1"/>
    <col min="10762" max="10762" width="9.140625" style="131"/>
    <col min="10763" max="10763" width="10.28515625" style="131" bestFit="1" customWidth="1"/>
    <col min="10764" max="11008" width="9.140625" style="131"/>
    <col min="11009" max="11009" width="14.28515625" style="131" customWidth="1"/>
    <col min="11010" max="11010" width="19.28515625" style="131" customWidth="1"/>
    <col min="11011" max="11011" width="16" style="131" customWidth="1"/>
    <col min="11012" max="11012" width="17.140625" style="131" customWidth="1"/>
    <col min="11013" max="11013" width="10.140625" style="131" customWidth="1"/>
    <col min="11014" max="11014" width="10.5703125" style="131" customWidth="1"/>
    <col min="11015" max="11015" width="9.85546875" style="131" customWidth="1"/>
    <col min="11016" max="11017" width="12.7109375" style="131" bestFit="1" customWidth="1"/>
    <col min="11018" max="11018" width="9.140625" style="131"/>
    <col min="11019" max="11019" width="10.28515625" style="131" bestFit="1" customWidth="1"/>
    <col min="11020" max="11264" width="9.140625" style="131"/>
    <col min="11265" max="11265" width="14.28515625" style="131" customWidth="1"/>
    <col min="11266" max="11266" width="19.28515625" style="131" customWidth="1"/>
    <col min="11267" max="11267" width="16" style="131" customWidth="1"/>
    <col min="11268" max="11268" width="17.140625" style="131" customWidth="1"/>
    <col min="11269" max="11269" width="10.140625" style="131" customWidth="1"/>
    <col min="11270" max="11270" width="10.5703125" style="131" customWidth="1"/>
    <col min="11271" max="11271" width="9.85546875" style="131" customWidth="1"/>
    <col min="11272" max="11273" width="12.7109375" style="131" bestFit="1" customWidth="1"/>
    <col min="11274" max="11274" width="9.140625" style="131"/>
    <col min="11275" max="11275" width="10.28515625" style="131" bestFit="1" customWidth="1"/>
    <col min="11276" max="11520" width="9.140625" style="131"/>
    <col min="11521" max="11521" width="14.28515625" style="131" customWidth="1"/>
    <col min="11522" max="11522" width="19.28515625" style="131" customWidth="1"/>
    <col min="11523" max="11523" width="16" style="131" customWidth="1"/>
    <col min="11524" max="11524" width="17.140625" style="131" customWidth="1"/>
    <col min="11525" max="11525" width="10.140625" style="131" customWidth="1"/>
    <col min="11526" max="11526" width="10.5703125" style="131" customWidth="1"/>
    <col min="11527" max="11527" width="9.85546875" style="131" customWidth="1"/>
    <col min="11528" max="11529" width="12.7109375" style="131" bestFit="1" customWidth="1"/>
    <col min="11530" max="11530" width="9.140625" style="131"/>
    <col min="11531" max="11531" width="10.28515625" style="131" bestFit="1" customWidth="1"/>
    <col min="11532" max="11776" width="9.140625" style="131"/>
    <col min="11777" max="11777" width="14.28515625" style="131" customWidth="1"/>
    <col min="11778" max="11778" width="19.28515625" style="131" customWidth="1"/>
    <col min="11779" max="11779" width="16" style="131" customWidth="1"/>
    <col min="11780" max="11780" width="17.140625" style="131" customWidth="1"/>
    <col min="11781" max="11781" width="10.140625" style="131" customWidth="1"/>
    <col min="11782" max="11782" width="10.5703125" style="131" customWidth="1"/>
    <col min="11783" max="11783" width="9.85546875" style="131" customWidth="1"/>
    <col min="11784" max="11785" width="12.7109375" style="131" bestFit="1" customWidth="1"/>
    <col min="11786" max="11786" width="9.140625" style="131"/>
    <col min="11787" max="11787" width="10.28515625" style="131" bestFit="1" customWidth="1"/>
    <col min="11788" max="12032" width="9.140625" style="131"/>
    <col min="12033" max="12033" width="14.28515625" style="131" customWidth="1"/>
    <col min="12034" max="12034" width="19.28515625" style="131" customWidth="1"/>
    <col min="12035" max="12035" width="16" style="131" customWidth="1"/>
    <col min="12036" max="12036" width="17.140625" style="131" customWidth="1"/>
    <col min="12037" max="12037" width="10.140625" style="131" customWidth="1"/>
    <col min="12038" max="12038" width="10.5703125" style="131" customWidth="1"/>
    <col min="12039" max="12039" width="9.85546875" style="131" customWidth="1"/>
    <col min="12040" max="12041" width="12.7109375" style="131" bestFit="1" customWidth="1"/>
    <col min="12042" max="12042" width="9.140625" style="131"/>
    <col min="12043" max="12043" width="10.28515625" style="131" bestFit="1" customWidth="1"/>
    <col min="12044" max="12288" width="9.140625" style="131"/>
    <col min="12289" max="12289" width="14.28515625" style="131" customWidth="1"/>
    <col min="12290" max="12290" width="19.28515625" style="131" customWidth="1"/>
    <col min="12291" max="12291" width="16" style="131" customWidth="1"/>
    <col min="12292" max="12292" width="17.140625" style="131" customWidth="1"/>
    <col min="12293" max="12293" width="10.140625" style="131" customWidth="1"/>
    <col min="12294" max="12294" width="10.5703125" style="131" customWidth="1"/>
    <col min="12295" max="12295" width="9.85546875" style="131" customWidth="1"/>
    <col min="12296" max="12297" width="12.7109375" style="131" bestFit="1" customWidth="1"/>
    <col min="12298" max="12298" width="9.140625" style="131"/>
    <col min="12299" max="12299" width="10.28515625" style="131" bestFit="1" customWidth="1"/>
    <col min="12300" max="12544" width="9.140625" style="131"/>
    <col min="12545" max="12545" width="14.28515625" style="131" customWidth="1"/>
    <col min="12546" max="12546" width="19.28515625" style="131" customWidth="1"/>
    <col min="12547" max="12547" width="16" style="131" customWidth="1"/>
    <col min="12548" max="12548" width="17.140625" style="131" customWidth="1"/>
    <col min="12549" max="12549" width="10.140625" style="131" customWidth="1"/>
    <col min="12550" max="12550" width="10.5703125" style="131" customWidth="1"/>
    <col min="12551" max="12551" width="9.85546875" style="131" customWidth="1"/>
    <col min="12552" max="12553" width="12.7109375" style="131" bestFit="1" customWidth="1"/>
    <col min="12554" max="12554" width="9.140625" style="131"/>
    <col min="12555" max="12555" width="10.28515625" style="131" bestFit="1" customWidth="1"/>
    <col min="12556" max="12800" width="9.140625" style="131"/>
    <col min="12801" max="12801" width="14.28515625" style="131" customWidth="1"/>
    <col min="12802" max="12802" width="19.28515625" style="131" customWidth="1"/>
    <col min="12803" max="12803" width="16" style="131" customWidth="1"/>
    <col min="12804" max="12804" width="17.140625" style="131" customWidth="1"/>
    <col min="12805" max="12805" width="10.140625" style="131" customWidth="1"/>
    <col min="12806" max="12806" width="10.5703125" style="131" customWidth="1"/>
    <col min="12807" max="12807" width="9.85546875" style="131" customWidth="1"/>
    <col min="12808" max="12809" width="12.7109375" style="131" bestFit="1" customWidth="1"/>
    <col min="12810" max="12810" width="9.140625" style="131"/>
    <col min="12811" max="12811" width="10.28515625" style="131" bestFit="1" customWidth="1"/>
    <col min="12812" max="13056" width="9.140625" style="131"/>
    <col min="13057" max="13057" width="14.28515625" style="131" customWidth="1"/>
    <col min="13058" max="13058" width="19.28515625" style="131" customWidth="1"/>
    <col min="13059" max="13059" width="16" style="131" customWidth="1"/>
    <col min="13060" max="13060" width="17.140625" style="131" customWidth="1"/>
    <col min="13061" max="13061" width="10.140625" style="131" customWidth="1"/>
    <col min="13062" max="13062" width="10.5703125" style="131" customWidth="1"/>
    <col min="13063" max="13063" width="9.85546875" style="131" customWidth="1"/>
    <col min="13064" max="13065" width="12.7109375" style="131" bestFit="1" customWidth="1"/>
    <col min="13066" max="13066" width="9.140625" style="131"/>
    <col min="13067" max="13067" width="10.28515625" style="131" bestFit="1" customWidth="1"/>
    <col min="13068" max="13312" width="9.140625" style="131"/>
    <col min="13313" max="13313" width="14.28515625" style="131" customWidth="1"/>
    <col min="13314" max="13314" width="19.28515625" style="131" customWidth="1"/>
    <col min="13315" max="13315" width="16" style="131" customWidth="1"/>
    <col min="13316" max="13316" width="17.140625" style="131" customWidth="1"/>
    <col min="13317" max="13317" width="10.140625" style="131" customWidth="1"/>
    <col min="13318" max="13318" width="10.5703125" style="131" customWidth="1"/>
    <col min="13319" max="13319" width="9.85546875" style="131" customWidth="1"/>
    <col min="13320" max="13321" width="12.7109375" style="131" bestFit="1" customWidth="1"/>
    <col min="13322" max="13322" width="9.140625" style="131"/>
    <col min="13323" max="13323" width="10.28515625" style="131" bestFit="1" customWidth="1"/>
    <col min="13324" max="13568" width="9.140625" style="131"/>
    <col min="13569" max="13569" width="14.28515625" style="131" customWidth="1"/>
    <col min="13570" max="13570" width="19.28515625" style="131" customWidth="1"/>
    <col min="13571" max="13571" width="16" style="131" customWidth="1"/>
    <col min="13572" max="13572" width="17.140625" style="131" customWidth="1"/>
    <col min="13573" max="13573" width="10.140625" style="131" customWidth="1"/>
    <col min="13574" max="13574" width="10.5703125" style="131" customWidth="1"/>
    <col min="13575" max="13575" width="9.85546875" style="131" customWidth="1"/>
    <col min="13576" max="13577" width="12.7109375" style="131" bestFit="1" customWidth="1"/>
    <col min="13578" max="13578" width="9.140625" style="131"/>
    <col min="13579" max="13579" width="10.28515625" style="131" bestFit="1" customWidth="1"/>
    <col min="13580" max="13824" width="9.140625" style="131"/>
    <col min="13825" max="13825" width="14.28515625" style="131" customWidth="1"/>
    <col min="13826" max="13826" width="19.28515625" style="131" customWidth="1"/>
    <col min="13827" max="13827" width="16" style="131" customWidth="1"/>
    <col min="13828" max="13828" width="17.140625" style="131" customWidth="1"/>
    <col min="13829" max="13829" width="10.140625" style="131" customWidth="1"/>
    <col min="13830" max="13830" width="10.5703125" style="131" customWidth="1"/>
    <col min="13831" max="13831" width="9.85546875" style="131" customWidth="1"/>
    <col min="13832" max="13833" width="12.7109375" style="131" bestFit="1" customWidth="1"/>
    <col min="13834" max="13834" width="9.140625" style="131"/>
    <col min="13835" max="13835" width="10.28515625" style="131" bestFit="1" customWidth="1"/>
    <col min="13836" max="14080" width="9.140625" style="131"/>
    <col min="14081" max="14081" width="14.28515625" style="131" customWidth="1"/>
    <col min="14082" max="14082" width="19.28515625" style="131" customWidth="1"/>
    <col min="14083" max="14083" width="16" style="131" customWidth="1"/>
    <col min="14084" max="14084" width="17.140625" style="131" customWidth="1"/>
    <col min="14085" max="14085" width="10.140625" style="131" customWidth="1"/>
    <col min="14086" max="14086" width="10.5703125" style="131" customWidth="1"/>
    <col min="14087" max="14087" width="9.85546875" style="131" customWidth="1"/>
    <col min="14088" max="14089" width="12.7109375" style="131" bestFit="1" customWidth="1"/>
    <col min="14090" max="14090" width="9.140625" style="131"/>
    <col min="14091" max="14091" width="10.28515625" style="131" bestFit="1" customWidth="1"/>
    <col min="14092" max="14336" width="9.140625" style="131"/>
    <col min="14337" max="14337" width="14.28515625" style="131" customWidth="1"/>
    <col min="14338" max="14338" width="19.28515625" style="131" customWidth="1"/>
    <col min="14339" max="14339" width="16" style="131" customWidth="1"/>
    <col min="14340" max="14340" width="17.140625" style="131" customWidth="1"/>
    <col min="14341" max="14341" width="10.140625" style="131" customWidth="1"/>
    <col min="14342" max="14342" width="10.5703125" style="131" customWidth="1"/>
    <col min="14343" max="14343" width="9.85546875" style="131" customWidth="1"/>
    <col min="14344" max="14345" width="12.7109375" style="131" bestFit="1" customWidth="1"/>
    <col min="14346" max="14346" width="9.140625" style="131"/>
    <col min="14347" max="14347" width="10.28515625" style="131" bestFit="1" customWidth="1"/>
    <col min="14348" max="14592" width="9.140625" style="131"/>
    <col min="14593" max="14593" width="14.28515625" style="131" customWidth="1"/>
    <col min="14594" max="14594" width="19.28515625" style="131" customWidth="1"/>
    <col min="14595" max="14595" width="16" style="131" customWidth="1"/>
    <col min="14596" max="14596" width="17.140625" style="131" customWidth="1"/>
    <col min="14597" max="14597" width="10.140625" style="131" customWidth="1"/>
    <col min="14598" max="14598" width="10.5703125" style="131" customWidth="1"/>
    <col min="14599" max="14599" width="9.85546875" style="131" customWidth="1"/>
    <col min="14600" max="14601" width="12.7109375" style="131" bestFit="1" customWidth="1"/>
    <col min="14602" max="14602" width="9.140625" style="131"/>
    <col min="14603" max="14603" width="10.28515625" style="131" bestFit="1" customWidth="1"/>
    <col min="14604" max="14848" width="9.140625" style="131"/>
    <col min="14849" max="14849" width="14.28515625" style="131" customWidth="1"/>
    <col min="14850" max="14850" width="19.28515625" style="131" customWidth="1"/>
    <col min="14851" max="14851" width="16" style="131" customWidth="1"/>
    <col min="14852" max="14852" width="17.140625" style="131" customWidth="1"/>
    <col min="14853" max="14853" width="10.140625" style="131" customWidth="1"/>
    <col min="14854" max="14854" width="10.5703125" style="131" customWidth="1"/>
    <col min="14855" max="14855" width="9.85546875" style="131" customWidth="1"/>
    <col min="14856" max="14857" width="12.7109375" style="131" bestFit="1" customWidth="1"/>
    <col min="14858" max="14858" width="9.140625" style="131"/>
    <col min="14859" max="14859" width="10.28515625" style="131" bestFit="1" customWidth="1"/>
    <col min="14860" max="15104" width="9.140625" style="131"/>
    <col min="15105" max="15105" width="14.28515625" style="131" customWidth="1"/>
    <col min="15106" max="15106" width="19.28515625" style="131" customWidth="1"/>
    <col min="15107" max="15107" width="16" style="131" customWidth="1"/>
    <col min="15108" max="15108" width="17.140625" style="131" customWidth="1"/>
    <col min="15109" max="15109" width="10.140625" style="131" customWidth="1"/>
    <col min="15110" max="15110" width="10.5703125" style="131" customWidth="1"/>
    <col min="15111" max="15111" width="9.85546875" style="131" customWidth="1"/>
    <col min="15112" max="15113" width="12.7109375" style="131" bestFit="1" customWidth="1"/>
    <col min="15114" max="15114" width="9.140625" style="131"/>
    <col min="15115" max="15115" width="10.28515625" style="131" bestFit="1" customWidth="1"/>
    <col min="15116" max="15360" width="9.140625" style="131"/>
    <col min="15361" max="15361" width="14.28515625" style="131" customWidth="1"/>
    <col min="15362" max="15362" width="19.28515625" style="131" customWidth="1"/>
    <col min="15363" max="15363" width="16" style="131" customWidth="1"/>
    <col min="15364" max="15364" width="17.140625" style="131" customWidth="1"/>
    <col min="15365" max="15365" width="10.140625" style="131" customWidth="1"/>
    <col min="15366" max="15366" width="10.5703125" style="131" customWidth="1"/>
    <col min="15367" max="15367" width="9.85546875" style="131" customWidth="1"/>
    <col min="15368" max="15369" width="12.7109375" style="131" bestFit="1" customWidth="1"/>
    <col min="15370" max="15370" width="9.140625" style="131"/>
    <col min="15371" max="15371" width="10.28515625" style="131" bestFit="1" customWidth="1"/>
    <col min="15372" max="15616" width="9.140625" style="131"/>
    <col min="15617" max="15617" width="14.28515625" style="131" customWidth="1"/>
    <col min="15618" max="15618" width="19.28515625" style="131" customWidth="1"/>
    <col min="15619" max="15619" width="16" style="131" customWidth="1"/>
    <col min="15620" max="15620" width="17.140625" style="131" customWidth="1"/>
    <col min="15621" max="15621" width="10.140625" style="131" customWidth="1"/>
    <col min="15622" max="15622" width="10.5703125" style="131" customWidth="1"/>
    <col min="15623" max="15623" width="9.85546875" style="131" customWidth="1"/>
    <col min="15624" max="15625" width="12.7109375" style="131" bestFit="1" customWidth="1"/>
    <col min="15626" max="15626" width="9.140625" style="131"/>
    <col min="15627" max="15627" width="10.28515625" style="131" bestFit="1" customWidth="1"/>
    <col min="15628" max="15872" width="9.140625" style="131"/>
    <col min="15873" max="15873" width="14.28515625" style="131" customWidth="1"/>
    <col min="15874" max="15874" width="19.28515625" style="131" customWidth="1"/>
    <col min="15875" max="15875" width="16" style="131" customWidth="1"/>
    <col min="15876" max="15876" width="17.140625" style="131" customWidth="1"/>
    <col min="15877" max="15877" width="10.140625" style="131" customWidth="1"/>
    <col min="15878" max="15878" width="10.5703125" style="131" customWidth="1"/>
    <col min="15879" max="15879" width="9.85546875" style="131" customWidth="1"/>
    <col min="15880" max="15881" width="12.7109375" style="131" bestFit="1" customWidth="1"/>
    <col min="15882" max="15882" width="9.140625" style="131"/>
    <col min="15883" max="15883" width="10.28515625" style="131" bestFit="1" customWidth="1"/>
    <col min="15884" max="16128" width="9.140625" style="131"/>
    <col min="16129" max="16129" width="14.28515625" style="131" customWidth="1"/>
    <col min="16130" max="16130" width="19.28515625" style="131" customWidth="1"/>
    <col min="16131" max="16131" width="16" style="131" customWidth="1"/>
    <col min="16132" max="16132" width="17.140625" style="131" customWidth="1"/>
    <col min="16133" max="16133" width="10.140625" style="131" customWidth="1"/>
    <col min="16134" max="16134" width="10.5703125" style="131" customWidth="1"/>
    <col min="16135" max="16135" width="9.85546875" style="131" customWidth="1"/>
    <col min="16136" max="16137" width="12.7109375" style="131" bestFit="1" customWidth="1"/>
    <col min="16138" max="16138" width="9.140625" style="131"/>
    <col min="16139" max="16139" width="10.28515625" style="131" bestFit="1" customWidth="1"/>
    <col min="16140" max="16384" width="9.140625" style="131"/>
  </cols>
  <sheetData>
    <row r="1" spans="1:11" ht="28.5" customHeight="1" x14ac:dyDescent="0.25">
      <c r="A1" s="311" t="s">
        <v>156</v>
      </c>
      <c r="B1" s="311"/>
      <c r="C1" s="311"/>
      <c r="D1" s="311"/>
    </row>
    <row r="2" spans="1:11" ht="28.5" customHeight="1" x14ac:dyDescent="0.25">
      <c r="A2" s="315" t="s">
        <v>164</v>
      </c>
      <c r="B2" s="316"/>
      <c r="C2" s="316"/>
      <c r="D2" s="317"/>
    </row>
    <row r="3" spans="1:11" ht="28.5" customHeight="1" x14ac:dyDescent="0.25">
      <c r="A3" s="314" t="s">
        <v>124</v>
      </c>
      <c r="B3" s="314"/>
      <c r="C3" s="314"/>
      <c r="D3" s="314"/>
    </row>
    <row r="4" spans="1:11" s="133" customFormat="1" ht="28.5" customHeight="1" x14ac:dyDescent="0.25">
      <c r="A4" s="312" t="s">
        <v>125</v>
      </c>
      <c r="B4" s="132">
        <v>1</v>
      </c>
      <c r="C4" s="132">
        <v>2</v>
      </c>
      <c r="D4" s="132" t="s">
        <v>126</v>
      </c>
      <c r="F4" s="134"/>
      <c r="G4" s="134"/>
      <c r="H4" s="134"/>
      <c r="I4" s="131"/>
      <c r="J4" s="131"/>
      <c r="K4" s="131"/>
    </row>
    <row r="5" spans="1:11" s="133" customFormat="1" ht="28.5" customHeight="1" x14ac:dyDescent="0.25">
      <c r="A5" s="312"/>
      <c r="B5" s="132" t="s">
        <v>127</v>
      </c>
      <c r="C5" s="132" t="s">
        <v>157</v>
      </c>
      <c r="D5" s="132" t="s">
        <v>129</v>
      </c>
      <c r="F5" s="134"/>
      <c r="G5" s="134"/>
      <c r="H5" s="134"/>
      <c r="I5" s="131"/>
      <c r="J5" s="131"/>
      <c r="K5" s="131"/>
    </row>
    <row r="6" spans="1:11" s="133" customFormat="1" ht="28.5" customHeight="1" x14ac:dyDescent="0.25">
      <c r="A6" s="312"/>
      <c r="B6" s="132" t="s">
        <v>130</v>
      </c>
      <c r="C6" s="132" t="s">
        <v>131</v>
      </c>
      <c r="D6" s="132" t="s">
        <v>132</v>
      </c>
      <c r="F6" s="134"/>
      <c r="G6" s="134"/>
      <c r="H6" s="134"/>
      <c r="I6" s="131"/>
      <c r="J6" s="131"/>
      <c r="K6" s="131"/>
    </row>
    <row r="7" spans="1:11" ht="28.5" customHeight="1" x14ac:dyDescent="0.25">
      <c r="A7" s="313" t="s">
        <v>133</v>
      </c>
      <c r="B7" s="313"/>
      <c r="C7" s="313"/>
      <c r="D7" s="313"/>
    </row>
    <row r="8" spans="1:11" ht="28.5" customHeight="1" x14ac:dyDescent="0.25">
      <c r="A8" s="144" t="s">
        <v>134</v>
      </c>
      <c r="B8" s="135" t="s">
        <v>381</v>
      </c>
      <c r="C8" s="113">
        <f>'G1 PAL-TO Encarregado'!G105</f>
        <v>5976.8376094937876</v>
      </c>
      <c r="D8" s="113">
        <f>(1/(8*1200))*C8</f>
        <v>0.62258725098893619</v>
      </c>
    </row>
    <row r="9" spans="1:11" ht="28.5" customHeight="1" x14ac:dyDescent="0.25">
      <c r="A9" s="144" t="s">
        <v>135</v>
      </c>
      <c r="B9" s="135" t="s">
        <v>136</v>
      </c>
      <c r="C9" s="113">
        <f>'G1 PAL-TO Servente sem Insal.'!G105</f>
        <v>4928.5351698208869</v>
      </c>
      <c r="D9" s="113">
        <f>(1/1200)*C9</f>
        <v>4.1071126415174062</v>
      </c>
      <c r="E9" s="136"/>
    </row>
    <row r="10" spans="1:11" ht="28.5" customHeight="1" x14ac:dyDescent="0.25">
      <c r="A10" s="307" t="s">
        <v>158</v>
      </c>
      <c r="B10" s="307"/>
      <c r="C10" s="307"/>
      <c r="D10" s="137">
        <f>SUM(D8:D9)</f>
        <v>4.7296998925063427</v>
      </c>
      <c r="E10" s="136"/>
    </row>
    <row r="11" spans="1:11" ht="28.5" customHeight="1" x14ac:dyDescent="0.25">
      <c r="A11" s="313" t="s">
        <v>137</v>
      </c>
      <c r="B11" s="313"/>
      <c r="C11" s="313"/>
      <c r="D11" s="313"/>
      <c r="E11" s="138"/>
    </row>
    <row r="12" spans="1:11" ht="28.5" customHeight="1" x14ac:dyDescent="0.25">
      <c r="A12" s="144" t="s">
        <v>134</v>
      </c>
      <c r="B12" s="135" t="s">
        <v>382</v>
      </c>
      <c r="C12" s="113">
        <f>C8</f>
        <v>5976.8376094937876</v>
      </c>
      <c r="D12" s="113">
        <f>(1/(8*1500))*C12</f>
        <v>0.49806980079114893</v>
      </c>
      <c r="E12" s="136"/>
    </row>
    <row r="13" spans="1:11" ht="28.5" customHeight="1" x14ac:dyDescent="0.25">
      <c r="A13" s="144" t="s">
        <v>135</v>
      </c>
      <c r="B13" s="135" t="s">
        <v>138</v>
      </c>
      <c r="C13" s="113">
        <f>C9</f>
        <v>4928.5351698208869</v>
      </c>
      <c r="D13" s="113">
        <f>(1/1500)*C13</f>
        <v>3.2856901132139247</v>
      </c>
      <c r="E13" s="136"/>
    </row>
    <row r="14" spans="1:11" ht="28.5" customHeight="1" x14ac:dyDescent="0.25">
      <c r="A14" s="307" t="s">
        <v>158</v>
      </c>
      <c r="B14" s="307"/>
      <c r="C14" s="307"/>
      <c r="D14" s="137">
        <f>SUM(D12:D13)</f>
        <v>3.7837599140050737</v>
      </c>
      <c r="E14" s="136"/>
    </row>
    <row r="15" spans="1:11" ht="28.5" customHeight="1" x14ac:dyDescent="0.25">
      <c r="A15" s="313" t="s">
        <v>139</v>
      </c>
      <c r="B15" s="313"/>
      <c r="C15" s="313"/>
      <c r="D15" s="313"/>
      <c r="E15" s="138"/>
    </row>
    <row r="16" spans="1:11" ht="28.5" customHeight="1" x14ac:dyDescent="0.25">
      <c r="A16" s="144" t="s">
        <v>134</v>
      </c>
      <c r="B16" s="135" t="s">
        <v>383</v>
      </c>
      <c r="C16" s="113">
        <f>C8</f>
        <v>5976.8376094937876</v>
      </c>
      <c r="D16" s="113">
        <f>(1/(8*300))*C16</f>
        <v>2.4903490039557448</v>
      </c>
      <c r="E16" s="136"/>
    </row>
    <row r="17" spans="1:10" ht="28.5" customHeight="1" x14ac:dyDescent="0.25">
      <c r="A17" s="180" t="s">
        <v>325</v>
      </c>
      <c r="B17" s="135" t="s">
        <v>140</v>
      </c>
      <c r="C17" s="113">
        <f>'G1 PAL-TO Servente com Insal.'!G105</f>
        <v>6230.6343326718115</v>
      </c>
      <c r="D17" s="113">
        <f>(1/300)*C17</f>
        <v>20.76878110890604</v>
      </c>
      <c r="E17" s="136"/>
    </row>
    <row r="18" spans="1:10" ht="28.5" customHeight="1" x14ac:dyDescent="0.25">
      <c r="A18" s="307" t="s">
        <v>158</v>
      </c>
      <c r="B18" s="307"/>
      <c r="C18" s="307"/>
      <c r="D18" s="137">
        <f>SUM(D16:D17)</f>
        <v>23.259130112861786</v>
      </c>
      <c r="E18" s="136"/>
    </row>
    <row r="19" spans="1:10" ht="28.5" customHeight="1" x14ac:dyDescent="0.25">
      <c r="A19" s="314" t="s">
        <v>141</v>
      </c>
      <c r="B19" s="314"/>
      <c r="C19" s="314"/>
      <c r="D19" s="314"/>
      <c r="E19" s="133"/>
    </row>
    <row r="20" spans="1:10" s="133" customFormat="1" ht="28.5" customHeight="1" x14ac:dyDescent="0.25">
      <c r="A20" s="308" t="s">
        <v>125</v>
      </c>
      <c r="B20" s="132">
        <v>1</v>
      </c>
      <c r="C20" s="132">
        <v>2</v>
      </c>
      <c r="D20" s="132" t="s">
        <v>126</v>
      </c>
      <c r="E20" s="140"/>
    </row>
    <row r="21" spans="1:10" s="133" customFormat="1" ht="28.5" customHeight="1" x14ac:dyDescent="0.25">
      <c r="A21" s="309"/>
      <c r="B21" s="132" t="s">
        <v>127</v>
      </c>
      <c r="C21" s="132" t="s">
        <v>128</v>
      </c>
      <c r="D21" s="132" t="s">
        <v>129</v>
      </c>
      <c r="F21" s="141"/>
      <c r="G21" s="141"/>
      <c r="H21" s="141"/>
      <c r="I21" s="142"/>
      <c r="J21" s="142"/>
    </row>
    <row r="22" spans="1:10" s="133" customFormat="1" ht="28.5" customHeight="1" x14ac:dyDescent="0.25">
      <c r="A22" s="310"/>
      <c r="B22" s="132" t="s">
        <v>162</v>
      </c>
      <c r="C22" s="132" t="s">
        <v>131</v>
      </c>
      <c r="D22" s="132" t="s">
        <v>163</v>
      </c>
      <c r="F22" s="141"/>
      <c r="G22" s="141"/>
      <c r="H22" s="141"/>
      <c r="I22" s="142"/>
      <c r="J22" s="142"/>
    </row>
    <row r="23" spans="1:10" ht="28.5" customHeight="1" x14ac:dyDescent="0.25">
      <c r="A23" s="313" t="s">
        <v>142</v>
      </c>
      <c r="B23" s="313"/>
      <c r="C23" s="313"/>
      <c r="D23" s="313"/>
    </row>
    <row r="24" spans="1:10" ht="28.5" customHeight="1" x14ac:dyDescent="0.25">
      <c r="A24" s="144" t="s">
        <v>134</v>
      </c>
      <c r="B24" s="135" t="s">
        <v>384</v>
      </c>
      <c r="C24" s="113">
        <f>C8</f>
        <v>5976.8376094937876</v>
      </c>
      <c r="D24" s="113">
        <f>(1/(8*2700)*C24)</f>
        <v>0.27670544488397164</v>
      </c>
    </row>
    <row r="25" spans="1:10" ht="28.5" customHeight="1" x14ac:dyDescent="0.25">
      <c r="A25" s="144" t="s">
        <v>135</v>
      </c>
      <c r="B25" s="139" t="s">
        <v>143</v>
      </c>
      <c r="C25" s="113">
        <f>'G1 PAL-TO Servente sem Insal.'!G112</f>
        <v>4928.5351698208869</v>
      </c>
      <c r="D25" s="113">
        <f>(1/2700)*C25</f>
        <v>1.8253833962299579</v>
      </c>
    </row>
    <row r="26" spans="1:10" s="133" customFormat="1" ht="28.5" customHeight="1" x14ac:dyDescent="0.25">
      <c r="A26" s="307" t="s">
        <v>158</v>
      </c>
      <c r="B26" s="307"/>
      <c r="C26" s="307"/>
      <c r="D26" s="137">
        <f>SUM(D24:D25)</f>
        <v>2.1020888411139298</v>
      </c>
    </row>
    <row r="27" spans="1:10" ht="28.5" customHeight="1" x14ac:dyDescent="0.25">
      <c r="A27" s="313" t="s">
        <v>200</v>
      </c>
      <c r="B27" s="313"/>
      <c r="C27" s="313"/>
      <c r="D27" s="313"/>
    </row>
    <row r="28" spans="1:10" ht="28.5" customHeight="1" x14ac:dyDescent="0.25">
      <c r="A28" s="144" t="s">
        <v>134</v>
      </c>
      <c r="B28" s="135" t="s">
        <v>384</v>
      </c>
      <c r="C28" s="113">
        <f>C8</f>
        <v>5976.8376094937876</v>
      </c>
      <c r="D28" s="113">
        <f>(1/(8*2700)*C28)</f>
        <v>0.27670544488397164</v>
      </c>
    </row>
    <row r="29" spans="1:10" ht="28.5" customHeight="1" x14ac:dyDescent="0.25">
      <c r="A29" s="144" t="s">
        <v>207</v>
      </c>
      <c r="B29" s="139" t="s">
        <v>143</v>
      </c>
      <c r="C29" s="113">
        <f>'G1 PAL-TO Jardineiro'!G105</f>
        <v>5595.3160335732937</v>
      </c>
      <c r="D29" s="113">
        <f>(1/2700)*C29</f>
        <v>2.0723392716938123</v>
      </c>
    </row>
    <row r="30" spans="1:10" s="133" customFormat="1" ht="28.5" customHeight="1" x14ac:dyDescent="0.25">
      <c r="A30" s="307" t="s">
        <v>158</v>
      </c>
      <c r="B30" s="307"/>
      <c r="C30" s="307"/>
      <c r="D30" s="137">
        <f>SUM(D28:D29)</f>
        <v>2.3490447165777839</v>
      </c>
    </row>
    <row r="31" spans="1:10" ht="28.5" customHeight="1" x14ac:dyDescent="0.25">
      <c r="A31" s="313" t="s">
        <v>145</v>
      </c>
      <c r="B31" s="313"/>
      <c r="C31" s="313"/>
      <c r="D31" s="313"/>
      <c r="E31" s="313"/>
      <c r="F31" s="313"/>
      <c r="G31" s="313"/>
    </row>
    <row r="32" spans="1:10" ht="28.5" customHeight="1" x14ac:dyDescent="0.25">
      <c r="A32" s="313" t="s">
        <v>146</v>
      </c>
      <c r="B32" s="313"/>
      <c r="C32" s="313"/>
      <c r="D32" s="313"/>
      <c r="E32" s="313"/>
      <c r="F32" s="313"/>
      <c r="G32" s="313"/>
    </row>
    <row r="33" spans="1:7" ht="54" customHeight="1" x14ac:dyDescent="0.25">
      <c r="A33" s="197" t="s">
        <v>125</v>
      </c>
      <c r="B33" s="197" t="s">
        <v>160</v>
      </c>
      <c r="C33" s="197" t="s">
        <v>159</v>
      </c>
      <c r="D33" s="197" t="s">
        <v>199</v>
      </c>
      <c r="E33" s="197" t="s">
        <v>148</v>
      </c>
      <c r="F33" s="197" t="s">
        <v>149</v>
      </c>
      <c r="G33" s="197" t="s">
        <v>161</v>
      </c>
    </row>
    <row r="34" spans="1:7" ht="28.5" customHeight="1" x14ac:dyDescent="0.25">
      <c r="A34" s="145" t="s">
        <v>134</v>
      </c>
      <c r="B34" s="135" t="s">
        <v>385</v>
      </c>
      <c r="C34" s="135">
        <v>16</v>
      </c>
      <c r="D34" s="135" t="s">
        <v>151</v>
      </c>
      <c r="E34" s="143">
        <f>(1/(8*380))*16*(1/188.76)</f>
        <v>2.7882803002420229E-5</v>
      </c>
      <c r="F34" s="113">
        <f>C8</f>
        <v>5976.8376094937876</v>
      </c>
      <c r="G34" s="113">
        <f>F34*E34</f>
        <v>0.16665098564297151</v>
      </c>
    </row>
    <row r="35" spans="1:7" ht="28.5" customHeight="1" x14ac:dyDescent="0.25">
      <c r="A35" s="145" t="s">
        <v>135</v>
      </c>
      <c r="B35" s="135" t="s">
        <v>152</v>
      </c>
      <c r="C35" s="135">
        <v>16</v>
      </c>
      <c r="D35" s="135" t="s">
        <v>151</v>
      </c>
      <c r="E35" s="143">
        <f>(1/380)*16*(1/188.76)</f>
        <v>2.2306242401936183E-4</v>
      </c>
      <c r="F35" s="113">
        <f>C9</f>
        <v>4928.5351698208869</v>
      </c>
      <c r="G35" s="113">
        <f>F35*E35</f>
        <v>1.0993710018449241</v>
      </c>
    </row>
    <row r="36" spans="1:7" s="133" customFormat="1" ht="28.5" customHeight="1" x14ac:dyDescent="0.25">
      <c r="A36" s="307" t="s">
        <v>158</v>
      </c>
      <c r="B36" s="307"/>
      <c r="C36" s="307"/>
      <c r="D36" s="307"/>
      <c r="E36" s="307"/>
      <c r="F36" s="307"/>
      <c r="G36" s="137">
        <f>SUM(G34:G35)</f>
        <v>1.2660219874878955</v>
      </c>
    </row>
    <row r="37" spans="1:7" ht="28.5" customHeight="1" x14ac:dyDescent="0.25">
      <c r="A37" s="313" t="s">
        <v>145</v>
      </c>
      <c r="B37" s="313"/>
      <c r="C37" s="313"/>
      <c r="D37" s="313"/>
      <c r="E37" s="313"/>
      <c r="F37" s="313"/>
      <c r="G37" s="313"/>
    </row>
    <row r="38" spans="1:7" ht="24.75" customHeight="1" x14ac:dyDescent="0.25">
      <c r="A38" s="314" t="s">
        <v>196</v>
      </c>
      <c r="B38" s="314"/>
      <c r="C38" s="314"/>
      <c r="D38" s="314"/>
      <c r="E38" s="314"/>
      <c r="F38" s="314"/>
      <c r="G38" s="314"/>
    </row>
    <row r="39" spans="1:7" ht="66.75" customHeight="1" x14ac:dyDescent="0.25">
      <c r="A39" s="197" t="s">
        <v>125</v>
      </c>
      <c r="B39" s="197" t="s">
        <v>147</v>
      </c>
      <c r="C39" s="197" t="s">
        <v>198</v>
      </c>
      <c r="D39" s="197" t="s">
        <v>197</v>
      </c>
      <c r="E39" s="197" t="s">
        <v>148</v>
      </c>
      <c r="F39" s="197" t="s">
        <v>149</v>
      </c>
      <c r="G39" s="197" t="s">
        <v>150</v>
      </c>
    </row>
    <row r="40" spans="1:7" ht="28.5" customHeight="1" x14ac:dyDescent="0.25">
      <c r="A40" s="145" t="s">
        <v>134</v>
      </c>
      <c r="B40" s="135" t="s">
        <v>153</v>
      </c>
      <c r="C40" s="135">
        <v>8</v>
      </c>
      <c r="D40" s="135" t="s">
        <v>154</v>
      </c>
      <c r="E40" s="143">
        <f>(1/(4*160))*8*(1/1132.6)</f>
        <v>1.1036553063747132E-5</v>
      </c>
      <c r="F40" s="113">
        <f>C8</f>
        <v>5976.8376094937876</v>
      </c>
      <c r="G40" s="113">
        <f>F40*E40</f>
        <v>6.5963685430577748E-2</v>
      </c>
    </row>
    <row r="41" spans="1:7" ht="28.5" customHeight="1" x14ac:dyDescent="0.25">
      <c r="A41" s="145" t="s">
        <v>135</v>
      </c>
      <c r="B41" s="135" t="s">
        <v>155</v>
      </c>
      <c r="C41" s="135">
        <v>8</v>
      </c>
      <c r="D41" s="135" t="s">
        <v>154</v>
      </c>
      <c r="E41" s="143">
        <f>(1/160)*8*(1/1132.6)</f>
        <v>4.4146212254988529E-5</v>
      </c>
      <c r="F41" s="113">
        <f>C9</f>
        <v>4928.5351698208869</v>
      </c>
      <c r="G41" s="113">
        <f>F41*E41</f>
        <v>0.2175761597130888</v>
      </c>
    </row>
    <row r="42" spans="1:7" s="133" customFormat="1" ht="28.5" customHeight="1" x14ac:dyDescent="0.25">
      <c r="A42" s="307" t="s">
        <v>158</v>
      </c>
      <c r="B42" s="307"/>
      <c r="C42" s="307"/>
      <c r="D42" s="307"/>
      <c r="E42" s="307"/>
      <c r="F42" s="307"/>
      <c r="G42" s="137">
        <f>SUM(G40:G41)</f>
        <v>0.28353984514366654</v>
      </c>
    </row>
    <row r="46" spans="1:7" x14ac:dyDescent="0.25">
      <c r="A46" s="306" t="s">
        <v>386</v>
      </c>
      <c r="B46" s="306"/>
      <c r="C46" s="306"/>
      <c r="D46" s="306"/>
      <c r="E46" s="306"/>
      <c r="F46" s="306"/>
      <c r="G46" s="306"/>
    </row>
    <row r="47" spans="1:7" x14ac:dyDescent="0.25">
      <c r="A47" s="306"/>
      <c r="B47" s="306"/>
      <c r="C47" s="306"/>
      <c r="D47" s="306"/>
      <c r="E47" s="306"/>
      <c r="F47" s="306"/>
      <c r="G47" s="306"/>
    </row>
    <row r="48" spans="1:7" x14ac:dyDescent="0.25">
      <c r="A48" s="306"/>
      <c r="B48" s="306"/>
      <c r="C48" s="306"/>
      <c r="D48" s="306"/>
      <c r="E48" s="306"/>
      <c r="F48" s="306"/>
      <c r="G48" s="306"/>
    </row>
  </sheetData>
  <mergeCells count="23">
    <mergeCell ref="A2:D2"/>
    <mergeCell ref="A3:D3"/>
    <mergeCell ref="A10:C10"/>
    <mergeCell ref="A26:C26"/>
    <mergeCell ref="A30:C30"/>
    <mergeCell ref="A14:C14"/>
    <mergeCell ref="A18:C18"/>
    <mergeCell ref="A46:G48"/>
    <mergeCell ref="A36:F36"/>
    <mergeCell ref="A42:F42"/>
    <mergeCell ref="A20:A22"/>
    <mergeCell ref="A1:D1"/>
    <mergeCell ref="A4:A6"/>
    <mergeCell ref="A7:D7"/>
    <mergeCell ref="A11:D11"/>
    <mergeCell ref="A15:D15"/>
    <mergeCell ref="A23:D23"/>
    <mergeCell ref="A27:D27"/>
    <mergeCell ref="A31:G31"/>
    <mergeCell ref="A32:G32"/>
    <mergeCell ref="A37:G37"/>
    <mergeCell ref="A38:G38"/>
    <mergeCell ref="A19:D19"/>
  </mergeCells>
  <pageMargins left="0.31496062992125984" right="0.31496062992125984" top="1.3385826771653544" bottom="0.78740157480314965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7B92-C117-41E2-8CCF-F362D1BEF806}">
  <sheetPr>
    <pageSetUpPr fitToPage="1"/>
  </sheetPr>
  <dimension ref="A1:ALZ114"/>
  <sheetViews>
    <sheetView showGridLines="0" topLeftCell="A73" zoomScaleNormal="100" workbookViewId="0">
      <selection activeCell="E88" sqref="E88:F88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7" customWidth="1"/>
    <col min="1026" max="16384" width="9.140625" style="77"/>
  </cols>
  <sheetData>
    <row r="1" spans="1:7" ht="28.5" customHeight="1" x14ac:dyDescent="0.2">
      <c r="A1" s="298" t="s">
        <v>0</v>
      </c>
      <c r="B1" s="298"/>
      <c r="C1" s="298"/>
      <c r="D1" s="298"/>
      <c r="E1" s="298"/>
      <c r="F1" s="298"/>
      <c r="G1" s="298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299" t="s">
        <v>108</v>
      </c>
      <c r="B3" s="299"/>
      <c r="C3" s="299"/>
      <c r="D3" s="299"/>
      <c r="E3" s="299"/>
      <c r="F3" s="299"/>
      <c r="G3" s="299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291" t="s">
        <v>1</v>
      </c>
      <c r="B5" s="291"/>
      <c r="C5" s="291"/>
      <c r="D5" s="291"/>
      <c r="E5" s="291"/>
      <c r="F5" s="291"/>
      <c r="G5" s="291"/>
    </row>
    <row r="6" spans="1:7" ht="21.75" customHeight="1" x14ac:dyDescent="0.2">
      <c r="A6" s="291" t="s">
        <v>2</v>
      </c>
      <c r="B6" s="291"/>
      <c r="C6" s="291"/>
      <c r="D6" s="291"/>
      <c r="E6" s="291"/>
      <c r="F6" s="291"/>
      <c r="G6" s="291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00" t="s">
        <v>3</v>
      </c>
      <c r="B8" s="300"/>
      <c r="C8" s="300"/>
      <c r="D8" s="300"/>
      <c r="E8" s="300"/>
      <c r="F8" s="300"/>
      <c r="G8" s="300"/>
    </row>
    <row r="9" spans="1:7" s="6" customFormat="1" ht="3.75" customHeight="1" x14ac:dyDescent="0.2">
      <c r="A9" s="301"/>
      <c r="B9" s="301"/>
      <c r="C9" s="301"/>
      <c r="D9" s="301"/>
      <c r="E9" s="301"/>
      <c r="F9" s="301"/>
      <c r="G9" s="301"/>
    </row>
    <row r="10" spans="1:7" s="6" customFormat="1" ht="21.75" customHeight="1" x14ac:dyDescent="0.25">
      <c r="A10" s="259" t="s">
        <v>4</v>
      </c>
      <c r="B10" s="259"/>
      <c r="C10" s="259"/>
      <c r="D10" s="259"/>
      <c r="E10" s="259"/>
      <c r="F10" s="259"/>
      <c r="G10" s="259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185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109</v>
      </c>
    </row>
    <row r="13" spans="1:7" s="6" customFormat="1" ht="34.5" customHeight="1" x14ac:dyDescent="0.25">
      <c r="A13" s="11" t="s">
        <v>9</v>
      </c>
      <c r="B13" s="295" t="s">
        <v>10</v>
      </c>
      <c r="C13" s="295"/>
      <c r="D13" s="295"/>
      <c r="E13" s="16"/>
      <c r="F13" s="17"/>
      <c r="G13" s="15" t="s">
        <v>112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110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111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295" t="s">
        <v>19</v>
      </c>
      <c r="C17" s="296"/>
      <c r="D17" s="297" t="s">
        <v>113</v>
      </c>
      <c r="E17" s="297"/>
      <c r="F17" s="22"/>
      <c r="G17" s="24">
        <v>1477.98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295" t="s">
        <v>26</v>
      </c>
      <c r="C20" s="295"/>
      <c r="D20" s="295"/>
      <c r="E20" s="16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260" t="s">
        <v>27</v>
      </c>
      <c r="B22" s="260"/>
      <c r="C22" s="260"/>
      <c r="D22" s="260"/>
      <c r="E22" s="260"/>
      <c r="F22" s="260"/>
      <c r="G22" s="260"/>
    </row>
    <row r="23" spans="1:7" s="1" customFormat="1" ht="19.5" customHeight="1" x14ac:dyDescent="0.25">
      <c r="A23" s="302"/>
      <c r="B23" s="302"/>
      <c r="C23" s="302"/>
      <c r="D23" s="302"/>
      <c r="E23" s="302"/>
      <c r="F23" s="302"/>
      <c r="G23" s="28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32">
        <f>G17</f>
        <v>1477.98</v>
      </c>
    </row>
    <row r="25" spans="1:7" s="1" customFormat="1" ht="30" customHeight="1" x14ac:dyDescent="0.25">
      <c r="A25" s="29" t="s">
        <v>7</v>
      </c>
      <c r="B25" s="33" t="s">
        <v>114</v>
      </c>
      <c r="C25" s="34"/>
      <c r="D25" s="35" t="s">
        <v>380</v>
      </c>
      <c r="E25" s="255">
        <v>0.4</v>
      </c>
      <c r="F25" s="255"/>
      <c r="G25" s="194">
        <f>(1412*E25)</f>
        <v>564.80000000000007</v>
      </c>
    </row>
    <row r="26" spans="1:7" s="1" customFormat="1" ht="30" customHeight="1" x14ac:dyDescent="0.25">
      <c r="A26" s="29" t="s">
        <v>9</v>
      </c>
      <c r="B26" s="33" t="s">
        <v>115</v>
      </c>
      <c r="C26" s="34"/>
      <c r="D26" s="36"/>
      <c r="E26" s="36"/>
      <c r="F26" s="31"/>
      <c r="G26" s="32"/>
    </row>
    <row r="27" spans="1:7" s="1" customFormat="1" ht="21.75" customHeight="1" x14ac:dyDescent="0.25">
      <c r="A27" s="259" t="s">
        <v>30</v>
      </c>
      <c r="B27" s="259"/>
      <c r="C27" s="259"/>
      <c r="D27" s="259"/>
      <c r="E27" s="259"/>
      <c r="F27" s="259"/>
      <c r="G27" s="37">
        <f>SUM(G24:G26)</f>
        <v>2042.7800000000002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260" t="s">
        <v>31</v>
      </c>
      <c r="B29" s="260"/>
      <c r="C29" s="260"/>
      <c r="D29" s="260"/>
      <c r="E29" s="260"/>
      <c r="F29" s="260"/>
      <c r="G29" s="260"/>
    </row>
    <row r="30" spans="1:7" s="1" customFormat="1" ht="19.5" customHeight="1" x14ac:dyDescent="0.25">
      <c r="A30" s="270" t="s">
        <v>32</v>
      </c>
      <c r="B30" s="270"/>
      <c r="C30" s="270"/>
      <c r="D30" s="270"/>
      <c r="E30" s="270"/>
      <c r="F30" s="270"/>
      <c r="G30" s="270"/>
    </row>
    <row r="31" spans="1:7" s="1" customFormat="1" ht="19.5" customHeight="1" x14ac:dyDescent="0.25">
      <c r="A31" s="258"/>
      <c r="B31" s="258"/>
      <c r="C31" s="258"/>
      <c r="D31" s="258"/>
      <c r="E31" s="294" t="s">
        <v>33</v>
      </c>
      <c r="F31" s="294"/>
      <c r="G31" s="28" t="s">
        <v>28</v>
      </c>
    </row>
    <row r="32" spans="1:7" ht="19.5" customHeight="1" x14ac:dyDescent="0.2">
      <c r="A32" s="38" t="s">
        <v>5</v>
      </c>
      <c r="B32" s="291" t="s">
        <v>34</v>
      </c>
      <c r="C32" s="291"/>
      <c r="D32" s="291"/>
      <c r="E32" s="255">
        <v>8.3299999999999999E-2</v>
      </c>
      <c r="F32" s="255"/>
      <c r="G32" s="39">
        <f>ROUND($E$32*$G$27,2)</f>
        <v>170.16</v>
      </c>
    </row>
    <row r="33" spans="1:7" ht="49.5" customHeight="1" x14ac:dyDescent="0.2">
      <c r="A33" s="38" t="s">
        <v>7</v>
      </c>
      <c r="B33" s="275" t="s">
        <v>35</v>
      </c>
      <c r="C33" s="291"/>
      <c r="D33" s="291"/>
      <c r="E33" s="292">
        <v>2.7799999999999998E-2</v>
      </c>
      <c r="F33" s="292"/>
      <c r="G33" s="39">
        <f>ROUND($E$33*$G$27,2)</f>
        <v>56.79</v>
      </c>
    </row>
    <row r="34" spans="1:7" ht="19.5" customHeight="1" x14ac:dyDescent="0.2">
      <c r="A34" s="270" t="s">
        <v>36</v>
      </c>
      <c r="B34" s="270"/>
      <c r="C34" s="270"/>
      <c r="D34" s="270"/>
      <c r="E34" s="293">
        <f>SUM(E32:E33)</f>
        <v>0.1111</v>
      </c>
      <c r="F34" s="293"/>
      <c r="G34" s="40">
        <f>SUM(G32:G33)</f>
        <v>226.95</v>
      </c>
    </row>
    <row r="35" spans="1:7" s="41" customFormat="1" ht="19.5" customHeight="1" x14ac:dyDescent="0.25">
      <c r="A35" s="270" t="s">
        <v>37</v>
      </c>
      <c r="B35" s="270"/>
      <c r="C35" s="270"/>
      <c r="D35" s="270"/>
      <c r="E35" s="270"/>
      <c r="F35" s="270"/>
      <c r="G35" s="270"/>
    </row>
    <row r="36" spans="1:7" s="41" customFormat="1" ht="39" customHeight="1" x14ac:dyDescent="0.25">
      <c r="A36" s="38" t="s">
        <v>5</v>
      </c>
      <c r="B36" s="33" t="s">
        <v>38</v>
      </c>
      <c r="C36" s="42"/>
      <c r="D36" s="286" t="s">
        <v>39</v>
      </c>
      <c r="E36" s="286"/>
      <c r="F36" s="43">
        <v>0.2</v>
      </c>
      <c r="G36" s="39">
        <f>ROUND(F36*($G$27+$G$34),2)</f>
        <v>453.95</v>
      </c>
    </row>
    <row r="37" spans="1:7" s="41" customFormat="1" ht="39" customHeight="1" x14ac:dyDescent="0.25">
      <c r="A37" s="38" t="s">
        <v>7</v>
      </c>
      <c r="B37" s="33" t="s">
        <v>40</v>
      </c>
      <c r="C37" s="42"/>
      <c r="D37" s="286" t="s">
        <v>41</v>
      </c>
      <c r="E37" s="286"/>
      <c r="F37" s="44">
        <v>2.5000000000000001E-2</v>
      </c>
      <c r="G37" s="39">
        <f t="shared" ref="G37:G43" si="0">ROUND(F37*($G$27+$G$34),2)</f>
        <v>56.74</v>
      </c>
    </row>
    <row r="38" spans="1:7" s="41" customFormat="1" ht="62.25" customHeight="1" x14ac:dyDescent="0.25">
      <c r="A38" s="38" t="s">
        <v>9</v>
      </c>
      <c r="B38" s="284" t="s">
        <v>42</v>
      </c>
      <c r="C38" s="290"/>
      <c r="D38" s="286" t="s">
        <v>43</v>
      </c>
      <c r="E38" s="286"/>
      <c r="F38" s="45">
        <v>0.06</v>
      </c>
      <c r="G38" s="39">
        <f t="shared" si="0"/>
        <v>136.18</v>
      </c>
    </row>
    <row r="39" spans="1:7" s="41" customFormat="1" ht="48" customHeight="1" x14ac:dyDescent="0.25">
      <c r="A39" s="38" t="s">
        <v>11</v>
      </c>
      <c r="B39" s="33" t="s">
        <v>44</v>
      </c>
      <c r="C39" s="42"/>
      <c r="D39" s="286" t="s">
        <v>41</v>
      </c>
      <c r="E39" s="286"/>
      <c r="F39" s="44">
        <v>1.4999999999999999E-2</v>
      </c>
      <c r="G39" s="39">
        <f t="shared" si="0"/>
        <v>34.049999999999997</v>
      </c>
    </row>
    <row r="40" spans="1:7" s="41" customFormat="1" ht="43.5" customHeight="1" x14ac:dyDescent="0.25">
      <c r="A40" s="38" t="s">
        <v>13</v>
      </c>
      <c r="B40" s="33" t="s">
        <v>45</v>
      </c>
      <c r="C40" s="42"/>
      <c r="D40" s="286" t="s">
        <v>41</v>
      </c>
      <c r="E40" s="286"/>
      <c r="F40" s="44">
        <v>0.01</v>
      </c>
      <c r="G40" s="39">
        <f t="shared" si="0"/>
        <v>22.7</v>
      </c>
    </row>
    <row r="41" spans="1:7" s="41" customFormat="1" ht="42.75" customHeight="1" x14ac:dyDescent="0.25">
      <c r="A41" s="38" t="s">
        <v>15</v>
      </c>
      <c r="B41" s="33" t="s">
        <v>46</v>
      </c>
      <c r="C41" s="42"/>
      <c r="D41" s="286" t="s">
        <v>41</v>
      </c>
      <c r="E41" s="286"/>
      <c r="F41" s="44">
        <v>6.0000000000000001E-3</v>
      </c>
      <c r="G41" s="39">
        <f t="shared" si="0"/>
        <v>13.62</v>
      </c>
    </row>
    <row r="42" spans="1:7" s="41" customFormat="1" ht="46.5" customHeight="1" x14ac:dyDescent="0.25">
      <c r="A42" s="38" t="s">
        <v>18</v>
      </c>
      <c r="B42" s="33" t="s">
        <v>47</v>
      </c>
      <c r="C42" s="42"/>
      <c r="D42" s="286" t="s">
        <v>41</v>
      </c>
      <c r="E42" s="286"/>
      <c r="F42" s="44">
        <v>2E-3</v>
      </c>
      <c r="G42" s="39">
        <f t="shared" si="0"/>
        <v>4.54</v>
      </c>
    </row>
    <row r="43" spans="1:7" s="41" customFormat="1" ht="48" customHeight="1" x14ac:dyDescent="0.25">
      <c r="A43" s="38" t="s">
        <v>20</v>
      </c>
      <c r="B43" s="33" t="s">
        <v>48</v>
      </c>
      <c r="C43" s="42"/>
      <c r="D43" s="286" t="s">
        <v>41</v>
      </c>
      <c r="E43" s="286"/>
      <c r="F43" s="44">
        <v>0.08</v>
      </c>
      <c r="G43" s="39">
        <f t="shared" si="0"/>
        <v>181.58</v>
      </c>
    </row>
    <row r="44" spans="1:7" s="41" customFormat="1" ht="19.5" customHeight="1" x14ac:dyDescent="0.25">
      <c r="A44" s="287" t="s">
        <v>49</v>
      </c>
      <c r="B44" s="288"/>
      <c r="C44" s="288"/>
      <c r="D44" s="288"/>
      <c r="E44" s="289"/>
      <c r="F44" s="46">
        <f>SUM(F36:F43)</f>
        <v>0.39800000000000008</v>
      </c>
      <c r="G44" s="47">
        <f>SUM(G36:G43)</f>
        <v>903.36</v>
      </c>
    </row>
    <row r="45" spans="1:7" ht="19.5" customHeight="1" x14ac:dyDescent="0.2">
      <c r="A45" s="270" t="s">
        <v>50</v>
      </c>
      <c r="B45" s="270"/>
      <c r="C45" s="270"/>
      <c r="D45" s="270"/>
      <c r="E45" s="270"/>
      <c r="F45" s="270"/>
      <c r="G45" s="270"/>
    </row>
    <row r="46" spans="1:7" ht="57.75" customHeight="1" x14ac:dyDescent="0.2">
      <c r="A46" s="48" t="s">
        <v>5</v>
      </c>
      <c r="B46" s="256" t="s">
        <v>51</v>
      </c>
      <c r="C46" s="257"/>
      <c r="D46" s="49" t="s">
        <v>116</v>
      </c>
      <c r="E46" s="39">
        <v>597.96</v>
      </c>
      <c r="F46" s="50">
        <v>0.01</v>
      </c>
      <c r="G46" s="39">
        <f>ROUND((E46)*(1-F46),2)</f>
        <v>591.98</v>
      </c>
    </row>
    <row r="47" spans="1:7" ht="70.5" customHeight="1" x14ac:dyDescent="0.2">
      <c r="A47" s="38" t="s">
        <v>7</v>
      </c>
      <c r="B47" s="256" t="s">
        <v>52</v>
      </c>
      <c r="C47" s="257"/>
      <c r="D47" s="49" t="s">
        <v>183</v>
      </c>
      <c r="E47" s="39">
        <v>4</v>
      </c>
      <c r="F47" s="50">
        <v>0.06</v>
      </c>
      <c r="G47" s="39">
        <f>ROUND((E47*2*22)-(0.06*$G$24),2)</f>
        <v>87.32</v>
      </c>
    </row>
    <row r="48" spans="1:7" ht="70.5" customHeight="1" x14ac:dyDescent="0.2">
      <c r="A48" s="38" t="s">
        <v>9</v>
      </c>
      <c r="B48" s="261" t="s">
        <v>118</v>
      </c>
      <c r="C48" s="263"/>
      <c r="D48" s="49" t="s">
        <v>119</v>
      </c>
      <c r="E48" s="39">
        <v>21.88</v>
      </c>
      <c r="F48" s="51"/>
      <c r="G48" s="39">
        <f>E48</f>
        <v>21.88</v>
      </c>
    </row>
    <row r="49" spans="1:9" ht="40.5" customHeight="1" x14ac:dyDescent="0.2">
      <c r="A49" s="38" t="s">
        <v>11</v>
      </c>
      <c r="B49" s="261" t="s">
        <v>115</v>
      </c>
      <c r="C49" s="263"/>
      <c r="D49" s="49"/>
      <c r="E49" s="39"/>
      <c r="F49" s="51"/>
      <c r="G49" s="39">
        <f>E49</f>
        <v>0</v>
      </c>
    </row>
    <row r="50" spans="1:9" ht="31.5" customHeight="1" x14ac:dyDescent="0.2">
      <c r="A50" s="270" t="s">
        <v>53</v>
      </c>
      <c r="B50" s="270"/>
      <c r="C50" s="270"/>
      <c r="D50" s="270"/>
      <c r="E50" s="270"/>
      <c r="F50" s="270"/>
      <c r="G50" s="40">
        <f>SUM(G46:G49)</f>
        <v>701.18</v>
      </c>
    </row>
    <row r="51" spans="1:9" ht="31.5" customHeight="1" x14ac:dyDescent="0.2">
      <c r="A51" s="271" t="s">
        <v>54</v>
      </c>
      <c r="B51" s="271"/>
      <c r="C51" s="271"/>
      <c r="D51" s="271"/>
      <c r="E51" s="271"/>
      <c r="F51" s="271"/>
      <c r="G51" s="52">
        <f>SUM(G50,G44,G34)</f>
        <v>1831.49</v>
      </c>
    </row>
    <row r="52" spans="1:9" ht="3" customHeight="1" x14ac:dyDescent="0.2">
      <c r="A52" s="26"/>
      <c r="B52" s="27"/>
      <c r="C52" s="27"/>
      <c r="D52" s="27"/>
      <c r="E52" s="27"/>
      <c r="F52" s="27"/>
      <c r="G52" s="27"/>
    </row>
    <row r="53" spans="1:9" ht="21.75" customHeight="1" x14ac:dyDescent="0.2">
      <c r="A53" s="260" t="s">
        <v>55</v>
      </c>
      <c r="B53" s="260"/>
      <c r="C53" s="260"/>
      <c r="D53" s="260"/>
      <c r="E53" s="260"/>
      <c r="F53" s="260"/>
      <c r="G53" s="260"/>
    </row>
    <row r="54" spans="1:9" ht="80.25" customHeight="1" x14ac:dyDescent="0.2">
      <c r="A54" s="266" t="s">
        <v>5</v>
      </c>
      <c r="B54" s="275" t="s">
        <v>56</v>
      </c>
      <c r="C54" s="275"/>
      <c r="D54" s="275"/>
      <c r="E54" s="255">
        <f>(1/12)*D55</f>
        <v>4.1666666666666666E-3</v>
      </c>
      <c r="F54" s="255"/>
      <c r="G54" s="280">
        <f>ROUND($G$27+$G$34,0)*E54</f>
        <v>9.4583333333333339</v>
      </c>
    </row>
    <row r="55" spans="1:9" ht="77.25" customHeight="1" x14ac:dyDescent="0.2">
      <c r="A55" s="266"/>
      <c r="B55" s="285" t="s">
        <v>57</v>
      </c>
      <c r="C55" s="285"/>
      <c r="D55" s="53">
        <v>0.05</v>
      </c>
      <c r="E55" s="255"/>
      <c r="F55" s="255"/>
      <c r="G55" s="280"/>
    </row>
    <row r="56" spans="1:9" ht="42.75" customHeight="1" x14ac:dyDescent="0.2">
      <c r="A56" s="38" t="s">
        <v>7</v>
      </c>
      <c r="B56" s="275" t="s">
        <v>58</v>
      </c>
      <c r="C56" s="275"/>
      <c r="D56" s="275"/>
      <c r="E56" s="255">
        <v>0.08</v>
      </c>
      <c r="F56" s="255"/>
      <c r="G56" s="39">
        <f>ROUND(G54*E56,2)</f>
        <v>0.76</v>
      </c>
      <c r="H56" s="54"/>
      <c r="I56" s="54"/>
    </row>
    <row r="57" spans="1:9" ht="53.25" customHeight="1" x14ac:dyDescent="0.2">
      <c r="A57" s="38" t="s">
        <v>9</v>
      </c>
      <c r="B57" s="256" t="s">
        <v>59</v>
      </c>
      <c r="C57" s="284"/>
      <c r="D57" s="257"/>
      <c r="E57" s="255">
        <f>(7/30)/12</f>
        <v>1.9444444444444445E-2</v>
      </c>
      <c r="F57" s="255"/>
      <c r="G57" s="39">
        <f>ROUND((($G$27+$G$34)*E57),2)</f>
        <v>44.13</v>
      </c>
    </row>
    <row r="58" spans="1:9" ht="37.5" customHeight="1" x14ac:dyDescent="0.2">
      <c r="A58" s="38" t="s">
        <v>11</v>
      </c>
      <c r="B58" s="275" t="s">
        <v>60</v>
      </c>
      <c r="C58" s="275"/>
      <c r="D58" s="275"/>
      <c r="E58" s="255">
        <f>F44</f>
        <v>0.39800000000000008</v>
      </c>
      <c r="F58" s="255"/>
      <c r="G58" s="39">
        <f>ROUND(E58*G57,2)</f>
        <v>17.559999999999999</v>
      </c>
    </row>
    <row r="59" spans="1:9" ht="64.5" customHeight="1" x14ac:dyDescent="0.2">
      <c r="A59" s="38" t="s">
        <v>13</v>
      </c>
      <c r="B59" s="275" t="s">
        <v>61</v>
      </c>
      <c r="C59" s="275"/>
      <c r="D59" s="275"/>
      <c r="E59" s="255">
        <v>0.04</v>
      </c>
      <c r="F59" s="255"/>
      <c r="G59" s="39">
        <f>ROUND(E59*($G$27+$G$34),2)</f>
        <v>90.79</v>
      </c>
    </row>
    <row r="60" spans="1:9" ht="21.75" customHeight="1" x14ac:dyDescent="0.2">
      <c r="A60" s="259" t="s">
        <v>62</v>
      </c>
      <c r="B60" s="259"/>
      <c r="C60" s="259"/>
      <c r="D60" s="259"/>
      <c r="E60" s="259"/>
      <c r="F60" s="259"/>
      <c r="G60" s="52">
        <f>ROUND(SUM(G54:G59),2)</f>
        <v>162.69999999999999</v>
      </c>
    </row>
    <row r="61" spans="1:9" ht="3.75" customHeight="1" x14ac:dyDescent="0.2">
      <c r="A61" s="55"/>
      <c r="B61" s="56"/>
      <c r="C61" s="56"/>
      <c r="D61" s="56"/>
      <c r="E61" s="56"/>
      <c r="F61" s="56"/>
      <c r="G61" s="56"/>
    </row>
    <row r="62" spans="1:9" ht="21.75" customHeight="1" x14ac:dyDescent="0.2">
      <c r="A62" s="260" t="s">
        <v>63</v>
      </c>
      <c r="B62" s="260"/>
      <c r="C62" s="260"/>
      <c r="D62" s="260"/>
      <c r="E62" s="260"/>
      <c r="F62" s="260"/>
      <c r="G62" s="260"/>
    </row>
    <row r="63" spans="1:9" ht="21.75" customHeight="1" x14ac:dyDescent="0.2">
      <c r="A63" s="270" t="s">
        <v>64</v>
      </c>
      <c r="B63" s="270"/>
      <c r="C63" s="270"/>
      <c r="D63" s="270"/>
      <c r="E63" s="270"/>
      <c r="F63" s="270"/>
      <c r="G63" s="270"/>
    </row>
    <row r="64" spans="1:9" ht="21.75" customHeight="1" x14ac:dyDescent="0.2">
      <c r="A64" s="266" t="s">
        <v>5</v>
      </c>
      <c r="B64" s="275" t="s">
        <v>65</v>
      </c>
      <c r="C64" s="275"/>
      <c r="D64" s="275"/>
      <c r="E64" s="276">
        <v>8.3299999999999999E-2</v>
      </c>
      <c r="F64" s="277"/>
      <c r="G64" s="280">
        <f>E64*($G$27+$G$51+$G$60)</f>
        <v>336.27960100000001</v>
      </c>
    </row>
    <row r="65" spans="1:8" ht="39.75" customHeight="1" x14ac:dyDescent="0.2">
      <c r="A65" s="266"/>
      <c r="B65" s="281" t="s">
        <v>66</v>
      </c>
      <c r="C65" s="282"/>
      <c r="D65" s="283"/>
      <c r="E65" s="278"/>
      <c r="F65" s="279"/>
      <c r="G65" s="280"/>
    </row>
    <row r="66" spans="1:8" x14ac:dyDescent="0.2">
      <c r="A66" s="266" t="s">
        <v>7</v>
      </c>
      <c r="B66" s="275" t="s">
        <v>67</v>
      </c>
      <c r="C66" s="275"/>
      <c r="D66" s="275"/>
      <c r="E66" s="276">
        <f>(6/360)</f>
        <v>1.6666666666666666E-2</v>
      </c>
      <c r="F66" s="277"/>
      <c r="G66" s="280">
        <f>E66*($G$27+$G$34+$G$44)</f>
        <v>52.884833333333333</v>
      </c>
    </row>
    <row r="67" spans="1:8" ht="78" customHeight="1" x14ac:dyDescent="0.2">
      <c r="A67" s="266"/>
      <c r="B67" s="281" t="s">
        <v>68</v>
      </c>
      <c r="C67" s="282"/>
      <c r="D67" s="283"/>
      <c r="E67" s="278"/>
      <c r="F67" s="279"/>
      <c r="G67" s="280"/>
    </row>
    <row r="68" spans="1:8" x14ac:dyDescent="0.2">
      <c r="A68" s="266" t="s">
        <v>9</v>
      </c>
      <c r="B68" s="275" t="s">
        <v>69</v>
      </c>
      <c r="C68" s="275"/>
      <c r="D68" s="275"/>
      <c r="E68" s="276">
        <f>((5/360)*(1.399%))</f>
        <v>1.9430555555555556E-4</v>
      </c>
      <c r="F68" s="277"/>
      <c r="G68" s="280">
        <f>E68*($G$27+$G$34+$G$44)</f>
        <v>0.61654901527777783</v>
      </c>
    </row>
    <row r="69" spans="1:8" ht="57" customHeight="1" x14ac:dyDescent="0.2">
      <c r="A69" s="266"/>
      <c r="B69" s="281" t="s">
        <v>70</v>
      </c>
      <c r="C69" s="282"/>
      <c r="D69" s="283"/>
      <c r="E69" s="278"/>
      <c r="F69" s="279"/>
      <c r="G69" s="280"/>
    </row>
    <row r="70" spans="1:8" x14ac:dyDescent="0.2">
      <c r="A70" s="266" t="s">
        <v>11</v>
      </c>
      <c r="B70" s="275" t="s">
        <v>71</v>
      </c>
      <c r="C70" s="275"/>
      <c r="D70" s="275"/>
      <c r="E70" s="276">
        <f>((15/360)*(2.16%))</f>
        <v>8.9999999999999998E-4</v>
      </c>
      <c r="F70" s="277"/>
      <c r="G70" s="280">
        <f>E70*($G$27+$G$34+$G$44)</f>
        <v>2.8557809999999999</v>
      </c>
    </row>
    <row r="71" spans="1:8" ht="63" customHeight="1" x14ac:dyDescent="0.2">
      <c r="A71" s="266"/>
      <c r="B71" s="281" t="s">
        <v>72</v>
      </c>
      <c r="C71" s="282"/>
      <c r="D71" s="283"/>
      <c r="E71" s="278"/>
      <c r="F71" s="279"/>
      <c r="G71" s="280"/>
    </row>
    <row r="72" spans="1:8" x14ac:dyDescent="0.2">
      <c r="A72" s="266" t="s">
        <v>13</v>
      </c>
      <c r="B72" s="275" t="s">
        <v>73</v>
      </c>
      <c r="C72" s="275"/>
      <c r="D72" s="275"/>
      <c r="E72" s="276">
        <f>((50%)*(1.99%)*(4/12)*(8.93%+8.93%+2.98%))</f>
        <v>6.9119333333333326E-4</v>
      </c>
      <c r="F72" s="277"/>
      <c r="G72" s="280">
        <f>(E72*G27)</f>
        <v>1.4119559174666667</v>
      </c>
    </row>
    <row r="73" spans="1:8" ht="54.75" customHeight="1" x14ac:dyDescent="0.2">
      <c r="A73" s="266"/>
      <c r="B73" s="281" t="s">
        <v>74</v>
      </c>
      <c r="C73" s="282"/>
      <c r="D73" s="283"/>
      <c r="E73" s="278"/>
      <c r="F73" s="279"/>
      <c r="G73" s="280"/>
    </row>
    <row r="74" spans="1:8" ht="19.5" customHeight="1" x14ac:dyDescent="0.2">
      <c r="A74" s="270" t="s">
        <v>75</v>
      </c>
      <c r="B74" s="270"/>
      <c r="C74" s="270"/>
      <c r="D74" s="270"/>
      <c r="E74" s="270"/>
      <c r="F74" s="270"/>
      <c r="G74" s="47">
        <f>SUM(G64:G73)</f>
        <v>394.04872026607779</v>
      </c>
    </row>
    <row r="75" spans="1:8" ht="3.75" customHeight="1" x14ac:dyDescent="0.2">
      <c r="A75" s="57"/>
      <c r="B75" s="58"/>
      <c r="C75" s="58"/>
      <c r="D75" s="58"/>
      <c r="E75" s="58"/>
      <c r="F75" s="58"/>
      <c r="G75" s="58"/>
    </row>
    <row r="76" spans="1:8" ht="3.75" customHeight="1" x14ac:dyDescent="0.2">
      <c r="A76" s="59"/>
      <c r="B76" s="60"/>
      <c r="C76" s="60"/>
      <c r="D76" s="60"/>
      <c r="E76" s="60"/>
      <c r="F76" s="60"/>
      <c r="G76" s="60"/>
    </row>
    <row r="77" spans="1:8" ht="30.75" customHeight="1" x14ac:dyDescent="0.2">
      <c r="A77" s="271" t="s">
        <v>76</v>
      </c>
      <c r="B77" s="271"/>
      <c r="C77" s="271"/>
      <c r="D77" s="271"/>
      <c r="E77" s="271"/>
      <c r="F77" s="271"/>
      <c r="G77" s="61">
        <f>G74</f>
        <v>394.04872026607779</v>
      </c>
    </row>
    <row r="78" spans="1:8" ht="3.75" customHeight="1" x14ac:dyDescent="0.2">
      <c r="A78" s="272"/>
      <c r="B78" s="272"/>
      <c r="C78" s="272"/>
      <c r="D78" s="272"/>
      <c r="E78" s="272"/>
      <c r="F78" s="272"/>
      <c r="G78" s="272"/>
    </row>
    <row r="79" spans="1:8" ht="21.75" customHeight="1" x14ac:dyDescent="0.2">
      <c r="A79" s="260" t="s">
        <v>77</v>
      </c>
      <c r="B79" s="260"/>
      <c r="C79" s="260"/>
      <c r="D79" s="260"/>
      <c r="E79" s="260"/>
      <c r="F79" s="260"/>
      <c r="G79" s="260"/>
    </row>
    <row r="80" spans="1:8" ht="19.5" customHeight="1" x14ac:dyDescent="0.2">
      <c r="A80" s="29" t="s">
        <v>5</v>
      </c>
      <c r="B80" s="30" t="s">
        <v>78</v>
      </c>
      <c r="C80" s="31"/>
      <c r="D80" s="31"/>
      <c r="E80" s="31"/>
      <c r="F80" s="31"/>
      <c r="G80" s="39" cm="1">
        <f t="array" ref="G80:H80">'Insumos Diversos'!J101:K101</f>
        <v>47</v>
      </c>
      <c r="H80" s="1">
        <v>0</v>
      </c>
    </row>
    <row r="81" spans="1:7" ht="19.5" customHeight="1" x14ac:dyDescent="0.2">
      <c r="A81" s="62" t="s">
        <v>7</v>
      </c>
      <c r="B81" s="30" t="s">
        <v>318</v>
      </c>
      <c r="C81" s="31"/>
      <c r="D81" s="31"/>
      <c r="E81" s="31"/>
      <c r="F81" s="31"/>
      <c r="G81" s="39">
        <f>'Insumos Diversos'!K51</f>
        <v>595</v>
      </c>
    </row>
    <row r="82" spans="1:7" ht="19.5" customHeight="1" x14ac:dyDescent="0.2">
      <c r="A82" s="63" t="s">
        <v>9</v>
      </c>
      <c r="B82" s="30" t="s">
        <v>79</v>
      </c>
      <c r="C82" s="31"/>
      <c r="D82" s="31"/>
      <c r="E82" s="31"/>
      <c r="F82" s="31"/>
      <c r="G82" s="39">
        <f>'Insumos Diversos'!K85</f>
        <v>5.8</v>
      </c>
    </row>
    <row r="83" spans="1:7" ht="21.75" customHeight="1" x14ac:dyDescent="0.2">
      <c r="A83" s="273" t="s">
        <v>80</v>
      </c>
      <c r="B83" s="273"/>
      <c r="C83" s="273"/>
      <c r="D83" s="273"/>
      <c r="E83" s="273"/>
      <c r="F83" s="273"/>
      <c r="G83" s="37">
        <f>SUM(G80:G82)</f>
        <v>647.79999999999995</v>
      </c>
    </row>
    <row r="84" spans="1:7" ht="3.75" customHeight="1" x14ac:dyDescent="0.2">
      <c r="A84" s="274"/>
      <c r="B84" s="274"/>
      <c r="C84" s="274"/>
      <c r="D84" s="274"/>
      <c r="E84" s="274"/>
      <c r="F84" s="274"/>
      <c r="G84" s="274"/>
    </row>
    <row r="85" spans="1:7" ht="23.25" customHeight="1" x14ac:dyDescent="0.2">
      <c r="A85" s="260" t="s">
        <v>81</v>
      </c>
      <c r="B85" s="260"/>
      <c r="C85" s="260"/>
      <c r="D85" s="260"/>
      <c r="E85" s="260"/>
      <c r="F85" s="260"/>
      <c r="G85" s="260"/>
    </row>
    <row r="86" spans="1:7" ht="19.5" customHeight="1" x14ac:dyDescent="0.2">
      <c r="A86" s="38" t="s">
        <v>5</v>
      </c>
      <c r="B86" s="261" t="s">
        <v>82</v>
      </c>
      <c r="C86" s="262"/>
      <c r="D86" s="263"/>
      <c r="E86" s="264">
        <v>0.03</v>
      </c>
      <c r="F86" s="265"/>
      <c r="G86" s="39">
        <f>ROUND((G103)*E86,2)</f>
        <v>152.36000000000001</v>
      </c>
    </row>
    <row r="87" spans="1:7" ht="19.5" customHeight="1" x14ac:dyDescent="0.2">
      <c r="A87" s="38" t="s">
        <v>7</v>
      </c>
      <c r="B87" s="261" t="s">
        <v>83</v>
      </c>
      <c r="C87" s="262"/>
      <c r="D87" s="263"/>
      <c r="E87" s="264">
        <v>6.7900000000000002E-2</v>
      </c>
      <c r="F87" s="265"/>
      <c r="G87" s="39">
        <f>ROUND((G103+$G$86)*E87,2)</f>
        <v>355.2</v>
      </c>
    </row>
    <row r="88" spans="1:7" ht="19.5" customHeight="1" x14ac:dyDescent="0.2">
      <c r="A88" s="266" t="s">
        <v>9</v>
      </c>
      <c r="B88" s="267" t="s">
        <v>84</v>
      </c>
      <c r="C88" s="64"/>
      <c r="D88" s="65"/>
      <c r="E88" s="268">
        <f>SUM(E89:F93)</f>
        <v>0.1225</v>
      </c>
      <c r="F88" s="269"/>
      <c r="G88" s="66"/>
    </row>
    <row r="89" spans="1:7" ht="19.5" customHeight="1" x14ac:dyDescent="0.2">
      <c r="A89" s="266"/>
      <c r="B89" s="267"/>
      <c r="C89" s="67" t="s">
        <v>85</v>
      </c>
      <c r="D89" s="68" t="s">
        <v>86</v>
      </c>
      <c r="E89" s="255">
        <v>1.6500000000000001E-2</v>
      </c>
      <c r="F89" s="255"/>
      <c r="G89" s="39">
        <f>ROUND((E89)*($G$105),2)</f>
        <v>105.04</v>
      </c>
    </row>
    <row r="90" spans="1:7" ht="19.5" customHeight="1" x14ac:dyDescent="0.2">
      <c r="A90" s="266"/>
      <c r="B90" s="267"/>
      <c r="C90" s="69"/>
      <c r="D90" s="68" t="s">
        <v>87</v>
      </c>
      <c r="E90" s="255">
        <v>7.5999999999999998E-2</v>
      </c>
      <c r="F90" s="255"/>
      <c r="G90" s="39">
        <f>ROUND((E90)*($G$105),2)</f>
        <v>483.83</v>
      </c>
    </row>
    <row r="91" spans="1:7" ht="19.5" customHeight="1" x14ac:dyDescent="0.2">
      <c r="A91" s="266"/>
      <c r="B91" s="267"/>
      <c r="C91" s="70"/>
      <c r="D91" s="68" t="s">
        <v>88</v>
      </c>
      <c r="E91" s="255"/>
      <c r="F91" s="255"/>
      <c r="G91" s="39">
        <f>ROUND((E91)*($G$105),2)</f>
        <v>0</v>
      </c>
    </row>
    <row r="92" spans="1:7" ht="77.25" customHeight="1" x14ac:dyDescent="0.2">
      <c r="A92" s="266"/>
      <c r="B92" s="267"/>
      <c r="C92" s="71" t="s">
        <v>184</v>
      </c>
      <c r="D92" s="68" t="s">
        <v>89</v>
      </c>
      <c r="E92" s="255">
        <v>0.03</v>
      </c>
      <c r="F92" s="255"/>
      <c r="G92" s="39">
        <f>ROUND((E92)*($G$105),2)</f>
        <v>190.99</v>
      </c>
    </row>
    <row r="93" spans="1:7" ht="41.25" customHeight="1" x14ac:dyDescent="0.2">
      <c r="A93" s="266"/>
      <c r="B93" s="267"/>
      <c r="C93" s="256" t="s">
        <v>90</v>
      </c>
      <c r="D93" s="257"/>
      <c r="E93" s="255"/>
      <c r="F93" s="255"/>
      <c r="G93" s="39">
        <f>ROUND((E93)*($G$105),2)</f>
        <v>0</v>
      </c>
    </row>
    <row r="94" spans="1:7" ht="19.5" customHeight="1" x14ac:dyDescent="0.2">
      <c r="A94" s="266"/>
      <c r="B94" s="258" t="s">
        <v>91</v>
      </c>
      <c r="C94" s="258"/>
      <c r="D94" s="258"/>
      <c r="E94" s="258"/>
      <c r="F94" s="258"/>
      <c r="G94" s="72">
        <f>SUM(G89,G90,G91,G92,G93)</f>
        <v>779.86</v>
      </c>
    </row>
    <row r="95" spans="1:7" ht="21.75" customHeight="1" x14ac:dyDescent="0.2">
      <c r="A95" s="259" t="s">
        <v>92</v>
      </c>
      <c r="B95" s="259"/>
      <c r="C95" s="259"/>
      <c r="D95" s="259"/>
      <c r="E95" s="259"/>
      <c r="F95" s="259"/>
      <c r="G95" s="73">
        <f>SUM(G94,G87,G86)</f>
        <v>1287.42</v>
      </c>
    </row>
    <row r="96" spans="1:7" ht="3.75" customHeight="1" x14ac:dyDescent="0.2">
      <c r="A96" s="251"/>
      <c r="B96" s="251"/>
      <c r="C96" s="251"/>
      <c r="D96" s="251"/>
      <c r="E96" s="251"/>
      <c r="F96" s="251"/>
      <c r="G96" s="251"/>
    </row>
    <row r="97" spans="1:7" ht="23.25" customHeight="1" x14ac:dyDescent="0.2">
      <c r="A97" s="252" t="s">
        <v>93</v>
      </c>
      <c r="B97" s="252"/>
      <c r="C97" s="252"/>
      <c r="D97" s="252"/>
      <c r="E97" s="252"/>
      <c r="F97" s="252"/>
      <c r="G97" s="252"/>
    </row>
    <row r="98" spans="1:7" ht="19.5" customHeight="1" x14ac:dyDescent="0.2">
      <c r="A98" s="38" t="s">
        <v>5</v>
      </c>
      <c r="B98" s="33" t="s">
        <v>94</v>
      </c>
      <c r="C98" s="42"/>
      <c r="D98" s="42"/>
      <c r="E98" s="42"/>
      <c r="F98" s="42"/>
      <c r="G98" s="32">
        <f>G27</f>
        <v>2042.7800000000002</v>
      </c>
    </row>
    <row r="99" spans="1:7" ht="19.5" customHeight="1" x14ac:dyDescent="0.2">
      <c r="A99" s="38" t="s">
        <v>7</v>
      </c>
      <c r="B99" s="33" t="s">
        <v>95</v>
      </c>
      <c r="C99" s="42"/>
      <c r="D99" s="42"/>
      <c r="E99" s="42"/>
      <c r="F99" s="42"/>
      <c r="G99" s="32">
        <f>G51</f>
        <v>1831.49</v>
      </c>
    </row>
    <row r="100" spans="1:7" ht="19.5" customHeight="1" x14ac:dyDescent="0.2">
      <c r="A100" s="38" t="s">
        <v>9</v>
      </c>
      <c r="B100" s="33" t="s">
        <v>96</v>
      </c>
      <c r="C100" s="42"/>
      <c r="D100" s="42"/>
      <c r="E100" s="42"/>
      <c r="F100" s="42"/>
      <c r="G100" s="32">
        <f>G60</f>
        <v>162.69999999999999</v>
      </c>
    </row>
    <row r="101" spans="1:7" ht="19.5" customHeight="1" x14ac:dyDescent="0.2">
      <c r="A101" s="38" t="s">
        <v>11</v>
      </c>
      <c r="B101" s="33" t="s">
        <v>97</v>
      </c>
      <c r="C101" s="42"/>
      <c r="D101" s="42"/>
      <c r="E101" s="42"/>
      <c r="F101" s="42"/>
      <c r="G101" s="32">
        <f>G77</f>
        <v>394.04872026607779</v>
      </c>
    </row>
    <row r="102" spans="1:7" ht="19.5" customHeight="1" x14ac:dyDescent="0.2">
      <c r="A102" s="38" t="s">
        <v>13</v>
      </c>
      <c r="B102" s="33" t="s">
        <v>98</v>
      </c>
      <c r="C102" s="42"/>
      <c r="D102" s="42"/>
      <c r="E102" s="42"/>
      <c r="F102" s="42"/>
      <c r="G102" s="32">
        <f>G83</f>
        <v>647.79999999999995</v>
      </c>
    </row>
    <row r="103" spans="1:7" ht="19.5" customHeight="1" x14ac:dyDescent="0.2">
      <c r="A103" s="253" t="s">
        <v>99</v>
      </c>
      <c r="B103" s="254"/>
      <c r="C103" s="254"/>
      <c r="D103" s="254"/>
      <c r="E103" s="254"/>
      <c r="F103" s="254"/>
      <c r="G103" s="74">
        <f>SUM(G98:G102)</f>
        <v>5078.8187202660783</v>
      </c>
    </row>
    <row r="104" spans="1:7" ht="19.5" customHeight="1" x14ac:dyDescent="0.2">
      <c r="A104" s="38" t="s">
        <v>15</v>
      </c>
      <c r="B104" s="33" t="s">
        <v>100</v>
      </c>
      <c r="C104" s="42"/>
      <c r="D104" s="42"/>
      <c r="E104" s="42"/>
      <c r="F104" s="42"/>
      <c r="G104" s="32">
        <f>G95</f>
        <v>1287.42</v>
      </c>
    </row>
    <row r="105" spans="1:7" ht="43.5" customHeight="1" x14ac:dyDescent="0.2">
      <c r="A105" s="247" t="s">
        <v>101</v>
      </c>
      <c r="B105" s="247"/>
      <c r="C105" s="247"/>
      <c r="D105" s="247"/>
      <c r="E105" s="247"/>
      <c r="F105" s="247"/>
      <c r="G105" s="75">
        <f>SUM(G103+G86+G87)/(1-E88)</f>
        <v>6366.2435558587786</v>
      </c>
    </row>
    <row r="106" spans="1:7" ht="3.75" customHeight="1" x14ac:dyDescent="0.2">
      <c r="A106" s="251"/>
      <c r="B106" s="251"/>
      <c r="C106" s="251"/>
      <c r="D106" s="251"/>
      <c r="E106" s="251"/>
      <c r="F106" s="251"/>
      <c r="G106" s="251"/>
    </row>
    <row r="107" spans="1:7" ht="22.5" customHeight="1" x14ac:dyDescent="0.2">
      <c r="A107" s="249" t="s">
        <v>102</v>
      </c>
      <c r="B107" s="249"/>
      <c r="C107" s="249"/>
      <c r="D107" s="249"/>
      <c r="E107" s="249"/>
      <c r="F107" s="249"/>
      <c r="G107" s="249"/>
    </row>
    <row r="108" spans="1:7" ht="21" customHeight="1" x14ac:dyDescent="0.2">
      <c r="A108" s="248" t="s">
        <v>103</v>
      </c>
      <c r="B108" s="248"/>
      <c r="C108" s="248"/>
      <c r="D108" s="248"/>
      <c r="E108" s="248"/>
      <c r="F108" s="248"/>
      <c r="G108" s="32">
        <f>G105</f>
        <v>6366.2435558587786</v>
      </c>
    </row>
    <row r="109" spans="1:7" ht="21" customHeight="1" x14ac:dyDescent="0.2">
      <c r="A109" s="248" t="s">
        <v>104</v>
      </c>
      <c r="B109" s="248"/>
      <c r="C109" s="248"/>
      <c r="D109" s="248"/>
      <c r="E109" s="248"/>
      <c r="F109" s="248"/>
      <c r="G109" s="11">
        <v>1</v>
      </c>
    </row>
    <row r="110" spans="1:7" ht="21" customHeight="1" x14ac:dyDescent="0.2">
      <c r="A110" s="248" t="s">
        <v>105</v>
      </c>
      <c r="B110" s="248"/>
      <c r="C110" s="248"/>
      <c r="D110" s="248"/>
      <c r="E110" s="248"/>
      <c r="F110" s="248"/>
      <c r="G110" s="32">
        <f>G109*G108</f>
        <v>6366.2435558587786</v>
      </c>
    </row>
    <row r="111" spans="1:7" ht="21" customHeight="1" x14ac:dyDescent="0.2">
      <c r="A111" s="248" t="s">
        <v>106</v>
      </c>
      <c r="B111" s="248"/>
      <c r="C111" s="248"/>
      <c r="D111" s="248"/>
      <c r="E111" s="248"/>
      <c r="F111" s="248"/>
      <c r="G111" s="11">
        <v>1</v>
      </c>
    </row>
    <row r="112" spans="1:7" ht="22.5" customHeight="1" x14ac:dyDescent="0.2">
      <c r="A112" s="249" t="s">
        <v>107</v>
      </c>
      <c r="B112" s="249"/>
      <c r="C112" s="249"/>
      <c r="D112" s="249"/>
      <c r="E112" s="249"/>
      <c r="F112" s="249"/>
      <c r="G112" s="76">
        <f>G111*G110</f>
        <v>6366.2435558587786</v>
      </c>
    </row>
    <row r="113" spans="1:7" ht="3.75" customHeight="1" x14ac:dyDescent="0.2">
      <c r="A113" s="250"/>
      <c r="B113" s="250"/>
      <c r="C113" s="250"/>
      <c r="D113" s="250"/>
      <c r="E113" s="250"/>
      <c r="F113" s="250"/>
      <c r="G113" s="250"/>
    </row>
    <row r="114" spans="1:7" ht="22.5" customHeight="1" x14ac:dyDescent="0.2">
      <c r="A114" s="303" t="s">
        <v>182</v>
      </c>
      <c r="B114" s="304"/>
      <c r="C114" s="304"/>
      <c r="D114" s="304"/>
      <c r="E114" s="304"/>
      <c r="F114" s="305"/>
      <c r="G114" s="75">
        <f>G112*G18</f>
        <v>127324.87111717557</v>
      </c>
    </row>
  </sheetData>
  <mergeCells count="120">
    <mergeCell ref="A1:G1"/>
    <mergeCell ref="A3:G3"/>
    <mergeCell ref="A5:G5"/>
    <mergeCell ref="A6:G6"/>
    <mergeCell ref="A8:G8"/>
    <mergeCell ref="A9:G9"/>
    <mergeCell ref="A23:F23"/>
    <mergeCell ref="E25:F25"/>
    <mergeCell ref="A27:F27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0:F50"/>
    <mergeCell ref="A51:F51"/>
    <mergeCell ref="D40:E40"/>
    <mergeCell ref="D41:E41"/>
    <mergeCell ref="D42:E42"/>
    <mergeCell ref="D43:E43"/>
    <mergeCell ref="A44:E44"/>
    <mergeCell ref="A45:G45"/>
    <mergeCell ref="B56:D56"/>
    <mergeCell ref="E56:F56"/>
    <mergeCell ref="B57:D57"/>
    <mergeCell ref="E57:F57"/>
    <mergeCell ref="B58:D58"/>
    <mergeCell ref="E58:F58"/>
    <mergeCell ref="A53:G53"/>
    <mergeCell ref="A54:A55"/>
    <mergeCell ref="B54:D54"/>
    <mergeCell ref="E54:F55"/>
    <mergeCell ref="G54:G55"/>
    <mergeCell ref="B55:C55"/>
    <mergeCell ref="B59:D59"/>
    <mergeCell ref="E59:F59"/>
    <mergeCell ref="A60:F60"/>
    <mergeCell ref="A62:G62"/>
    <mergeCell ref="A63:G63"/>
    <mergeCell ref="A64:A65"/>
    <mergeCell ref="B64:D64"/>
    <mergeCell ref="E64:F65"/>
    <mergeCell ref="G64:G65"/>
    <mergeCell ref="B65:D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4:F74"/>
    <mergeCell ref="A77:F77"/>
    <mergeCell ref="A78:G78"/>
    <mergeCell ref="A79:G79"/>
    <mergeCell ref="A83:F83"/>
    <mergeCell ref="A84:G84"/>
    <mergeCell ref="A70:A71"/>
    <mergeCell ref="B70:D70"/>
    <mergeCell ref="E70:F71"/>
    <mergeCell ref="G70:G71"/>
    <mergeCell ref="B71:D71"/>
    <mergeCell ref="A72:A73"/>
    <mergeCell ref="B72:D72"/>
    <mergeCell ref="E72:F73"/>
    <mergeCell ref="G72:G73"/>
    <mergeCell ref="B73:D73"/>
    <mergeCell ref="E91:F91"/>
    <mergeCell ref="E92:F92"/>
    <mergeCell ref="C93:D93"/>
    <mergeCell ref="E93:F93"/>
    <mergeCell ref="B94:F94"/>
    <mergeCell ref="A95:F95"/>
    <mergeCell ref="A85:G85"/>
    <mergeCell ref="B86:D86"/>
    <mergeCell ref="E86:F86"/>
    <mergeCell ref="B87:D87"/>
    <mergeCell ref="E87:F87"/>
    <mergeCell ref="A88:A94"/>
    <mergeCell ref="B88:B93"/>
    <mergeCell ref="E88:F88"/>
    <mergeCell ref="E89:F89"/>
    <mergeCell ref="E90:F90"/>
    <mergeCell ref="A114:F114"/>
    <mergeCell ref="A108:F108"/>
    <mergeCell ref="A109:F109"/>
    <mergeCell ref="A110:F110"/>
    <mergeCell ref="A111:F111"/>
    <mergeCell ref="A112:F112"/>
    <mergeCell ref="A113:G113"/>
    <mergeCell ref="A96:G96"/>
    <mergeCell ref="A97:G97"/>
    <mergeCell ref="A103:F103"/>
    <mergeCell ref="A105:F105"/>
    <mergeCell ref="A106:G106"/>
    <mergeCell ref="A107:G107"/>
  </mergeCells>
  <pageMargins left="0.23622047244094491" right="0.23622047244094491" top="0.55118110236220474" bottom="0.55118110236220474" header="0.31496062992125984" footer="0.31496062992125984"/>
  <pageSetup paperSize="9" scale="84" firstPageNumber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1BF6-84B1-41AC-9AF7-6A25902F3A33}">
  <dimension ref="A1:G17"/>
  <sheetViews>
    <sheetView showGridLines="0" zoomScaleNormal="100" workbookViewId="0">
      <selection activeCell="D9" sqref="A1:D9"/>
    </sheetView>
  </sheetViews>
  <sheetFormatPr defaultRowHeight="12.75" x14ac:dyDescent="0.25"/>
  <cols>
    <col min="1" max="1" width="14.7109375" style="131" customWidth="1"/>
    <col min="2" max="7" width="13.7109375" style="131" customWidth="1"/>
    <col min="8" max="10" width="37.140625" style="131" customWidth="1"/>
    <col min="11" max="256" width="9.140625" style="131"/>
    <col min="257" max="257" width="28.5703125" style="131" customWidth="1"/>
    <col min="258" max="258" width="10.42578125" style="131" customWidth="1"/>
    <col min="259" max="259" width="17" style="131" customWidth="1"/>
    <col min="260" max="260" width="11.28515625" style="131" customWidth="1"/>
    <col min="261" max="261" width="9.7109375" style="131" bestFit="1" customWidth="1"/>
    <col min="262" max="262" width="10.28515625" style="131" customWidth="1"/>
    <col min="263" max="263" width="9.85546875" style="131" customWidth="1"/>
    <col min="264" max="512" width="9.140625" style="131"/>
    <col min="513" max="513" width="28.5703125" style="131" customWidth="1"/>
    <col min="514" max="514" width="10.42578125" style="131" customWidth="1"/>
    <col min="515" max="515" width="17" style="131" customWidth="1"/>
    <col min="516" max="516" width="11.28515625" style="131" customWidth="1"/>
    <col min="517" max="517" width="9.7109375" style="131" bestFit="1" customWidth="1"/>
    <col min="518" max="518" width="10.28515625" style="131" customWidth="1"/>
    <col min="519" max="519" width="9.85546875" style="131" customWidth="1"/>
    <col min="520" max="768" width="9.140625" style="131"/>
    <col min="769" max="769" width="28.5703125" style="131" customWidth="1"/>
    <col min="770" max="770" width="10.42578125" style="131" customWidth="1"/>
    <col min="771" max="771" width="17" style="131" customWidth="1"/>
    <col min="772" max="772" width="11.28515625" style="131" customWidth="1"/>
    <col min="773" max="773" width="9.7109375" style="131" bestFit="1" customWidth="1"/>
    <col min="774" max="774" width="10.28515625" style="131" customWidth="1"/>
    <col min="775" max="775" width="9.85546875" style="131" customWidth="1"/>
    <col min="776" max="1024" width="9.140625" style="131"/>
    <col min="1025" max="1025" width="28.5703125" style="131" customWidth="1"/>
    <col min="1026" max="1026" width="10.42578125" style="131" customWidth="1"/>
    <col min="1027" max="1027" width="17" style="131" customWidth="1"/>
    <col min="1028" max="1028" width="11.28515625" style="131" customWidth="1"/>
    <col min="1029" max="1029" width="9.7109375" style="131" bestFit="1" customWidth="1"/>
    <col min="1030" max="1030" width="10.28515625" style="131" customWidth="1"/>
    <col min="1031" max="1031" width="9.85546875" style="131" customWidth="1"/>
    <col min="1032" max="1280" width="9.140625" style="131"/>
    <col min="1281" max="1281" width="28.5703125" style="131" customWidth="1"/>
    <col min="1282" max="1282" width="10.42578125" style="131" customWidth="1"/>
    <col min="1283" max="1283" width="17" style="131" customWidth="1"/>
    <col min="1284" max="1284" width="11.28515625" style="131" customWidth="1"/>
    <col min="1285" max="1285" width="9.7109375" style="131" bestFit="1" customWidth="1"/>
    <col min="1286" max="1286" width="10.28515625" style="131" customWidth="1"/>
    <col min="1287" max="1287" width="9.85546875" style="131" customWidth="1"/>
    <col min="1288" max="1536" width="9.140625" style="131"/>
    <col min="1537" max="1537" width="28.5703125" style="131" customWidth="1"/>
    <col min="1538" max="1538" width="10.42578125" style="131" customWidth="1"/>
    <col min="1539" max="1539" width="17" style="131" customWidth="1"/>
    <col min="1540" max="1540" width="11.28515625" style="131" customWidth="1"/>
    <col min="1541" max="1541" width="9.7109375" style="131" bestFit="1" customWidth="1"/>
    <col min="1542" max="1542" width="10.28515625" style="131" customWidth="1"/>
    <col min="1543" max="1543" width="9.85546875" style="131" customWidth="1"/>
    <col min="1544" max="1792" width="9.140625" style="131"/>
    <col min="1793" max="1793" width="28.5703125" style="131" customWidth="1"/>
    <col min="1794" max="1794" width="10.42578125" style="131" customWidth="1"/>
    <col min="1795" max="1795" width="17" style="131" customWidth="1"/>
    <col min="1796" max="1796" width="11.28515625" style="131" customWidth="1"/>
    <col min="1797" max="1797" width="9.7109375" style="131" bestFit="1" customWidth="1"/>
    <col min="1798" max="1798" width="10.28515625" style="131" customWidth="1"/>
    <col min="1799" max="1799" width="9.85546875" style="131" customWidth="1"/>
    <col min="1800" max="2048" width="9.140625" style="131"/>
    <col min="2049" max="2049" width="28.5703125" style="131" customWidth="1"/>
    <col min="2050" max="2050" width="10.42578125" style="131" customWidth="1"/>
    <col min="2051" max="2051" width="17" style="131" customWidth="1"/>
    <col min="2052" max="2052" width="11.28515625" style="131" customWidth="1"/>
    <col min="2053" max="2053" width="9.7109375" style="131" bestFit="1" customWidth="1"/>
    <col min="2054" max="2054" width="10.28515625" style="131" customWidth="1"/>
    <col min="2055" max="2055" width="9.85546875" style="131" customWidth="1"/>
    <col min="2056" max="2304" width="9.140625" style="131"/>
    <col min="2305" max="2305" width="28.5703125" style="131" customWidth="1"/>
    <col min="2306" max="2306" width="10.42578125" style="131" customWidth="1"/>
    <col min="2307" max="2307" width="17" style="131" customWidth="1"/>
    <col min="2308" max="2308" width="11.28515625" style="131" customWidth="1"/>
    <col min="2309" max="2309" width="9.7109375" style="131" bestFit="1" customWidth="1"/>
    <col min="2310" max="2310" width="10.28515625" style="131" customWidth="1"/>
    <col min="2311" max="2311" width="9.85546875" style="131" customWidth="1"/>
    <col min="2312" max="2560" width="9.140625" style="131"/>
    <col min="2561" max="2561" width="28.5703125" style="131" customWidth="1"/>
    <col min="2562" max="2562" width="10.42578125" style="131" customWidth="1"/>
    <col min="2563" max="2563" width="17" style="131" customWidth="1"/>
    <col min="2564" max="2564" width="11.28515625" style="131" customWidth="1"/>
    <col min="2565" max="2565" width="9.7109375" style="131" bestFit="1" customWidth="1"/>
    <col min="2566" max="2566" width="10.28515625" style="131" customWidth="1"/>
    <col min="2567" max="2567" width="9.85546875" style="131" customWidth="1"/>
    <col min="2568" max="2816" width="9.140625" style="131"/>
    <col min="2817" max="2817" width="28.5703125" style="131" customWidth="1"/>
    <col min="2818" max="2818" width="10.42578125" style="131" customWidth="1"/>
    <col min="2819" max="2819" width="17" style="131" customWidth="1"/>
    <col min="2820" max="2820" width="11.28515625" style="131" customWidth="1"/>
    <col min="2821" max="2821" width="9.7109375" style="131" bestFit="1" customWidth="1"/>
    <col min="2822" max="2822" width="10.28515625" style="131" customWidth="1"/>
    <col min="2823" max="2823" width="9.85546875" style="131" customWidth="1"/>
    <col min="2824" max="3072" width="9.140625" style="131"/>
    <col min="3073" max="3073" width="28.5703125" style="131" customWidth="1"/>
    <col min="3074" max="3074" width="10.42578125" style="131" customWidth="1"/>
    <col min="3075" max="3075" width="17" style="131" customWidth="1"/>
    <col min="3076" max="3076" width="11.28515625" style="131" customWidth="1"/>
    <col min="3077" max="3077" width="9.7109375" style="131" bestFit="1" customWidth="1"/>
    <col min="3078" max="3078" width="10.28515625" style="131" customWidth="1"/>
    <col min="3079" max="3079" width="9.85546875" style="131" customWidth="1"/>
    <col min="3080" max="3328" width="9.140625" style="131"/>
    <col min="3329" max="3329" width="28.5703125" style="131" customWidth="1"/>
    <col min="3330" max="3330" width="10.42578125" style="131" customWidth="1"/>
    <col min="3331" max="3331" width="17" style="131" customWidth="1"/>
    <col min="3332" max="3332" width="11.28515625" style="131" customWidth="1"/>
    <col min="3333" max="3333" width="9.7109375" style="131" bestFit="1" customWidth="1"/>
    <col min="3334" max="3334" width="10.28515625" style="131" customWidth="1"/>
    <col min="3335" max="3335" width="9.85546875" style="131" customWidth="1"/>
    <col min="3336" max="3584" width="9.140625" style="131"/>
    <col min="3585" max="3585" width="28.5703125" style="131" customWidth="1"/>
    <col min="3586" max="3586" width="10.42578125" style="131" customWidth="1"/>
    <col min="3587" max="3587" width="17" style="131" customWidth="1"/>
    <col min="3588" max="3588" width="11.28515625" style="131" customWidth="1"/>
    <col min="3589" max="3589" width="9.7109375" style="131" bestFit="1" customWidth="1"/>
    <col min="3590" max="3590" width="10.28515625" style="131" customWidth="1"/>
    <col min="3591" max="3591" width="9.85546875" style="131" customWidth="1"/>
    <col min="3592" max="3840" width="9.140625" style="131"/>
    <col min="3841" max="3841" width="28.5703125" style="131" customWidth="1"/>
    <col min="3842" max="3842" width="10.42578125" style="131" customWidth="1"/>
    <col min="3843" max="3843" width="17" style="131" customWidth="1"/>
    <col min="3844" max="3844" width="11.28515625" style="131" customWidth="1"/>
    <col min="3845" max="3845" width="9.7109375" style="131" bestFit="1" customWidth="1"/>
    <col min="3846" max="3846" width="10.28515625" style="131" customWidth="1"/>
    <col min="3847" max="3847" width="9.85546875" style="131" customWidth="1"/>
    <col min="3848" max="4096" width="9.140625" style="131"/>
    <col min="4097" max="4097" width="28.5703125" style="131" customWidth="1"/>
    <col min="4098" max="4098" width="10.42578125" style="131" customWidth="1"/>
    <col min="4099" max="4099" width="17" style="131" customWidth="1"/>
    <col min="4100" max="4100" width="11.28515625" style="131" customWidth="1"/>
    <col min="4101" max="4101" width="9.7109375" style="131" bestFit="1" customWidth="1"/>
    <col min="4102" max="4102" width="10.28515625" style="131" customWidth="1"/>
    <col min="4103" max="4103" width="9.85546875" style="131" customWidth="1"/>
    <col min="4104" max="4352" width="9.140625" style="131"/>
    <col min="4353" max="4353" width="28.5703125" style="131" customWidth="1"/>
    <col min="4354" max="4354" width="10.42578125" style="131" customWidth="1"/>
    <col min="4355" max="4355" width="17" style="131" customWidth="1"/>
    <col min="4356" max="4356" width="11.28515625" style="131" customWidth="1"/>
    <col min="4357" max="4357" width="9.7109375" style="131" bestFit="1" customWidth="1"/>
    <col min="4358" max="4358" width="10.28515625" style="131" customWidth="1"/>
    <col min="4359" max="4359" width="9.85546875" style="131" customWidth="1"/>
    <col min="4360" max="4608" width="9.140625" style="131"/>
    <col min="4609" max="4609" width="28.5703125" style="131" customWidth="1"/>
    <col min="4610" max="4610" width="10.42578125" style="131" customWidth="1"/>
    <col min="4611" max="4611" width="17" style="131" customWidth="1"/>
    <col min="4612" max="4612" width="11.28515625" style="131" customWidth="1"/>
    <col min="4613" max="4613" width="9.7109375" style="131" bestFit="1" customWidth="1"/>
    <col min="4614" max="4614" width="10.28515625" style="131" customWidth="1"/>
    <col min="4615" max="4615" width="9.85546875" style="131" customWidth="1"/>
    <col min="4616" max="4864" width="9.140625" style="131"/>
    <col min="4865" max="4865" width="28.5703125" style="131" customWidth="1"/>
    <col min="4866" max="4866" width="10.42578125" style="131" customWidth="1"/>
    <col min="4867" max="4867" width="17" style="131" customWidth="1"/>
    <col min="4868" max="4868" width="11.28515625" style="131" customWidth="1"/>
    <col min="4869" max="4869" width="9.7109375" style="131" bestFit="1" customWidth="1"/>
    <col min="4870" max="4870" width="10.28515625" style="131" customWidth="1"/>
    <col min="4871" max="4871" width="9.85546875" style="131" customWidth="1"/>
    <col min="4872" max="5120" width="9.140625" style="131"/>
    <col min="5121" max="5121" width="28.5703125" style="131" customWidth="1"/>
    <col min="5122" max="5122" width="10.42578125" style="131" customWidth="1"/>
    <col min="5123" max="5123" width="17" style="131" customWidth="1"/>
    <col min="5124" max="5124" width="11.28515625" style="131" customWidth="1"/>
    <col min="5125" max="5125" width="9.7109375" style="131" bestFit="1" customWidth="1"/>
    <col min="5126" max="5126" width="10.28515625" style="131" customWidth="1"/>
    <col min="5127" max="5127" width="9.85546875" style="131" customWidth="1"/>
    <col min="5128" max="5376" width="9.140625" style="131"/>
    <col min="5377" max="5377" width="28.5703125" style="131" customWidth="1"/>
    <col min="5378" max="5378" width="10.42578125" style="131" customWidth="1"/>
    <col min="5379" max="5379" width="17" style="131" customWidth="1"/>
    <col min="5380" max="5380" width="11.28515625" style="131" customWidth="1"/>
    <col min="5381" max="5381" width="9.7109375" style="131" bestFit="1" customWidth="1"/>
    <col min="5382" max="5382" width="10.28515625" style="131" customWidth="1"/>
    <col min="5383" max="5383" width="9.85546875" style="131" customWidth="1"/>
    <col min="5384" max="5632" width="9.140625" style="131"/>
    <col min="5633" max="5633" width="28.5703125" style="131" customWidth="1"/>
    <col min="5634" max="5634" width="10.42578125" style="131" customWidth="1"/>
    <col min="5635" max="5635" width="17" style="131" customWidth="1"/>
    <col min="5636" max="5636" width="11.28515625" style="131" customWidth="1"/>
    <col min="5637" max="5637" width="9.7109375" style="131" bestFit="1" customWidth="1"/>
    <col min="5638" max="5638" width="10.28515625" style="131" customWidth="1"/>
    <col min="5639" max="5639" width="9.85546875" style="131" customWidth="1"/>
    <col min="5640" max="5888" width="9.140625" style="131"/>
    <col min="5889" max="5889" width="28.5703125" style="131" customWidth="1"/>
    <col min="5890" max="5890" width="10.42578125" style="131" customWidth="1"/>
    <col min="5891" max="5891" width="17" style="131" customWidth="1"/>
    <col min="5892" max="5892" width="11.28515625" style="131" customWidth="1"/>
    <col min="5893" max="5893" width="9.7109375" style="131" bestFit="1" customWidth="1"/>
    <col min="5894" max="5894" width="10.28515625" style="131" customWidth="1"/>
    <col min="5895" max="5895" width="9.85546875" style="131" customWidth="1"/>
    <col min="5896" max="6144" width="9.140625" style="131"/>
    <col min="6145" max="6145" width="28.5703125" style="131" customWidth="1"/>
    <col min="6146" max="6146" width="10.42578125" style="131" customWidth="1"/>
    <col min="6147" max="6147" width="17" style="131" customWidth="1"/>
    <col min="6148" max="6148" width="11.28515625" style="131" customWidth="1"/>
    <col min="6149" max="6149" width="9.7109375" style="131" bestFit="1" customWidth="1"/>
    <col min="6150" max="6150" width="10.28515625" style="131" customWidth="1"/>
    <col min="6151" max="6151" width="9.85546875" style="131" customWidth="1"/>
    <col min="6152" max="6400" width="9.140625" style="131"/>
    <col min="6401" max="6401" width="28.5703125" style="131" customWidth="1"/>
    <col min="6402" max="6402" width="10.42578125" style="131" customWidth="1"/>
    <col min="6403" max="6403" width="17" style="131" customWidth="1"/>
    <col min="6404" max="6404" width="11.28515625" style="131" customWidth="1"/>
    <col min="6405" max="6405" width="9.7109375" style="131" bestFit="1" customWidth="1"/>
    <col min="6406" max="6406" width="10.28515625" style="131" customWidth="1"/>
    <col min="6407" max="6407" width="9.85546875" style="131" customWidth="1"/>
    <col min="6408" max="6656" width="9.140625" style="131"/>
    <col min="6657" max="6657" width="28.5703125" style="131" customWidth="1"/>
    <col min="6658" max="6658" width="10.42578125" style="131" customWidth="1"/>
    <col min="6659" max="6659" width="17" style="131" customWidth="1"/>
    <col min="6660" max="6660" width="11.28515625" style="131" customWidth="1"/>
    <col min="6661" max="6661" width="9.7109375" style="131" bestFit="1" customWidth="1"/>
    <col min="6662" max="6662" width="10.28515625" style="131" customWidth="1"/>
    <col min="6663" max="6663" width="9.85546875" style="131" customWidth="1"/>
    <col min="6664" max="6912" width="9.140625" style="131"/>
    <col min="6913" max="6913" width="28.5703125" style="131" customWidth="1"/>
    <col min="6914" max="6914" width="10.42578125" style="131" customWidth="1"/>
    <col min="6915" max="6915" width="17" style="131" customWidth="1"/>
    <col min="6916" max="6916" width="11.28515625" style="131" customWidth="1"/>
    <col min="6917" max="6917" width="9.7109375" style="131" bestFit="1" customWidth="1"/>
    <col min="6918" max="6918" width="10.28515625" style="131" customWidth="1"/>
    <col min="6919" max="6919" width="9.85546875" style="131" customWidth="1"/>
    <col min="6920" max="7168" width="9.140625" style="131"/>
    <col min="7169" max="7169" width="28.5703125" style="131" customWidth="1"/>
    <col min="7170" max="7170" width="10.42578125" style="131" customWidth="1"/>
    <col min="7171" max="7171" width="17" style="131" customWidth="1"/>
    <col min="7172" max="7172" width="11.28515625" style="131" customWidth="1"/>
    <col min="7173" max="7173" width="9.7109375" style="131" bestFit="1" customWidth="1"/>
    <col min="7174" max="7174" width="10.28515625" style="131" customWidth="1"/>
    <col min="7175" max="7175" width="9.85546875" style="131" customWidth="1"/>
    <col min="7176" max="7424" width="9.140625" style="131"/>
    <col min="7425" max="7425" width="28.5703125" style="131" customWidth="1"/>
    <col min="7426" max="7426" width="10.42578125" style="131" customWidth="1"/>
    <col min="7427" max="7427" width="17" style="131" customWidth="1"/>
    <col min="7428" max="7428" width="11.28515625" style="131" customWidth="1"/>
    <col min="7429" max="7429" width="9.7109375" style="131" bestFit="1" customWidth="1"/>
    <col min="7430" max="7430" width="10.28515625" style="131" customWidth="1"/>
    <col min="7431" max="7431" width="9.85546875" style="131" customWidth="1"/>
    <col min="7432" max="7680" width="9.140625" style="131"/>
    <col min="7681" max="7681" width="28.5703125" style="131" customWidth="1"/>
    <col min="7682" max="7682" width="10.42578125" style="131" customWidth="1"/>
    <col min="7683" max="7683" width="17" style="131" customWidth="1"/>
    <col min="7684" max="7684" width="11.28515625" style="131" customWidth="1"/>
    <col min="7685" max="7685" width="9.7109375" style="131" bestFit="1" customWidth="1"/>
    <col min="7686" max="7686" width="10.28515625" style="131" customWidth="1"/>
    <col min="7687" max="7687" width="9.85546875" style="131" customWidth="1"/>
    <col min="7688" max="7936" width="9.140625" style="131"/>
    <col min="7937" max="7937" width="28.5703125" style="131" customWidth="1"/>
    <col min="7938" max="7938" width="10.42578125" style="131" customWidth="1"/>
    <col min="7939" max="7939" width="17" style="131" customWidth="1"/>
    <col min="7940" max="7940" width="11.28515625" style="131" customWidth="1"/>
    <col min="7941" max="7941" width="9.7109375" style="131" bestFit="1" customWidth="1"/>
    <col min="7942" max="7942" width="10.28515625" style="131" customWidth="1"/>
    <col min="7943" max="7943" width="9.85546875" style="131" customWidth="1"/>
    <col min="7944" max="8192" width="9.140625" style="131"/>
    <col min="8193" max="8193" width="28.5703125" style="131" customWidth="1"/>
    <col min="8194" max="8194" width="10.42578125" style="131" customWidth="1"/>
    <col min="8195" max="8195" width="17" style="131" customWidth="1"/>
    <col min="8196" max="8196" width="11.28515625" style="131" customWidth="1"/>
    <col min="8197" max="8197" width="9.7109375" style="131" bestFit="1" customWidth="1"/>
    <col min="8198" max="8198" width="10.28515625" style="131" customWidth="1"/>
    <col min="8199" max="8199" width="9.85546875" style="131" customWidth="1"/>
    <col min="8200" max="8448" width="9.140625" style="131"/>
    <col min="8449" max="8449" width="28.5703125" style="131" customWidth="1"/>
    <col min="8450" max="8450" width="10.42578125" style="131" customWidth="1"/>
    <col min="8451" max="8451" width="17" style="131" customWidth="1"/>
    <col min="8452" max="8452" width="11.28515625" style="131" customWidth="1"/>
    <col min="8453" max="8453" width="9.7109375" style="131" bestFit="1" customWidth="1"/>
    <col min="8454" max="8454" width="10.28515625" style="131" customWidth="1"/>
    <col min="8455" max="8455" width="9.85546875" style="131" customWidth="1"/>
    <col min="8456" max="8704" width="9.140625" style="131"/>
    <col min="8705" max="8705" width="28.5703125" style="131" customWidth="1"/>
    <col min="8706" max="8706" width="10.42578125" style="131" customWidth="1"/>
    <col min="8707" max="8707" width="17" style="131" customWidth="1"/>
    <col min="8708" max="8708" width="11.28515625" style="131" customWidth="1"/>
    <col min="8709" max="8709" width="9.7109375" style="131" bestFit="1" customWidth="1"/>
    <col min="8710" max="8710" width="10.28515625" style="131" customWidth="1"/>
    <col min="8711" max="8711" width="9.85546875" style="131" customWidth="1"/>
    <col min="8712" max="8960" width="9.140625" style="131"/>
    <col min="8961" max="8961" width="28.5703125" style="131" customWidth="1"/>
    <col min="8962" max="8962" width="10.42578125" style="131" customWidth="1"/>
    <col min="8963" max="8963" width="17" style="131" customWidth="1"/>
    <col min="8964" max="8964" width="11.28515625" style="131" customWidth="1"/>
    <col min="8965" max="8965" width="9.7109375" style="131" bestFit="1" customWidth="1"/>
    <col min="8966" max="8966" width="10.28515625" style="131" customWidth="1"/>
    <col min="8967" max="8967" width="9.85546875" style="131" customWidth="1"/>
    <col min="8968" max="9216" width="9.140625" style="131"/>
    <col min="9217" max="9217" width="28.5703125" style="131" customWidth="1"/>
    <col min="9218" max="9218" width="10.42578125" style="131" customWidth="1"/>
    <col min="9219" max="9219" width="17" style="131" customWidth="1"/>
    <col min="9220" max="9220" width="11.28515625" style="131" customWidth="1"/>
    <col min="9221" max="9221" width="9.7109375" style="131" bestFit="1" customWidth="1"/>
    <col min="9222" max="9222" width="10.28515625" style="131" customWidth="1"/>
    <col min="9223" max="9223" width="9.85546875" style="131" customWidth="1"/>
    <col min="9224" max="9472" width="9.140625" style="131"/>
    <col min="9473" max="9473" width="28.5703125" style="131" customWidth="1"/>
    <col min="9474" max="9474" width="10.42578125" style="131" customWidth="1"/>
    <col min="9475" max="9475" width="17" style="131" customWidth="1"/>
    <col min="9476" max="9476" width="11.28515625" style="131" customWidth="1"/>
    <col min="9477" max="9477" width="9.7109375" style="131" bestFit="1" customWidth="1"/>
    <col min="9478" max="9478" width="10.28515625" style="131" customWidth="1"/>
    <col min="9479" max="9479" width="9.85546875" style="131" customWidth="1"/>
    <col min="9480" max="9728" width="9.140625" style="131"/>
    <col min="9729" max="9729" width="28.5703125" style="131" customWidth="1"/>
    <col min="9730" max="9730" width="10.42578125" style="131" customWidth="1"/>
    <col min="9731" max="9731" width="17" style="131" customWidth="1"/>
    <col min="9732" max="9732" width="11.28515625" style="131" customWidth="1"/>
    <col min="9733" max="9733" width="9.7109375" style="131" bestFit="1" customWidth="1"/>
    <col min="9734" max="9734" width="10.28515625" style="131" customWidth="1"/>
    <col min="9735" max="9735" width="9.85546875" style="131" customWidth="1"/>
    <col min="9736" max="9984" width="9.140625" style="131"/>
    <col min="9985" max="9985" width="28.5703125" style="131" customWidth="1"/>
    <col min="9986" max="9986" width="10.42578125" style="131" customWidth="1"/>
    <col min="9987" max="9987" width="17" style="131" customWidth="1"/>
    <col min="9988" max="9988" width="11.28515625" style="131" customWidth="1"/>
    <col min="9989" max="9989" width="9.7109375" style="131" bestFit="1" customWidth="1"/>
    <col min="9990" max="9990" width="10.28515625" style="131" customWidth="1"/>
    <col min="9991" max="9991" width="9.85546875" style="131" customWidth="1"/>
    <col min="9992" max="10240" width="9.140625" style="131"/>
    <col min="10241" max="10241" width="28.5703125" style="131" customWidth="1"/>
    <col min="10242" max="10242" width="10.42578125" style="131" customWidth="1"/>
    <col min="10243" max="10243" width="17" style="131" customWidth="1"/>
    <col min="10244" max="10244" width="11.28515625" style="131" customWidth="1"/>
    <col min="10245" max="10245" width="9.7109375" style="131" bestFit="1" customWidth="1"/>
    <col min="10246" max="10246" width="10.28515625" style="131" customWidth="1"/>
    <col min="10247" max="10247" width="9.85546875" style="131" customWidth="1"/>
    <col min="10248" max="10496" width="9.140625" style="131"/>
    <col min="10497" max="10497" width="28.5703125" style="131" customWidth="1"/>
    <col min="10498" max="10498" width="10.42578125" style="131" customWidth="1"/>
    <col min="10499" max="10499" width="17" style="131" customWidth="1"/>
    <col min="10500" max="10500" width="11.28515625" style="131" customWidth="1"/>
    <col min="10501" max="10501" width="9.7109375" style="131" bestFit="1" customWidth="1"/>
    <col min="10502" max="10502" width="10.28515625" style="131" customWidth="1"/>
    <col min="10503" max="10503" width="9.85546875" style="131" customWidth="1"/>
    <col min="10504" max="10752" width="9.140625" style="131"/>
    <col min="10753" max="10753" width="28.5703125" style="131" customWidth="1"/>
    <col min="10754" max="10754" width="10.42578125" style="131" customWidth="1"/>
    <col min="10755" max="10755" width="17" style="131" customWidth="1"/>
    <col min="10756" max="10756" width="11.28515625" style="131" customWidth="1"/>
    <col min="10757" max="10757" width="9.7109375" style="131" bestFit="1" customWidth="1"/>
    <col min="10758" max="10758" width="10.28515625" style="131" customWidth="1"/>
    <col min="10759" max="10759" width="9.85546875" style="131" customWidth="1"/>
    <col min="10760" max="11008" width="9.140625" style="131"/>
    <col min="11009" max="11009" width="28.5703125" style="131" customWidth="1"/>
    <col min="11010" max="11010" width="10.42578125" style="131" customWidth="1"/>
    <col min="11011" max="11011" width="17" style="131" customWidth="1"/>
    <col min="11012" max="11012" width="11.28515625" style="131" customWidth="1"/>
    <col min="11013" max="11013" width="9.7109375" style="131" bestFit="1" customWidth="1"/>
    <col min="11014" max="11014" width="10.28515625" style="131" customWidth="1"/>
    <col min="11015" max="11015" width="9.85546875" style="131" customWidth="1"/>
    <col min="11016" max="11264" width="9.140625" style="131"/>
    <col min="11265" max="11265" width="28.5703125" style="131" customWidth="1"/>
    <col min="11266" max="11266" width="10.42578125" style="131" customWidth="1"/>
    <col min="11267" max="11267" width="17" style="131" customWidth="1"/>
    <col min="11268" max="11268" width="11.28515625" style="131" customWidth="1"/>
    <col min="11269" max="11269" width="9.7109375" style="131" bestFit="1" customWidth="1"/>
    <col min="11270" max="11270" width="10.28515625" style="131" customWidth="1"/>
    <col min="11271" max="11271" width="9.85546875" style="131" customWidth="1"/>
    <col min="11272" max="11520" width="9.140625" style="131"/>
    <col min="11521" max="11521" width="28.5703125" style="131" customWidth="1"/>
    <col min="11522" max="11522" width="10.42578125" style="131" customWidth="1"/>
    <col min="11523" max="11523" width="17" style="131" customWidth="1"/>
    <col min="11524" max="11524" width="11.28515625" style="131" customWidth="1"/>
    <col min="11525" max="11525" width="9.7109375" style="131" bestFit="1" customWidth="1"/>
    <col min="11526" max="11526" width="10.28515625" style="131" customWidth="1"/>
    <col min="11527" max="11527" width="9.85546875" style="131" customWidth="1"/>
    <col min="11528" max="11776" width="9.140625" style="131"/>
    <col min="11777" max="11777" width="28.5703125" style="131" customWidth="1"/>
    <col min="11778" max="11778" width="10.42578125" style="131" customWidth="1"/>
    <col min="11779" max="11779" width="17" style="131" customWidth="1"/>
    <col min="11780" max="11780" width="11.28515625" style="131" customWidth="1"/>
    <col min="11781" max="11781" width="9.7109375" style="131" bestFit="1" customWidth="1"/>
    <col min="11782" max="11782" width="10.28515625" style="131" customWidth="1"/>
    <col min="11783" max="11783" width="9.85546875" style="131" customWidth="1"/>
    <col min="11784" max="12032" width="9.140625" style="131"/>
    <col min="12033" max="12033" width="28.5703125" style="131" customWidth="1"/>
    <col min="12034" max="12034" width="10.42578125" style="131" customWidth="1"/>
    <col min="12035" max="12035" width="17" style="131" customWidth="1"/>
    <col min="12036" max="12036" width="11.28515625" style="131" customWidth="1"/>
    <col min="12037" max="12037" width="9.7109375" style="131" bestFit="1" customWidth="1"/>
    <col min="12038" max="12038" width="10.28515625" style="131" customWidth="1"/>
    <col min="12039" max="12039" width="9.85546875" style="131" customWidth="1"/>
    <col min="12040" max="12288" width="9.140625" style="131"/>
    <col min="12289" max="12289" width="28.5703125" style="131" customWidth="1"/>
    <col min="12290" max="12290" width="10.42578125" style="131" customWidth="1"/>
    <col min="12291" max="12291" width="17" style="131" customWidth="1"/>
    <col min="12292" max="12292" width="11.28515625" style="131" customWidth="1"/>
    <col min="12293" max="12293" width="9.7109375" style="131" bestFit="1" customWidth="1"/>
    <col min="12294" max="12294" width="10.28515625" style="131" customWidth="1"/>
    <col min="12295" max="12295" width="9.85546875" style="131" customWidth="1"/>
    <col min="12296" max="12544" width="9.140625" style="131"/>
    <col min="12545" max="12545" width="28.5703125" style="131" customWidth="1"/>
    <col min="12546" max="12546" width="10.42578125" style="131" customWidth="1"/>
    <col min="12547" max="12547" width="17" style="131" customWidth="1"/>
    <col min="12548" max="12548" width="11.28515625" style="131" customWidth="1"/>
    <col min="12549" max="12549" width="9.7109375" style="131" bestFit="1" customWidth="1"/>
    <col min="12550" max="12550" width="10.28515625" style="131" customWidth="1"/>
    <col min="12551" max="12551" width="9.85546875" style="131" customWidth="1"/>
    <col min="12552" max="12800" width="9.140625" style="131"/>
    <col min="12801" max="12801" width="28.5703125" style="131" customWidth="1"/>
    <col min="12802" max="12802" width="10.42578125" style="131" customWidth="1"/>
    <col min="12803" max="12803" width="17" style="131" customWidth="1"/>
    <col min="12804" max="12804" width="11.28515625" style="131" customWidth="1"/>
    <col min="12805" max="12805" width="9.7109375" style="131" bestFit="1" customWidth="1"/>
    <col min="12806" max="12806" width="10.28515625" style="131" customWidth="1"/>
    <col min="12807" max="12807" width="9.85546875" style="131" customWidth="1"/>
    <col min="12808" max="13056" width="9.140625" style="131"/>
    <col min="13057" max="13057" width="28.5703125" style="131" customWidth="1"/>
    <col min="13058" max="13058" width="10.42578125" style="131" customWidth="1"/>
    <col min="13059" max="13059" width="17" style="131" customWidth="1"/>
    <col min="13060" max="13060" width="11.28515625" style="131" customWidth="1"/>
    <col min="13061" max="13061" width="9.7109375" style="131" bestFit="1" customWidth="1"/>
    <col min="13062" max="13062" width="10.28515625" style="131" customWidth="1"/>
    <col min="13063" max="13063" width="9.85546875" style="131" customWidth="1"/>
    <col min="13064" max="13312" width="9.140625" style="131"/>
    <col min="13313" max="13313" width="28.5703125" style="131" customWidth="1"/>
    <col min="13314" max="13314" width="10.42578125" style="131" customWidth="1"/>
    <col min="13315" max="13315" width="17" style="131" customWidth="1"/>
    <col min="13316" max="13316" width="11.28515625" style="131" customWidth="1"/>
    <col min="13317" max="13317" width="9.7109375" style="131" bestFit="1" customWidth="1"/>
    <col min="13318" max="13318" width="10.28515625" style="131" customWidth="1"/>
    <col min="13319" max="13319" width="9.85546875" style="131" customWidth="1"/>
    <col min="13320" max="13568" width="9.140625" style="131"/>
    <col min="13569" max="13569" width="28.5703125" style="131" customWidth="1"/>
    <col min="13570" max="13570" width="10.42578125" style="131" customWidth="1"/>
    <col min="13571" max="13571" width="17" style="131" customWidth="1"/>
    <col min="13572" max="13572" width="11.28515625" style="131" customWidth="1"/>
    <col min="13573" max="13573" width="9.7109375" style="131" bestFit="1" customWidth="1"/>
    <col min="13574" max="13574" width="10.28515625" style="131" customWidth="1"/>
    <col min="13575" max="13575" width="9.85546875" style="131" customWidth="1"/>
    <col min="13576" max="13824" width="9.140625" style="131"/>
    <col min="13825" max="13825" width="28.5703125" style="131" customWidth="1"/>
    <col min="13826" max="13826" width="10.42578125" style="131" customWidth="1"/>
    <col min="13827" max="13827" width="17" style="131" customWidth="1"/>
    <col min="13828" max="13828" width="11.28515625" style="131" customWidth="1"/>
    <col min="13829" max="13829" width="9.7109375" style="131" bestFit="1" customWidth="1"/>
    <col min="13830" max="13830" width="10.28515625" style="131" customWidth="1"/>
    <col min="13831" max="13831" width="9.85546875" style="131" customWidth="1"/>
    <col min="13832" max="14080" width="9.140625" style="131"/>
    <col min="14081" max="14081" width="28.5703125" style="131" customWidth="1"/>
    <col min="14082" max="14082" width="10.42578125" style="131" customWidth="1"/>
    <col min="14083" max="14083" width="17" style="131" customWidth="1"/>
    <col min="14084" max="14084" width="11.28515625" style="131" customWidth="1"/>
    <col min="14085" max="14085" width="9.7109375" style="131" bestFit="1" customWidth="1"/>
    <col min="14086" max="14086" width="10.28515625" style="131" customWidth="1"/>
    <col min="14087" max="14087" width="9.85546875" style="131" customWidth="1"/>
    <col min="14088" max="14336" width="9.140625" style="131"/>
    <col min="14337" max="14337" width="28.5703125" style="131" customWidth="1"/>
    <col min="14338" max="14338" width="10.42578125" style="131" customWidth="1"/>
    <col min="14339" max="14339" width="17" style="131" customWidth="1"/>
    <col min="14340" max="14340" width="11.28515625" style="131" customWidth="1"/>
    <col min="14341" max="14341" width="9.7109375" style="131" bestFit="1" customWidth="1"/>
    <col min="14342" max="14342" width="10.28515625" style="131" customWidth="1"/>
    <col min="14343" max="14343" width="9.85546875" style="131" customWidth="1"/>
    <col min="14344" max="14592" width="9.140625" style="131"/>
    <col min="14593" max="14593" width="28.5703125" style="131" customWidth="1"/>
    <col min="14594" max="14594" width="10.42578125" style="131" customWidth="1"/>
    <col min="14595" max="14595" width="17" style="131" customWidth="1"/>
    <col min="14596" max="14596" width="11.28515625" style="131" customWidth="1"/>
    <col min="14597" max="14597" width="9.7109375" style="131" bestFit="1" customWidth="1"/>
    <col min="14598" max="14598" width="10.28515625" style="131" customWidth="1"/>
    <col min="14599" max="14599" width="9.85546875" style="131" customWidth="1"/>
    <col min="14600" max="14848" width="9.140625" style="131"/>
    <col min="14849" max="14849" width="28.5703125" style="131" customWidth="1"/>
    <col min="14850" max="14850" width="10.42578125" style="131" customWidth="1"/>
    <col min="14851" max="14851" width="17" style="131" customWidth="1"/>
    <col min="14852" max="14852" width="11.28515625" style="131" customWidth="1"/>
    <col min="14853" max="14853" width="9.7109375" style="131" bestFit="1" customWidth="1"/>
    <col min="14854" max="14854" width="10.28515625" style="131" customWidth="1"/>
    <col min="14855" max="14855" width="9.85546875" style="131" customWidth="1"/>
    <col min="14856" max="15104" width="9.140625" style="131"/>
    <col min="15105" max="15105" width="28.5703125" style="131" customWidth="1"/>
    <col min="15106" max="15106" width="10.42578125" style="131" customWidth="1"/>
    <col min="15107" max="15107" width="17" style="131" customWidth="1"/>
    <col min="15108" max="15108" width="11.28515625" style="131" customWidth="1"/>
    <col min="15109" max="15109" width="9.7109375" style="131" bestFit="1" customWidth="1"/>
    <col min="15110" max="15110" width="10.28515625" style="131" customWidth="1"/>
    <col min="15111" max="15111" width="9.85546875" style="131" customWidth="1"/>
    <col min="15112" max="15360" width="9.140625" style="131"/>
    <col min="15361" max="15361" width="28.5703125" style="131" customWidth="1"/>
    <col min="15362" max="15362" width="10.42578125" style="131" customWidth="1"/>
    <col min="15363" max="15363" width="17" style="131" customWidth="1"/>
    <col min="15364" max="15364" width="11.28515625" style="131" customWidth="1"/>
    <col min="15365" max="15365" width="9.7109375" style="131" bestFit="1" customWidth="1"/>
    <col min="15366" max="15366" width="10.28515625" style="131" customWidth="1"/>
    <col min="15367" max="15367" width="9.85546875" style="131" customWidth="1"/>
    <col min="15368" max="15616" width="9.140625" style="131"/>
    <col min="15617" max="15617" width="28.5703125" style="131" customWidth="1"/>
    <col min="15618" max="15618" width="10.42578125" style="131" customWidth="1"/>
    <col min="15619" max="15619" width="17" style="131" customWidth="1"/>
    <col min="15620" max="15620" width="11.28515625" style="131" customWidth="1"/>
    <col min="15621" max="15621" width="9.7109375" style="131" bestFit="1" customWidth="1"/>
    <col min="15622" max="15622" width="10.28515625" style="131" customWidth="1"/>
    <col min="15623" max="15623" width="9.85546875" style="131" customWidth="1"/>
    <col min="15624" max="15872" width="9.140625" style="131"/>
    <col min="15873" max="15873" width="28.5703125" style="131" customWidth="1"/>
    <col min="15874" max="15874" width="10.42578125" style="131" customWidth="1"/>
    <col min="15875" max="15875" width="17" style="131" customWidth="1"/>
    <col min="15876" max="15876" width="11.28515625" style="131" customWidth="1"/>
    <col min="15877" max="15877" width="9.7109375" style="131" bestFit="1" customWidth="1"/>
    <col min="15878" max="15878" width="10.28515625" style="131" customWidth="1"/>
    <col min="15879" max="15879" width="9.85546875" style="131" customWidth="1"/>
    <col min="15880" max="16128" width="9.140625" style="131"/>
    <col min="16129" max="16129" width="28.5703125" style="131" customWidth="1"/>
    <col min="16130" max="16130" width="10.42578125" style="131" customWidth="1"/>
    <col min="16131" max="16131" width="17" style="131" customWidth="1"/>
    <col min="16132" max="16132" width="11.28515625" style="131" customWidth="1"/>
    <col min="16133" max="16133" width="9.7109375" style="131" bestFit="1" customWidth="1"/>
    <col min="16134" max="16134" width="10.28515625" style="131" customWidth="1"/>
    <col min="16135" max="16135" width="9.85546875" style="131" customWidth="1"/>
    <col min="16136" max="16384" width="9.140625" style="131"/>
  </cols>
  <sheetData>
    <row r="1" spans="1:7" ht="28.5" customHeight="1" x14ac:dyDescent="0.25">
      <c r="A1" s="311" t="s">
        <v>187</v>
      </c>
      <c r="B1" s="311"/>
      <c r="C1" s="311"/>
      <c r="D1" s="311"/>
    </row>
    <row r="2" spans="1:7" ht="28.5" customHeight="1" x14ac:dyDescent="0.25">
      <c r="A2" s="314" t="s">
        <v>164</v>
      </c>
      <c r="B2" s="314"/>
      <c r="C2" s="314"/>
      <c r="D2" s="314"/>
    </row>
    <row r="3" spans="1:7" ht="28.5" customHeight="1" x14ac:dyDescent="0.25">
      <c r="A3" s="314" t="s">
        <v>124</v>
      </c>
      <c r="B3" s="314"/>
      <c r="C3" s="314"/>
      <c r="D3" s="314"/>
    </row>
    <row r="4" spans="1:7" ht="28.5" customHeight="1" x14ac:dyDescent="0.25">
      <c r="A4" s="311" t="s">
        <v>125</v>
      </c>
      <c r="B4" s="196">
        <v>1</v>
      </c>
      <c r="C4" s="196">
        <v>2</v>
      </c>
      <c r="D4" s="196" t="s">
        <v>126</v>
      </c>
      <c r="E4" s="133"/>
      <c r="F4" s="133"/>
      <c r="G4" s="134"/>
    </row>
    <row r="5" spans="1:7" ht="28.5" customHeight="1" x14ac:dyDescent="0.25">
      <c r="A5" s="311"/>
      <c r="B5" s="196" t="s">
        <v>127</v>
      </c>
      <c r="C5" s="196" t="s">
        <v>128</v>
      </c>
      <c r="D5" s="196" t="s">
        <v>129</v>
      </c>
      <c r="E5" s="133"/>
      <c r="F5" s="133"/>
      <c r="G5" s="134"/>
    </row>
    <row r="6" spans="1:7" ht="28.5" customHeight="1" x14ac:dyDescent="0.25">
      <c r="A6" s="311"/>
      <c r="B6" s="196" t="s">
        <v>130</v>
      </c>
      <c r="C6" s="196" t="s">
        <v>131</v>
      </c>
      <c r="D6" s="196" t="s">
        <v>132</v>
      </c>
      <c r="E6" s="133"/>
      <c r="F6" s="133"/>
      <c r="G6" s="134"/>
    </row>
    <row r="7" spans="1:7" ht="28.5" customHeight="1" x14ac:dyDescent="0.25">
      <c r="A7" s="314" t="s">
        <v>133</v>
      </c>
      <c r="B7" s="314"/>
      <c r="C7" s="314"/>
      <c r="D7" s="314"/>
    </row>
    <row r="8" spans="1:7" ht="28.5" customHeight="1" x14ac:dyDescent="0.25">
      <c r="A8" s="144" t="s">
        <v>135</v>
      </c>
      <c r="B8" s="135" t="s">
        <v>136</v>
      </c>
      <c r="C8" s="113">
        <f>'G1 ARA - TO Servente'!G105</f>
        <v>6366.2435558587786</v>
      </c>
      <c r="D8" s="113">
        <f>(1/1200)*C8</f>
        <v>5.305202963215649</v>
      </c>
      <c r="E8" s="136"/>
      <c r="F8" s="136"/>
    </row>
    <row r="9" spans="1:7" ht="28.5" customHeight="1" x14ac:dyDescent="0.25">
      <c r="A9" s="320" t="s">
        <v>158</v>
      </c>
      <c r="B9" s="320"/>
      <c r="C9" s="320"/>
      <c r="D9" s="113">
        <f>SUM(D8:D8)</f>
        <v>5.305202963215649</v>
      </c>
      <c r="E9" s="136"/>
      <c r="F9" s="136"/>
    </row>
    <row r="10" spans="1:7" ht="28.5" customHeight="1" x14ac:dyDescent="0.25">
      <c r="A10" s="313" t="s">
        <v>145</v>
      </c>
      <c r="B10" s="313"/>
      <c r="C10" s="313"/>
      <c r="D10" s="313"/>
      <c r="E10" s="313"/>
      <c r="F10" s="313"/>
      <c r="G10" s="313"/>
    </row>
    <row r="11" spans="1:7" ht="28.5" customHeight="1" x14ac:dyDescent="0.25">
      <c r="A11" s="314" t="s">
        <v>196</v>
      </c>
      <c r="B11" s="314"/>
      <c r="C11" s="314"/>
      <c r="D11" s="314"/>
      <c r="E11" s="314"/>
      <c r="F11" s="314"/>
      <c r="G11" s="314"/>
    </row>
    <row r="12" spans="1:7" ht="48.75" customHeight="1" x14ac:dyDescent="0.25">
      <c r="A12" s="197" t="s">
        <v>125</v>
      </c>
      <c r="B12" s="197" t="s">
        <v>147</v>
      </c>
      <c r="C12" s="197" t="s">
        <v>198</v>
      </c>
      <c r="D12" s="197" t="s">
        <v>197</v>
      </c>
      <c r="E12" s="197" t="s">
        <v>186</v>
      </c>
      <c r="F12" s="197" t="s">
        <v>149</v>
      </c>
      <c r="G12" s="197" t="s">
        <v>150</v>
      </c>
    </row>
    <row r="13" spans="1:7" ht="28.5" customHeight="1" x14ac:dyDescent="0.25">
      <c r="A13" s="145" t="s">
        <v>135</v>
      </c>
      <c r="B13" s="135" t="s">
        <v>155</v>
      </c>
      <c r="C13" s="135">
        <v>8</v>
      </c>
      <c r="D13" s="135" t="s">
        <v>154</v>
      </c>
      <c r="E13" s="143">
        <f>(1/160)*8*(1/1132.6)</f>
        <v>4.4146212254988529E-5</v>
      </c>
      <c r="F13" s="113">
        <f>C8</f>
        <v>6366.2435558587786</v>
      </c>
      <c r="G13" s="113">
        <f>F13*E13</f>
        <v>0.28104553928389459</v>
      </c>
    </row>
    <row r="14" spans="1:7" ht="28.5" customHeight="1" x14ac:dyDescent="0.25">
      <c r="A14" s="307" t="s">
        <v>158</v>
      </c>
      <c r="B14" s="307"/>
      <c r="C14" s="307"/>
      <c r="D14" s="307"/>
      <c r="E14" s="307"/>
      <c r="F14" s="307"/>
      <c r="G14" s="137">
        <f>SUM(G13:G13)</f>
        <v>0.28104553928389459</v>
      </c>
    </row>
    <row r="16" spans="1:7" x14ac:dyDescent="0.25">
      <c r="A16" s="318"/>
      <c r="B16" s="318"/>
    </row>
    <row r="17" spans="1:7" ht="44.25" customHeight="1" x14ac:dyDescent="0.25">
      <c r="A17" s="319"/>
      <c r="B17" s="319"/>
      <c r="C17" s="319"/>
      <c r="D17" s="319"/>
      <c r="E17" s="319"/>
      <c r="F17" s="319"/>
      <c r="G17" s="319"/>
    </row>
  </sheetData>
  <mergeCells count="11">
    <mergeCell ref="A9:C9"/>
    <mergeCell ref="A1:D1"/>
    <mergeCell ref="A2:D2"/>
    <mergeCell ref="A3:D3"/>
    <mergeCell ref="A4:A6"/>
    <mergeCell ref="A7:D7"/>
    <mergeCell ref="A10:G10"/>
    <mergeCell ref="A11:G11"/>
    <mergeCell ref="A16:B16"/>
    <mergeCell ref="A17:G17"/>
    <mergeCell ref="A14:F14"/>
  </mergeCells>
  <pageMargins left="0.511811024" right="0.511811024" top="1.3474015750000001" bottom="0.78740157499999996" header="0.31496062000000002" footer="0.31496062000000002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54359-FA1A-498F-AC33-DA9FED2B6CB8}">
  <sheetPr>
    <pageSetUpPr fitToPage="1"/>
  </sheetPr>
  <dimension ref="A1:ALZ114"/>
  <sheetViews>
    <sheetView showGridLines="0" topLeftCell="A72" zoomScaleNormal="100" workbookViewId="0">
      <selection activeCell="E88" sqref="E88:F88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7" customWidth="1"/>
    <col min="1026" max="16384" width="9.140625" style="77"/>
  </cols>
  <sheetData>
    <row r="1" spans="1:7" ht="28.5" customHeight="1" x14ac:dyDescent="0.2">
      <c r="A1" s="298" t="s">
        <v>0</v>
      </c>
      <c r="B1" s="298"/>
      <c r="C1" s="298"/>
      <c r="D1" s="298"/>
      <c r="E1" s="298"/>
      <c r="F1" s="298"/>
      <c r="G1" s="298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299" t="s">
        <v>108</v>
      </c>
      <c r="B3" s="299"/>
      <c r="C3" s="299"/>
      <c r="D3" s="299"/>
      <c r="E3" s="299"/>
      <c r="F3" s="299"/>
      <c r="G3" s="299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291" t="s">
        <v>1</v>
      </c>
      <c r="B5" s="291"/>
      <c r="C5" s="291"/>
      <c r="D5" s="291"/>
      <c r="E5" s="291"/>
      <c r="F5" s="291"/>
      <c r="G5" s="291"/>
    </row>
    <row r="6" spans="1:7" ht="21.75" customHeight="1" x14ac:dyDescent="0.2">
      <c r="A6" s="291" t="s">
        <v>2</v>
      </c>
      <c r="B6" s="291"/>
      <c r="C6" s="291"/>
      <c r="D6" s="291"/>
      <c r="E6" s="291"/>
      <c r="F6" s="291"/>
      <c r="G6" s="291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00" t="s">
        <v>3</v>
      </c>
      <c r="B8" s="300"/>
      <c r="C8" s="300"/>
      <c r="D8" s="300"/>
      <c r="E8" s="300"/>
      <c r="F8" s="300"/>
      <c r="G8" s="300"/>
    </row>
    <row r="9" spans="1:7" s="6" customFormat="1" ht="3.75" customHeight="1" x14ac:dyDescent="0.2">
      <c r="A9" s="301"/>
      <c r="B9" s="301"/>
      <c r="C9" s="301"/>
      <c r="D9" s="301"/>
      <c r="E9" s="301"/>
      <c r="F9" s="301"/>
      <c r="G9" s="301"/>
    </row>
    <row r="10" spans="1:7" s="6" customFormat="1" ht="21.75" customHeight="1" x14ac:dyDescent="0.25">
      <c r="A10" s="259" t="s">
        <v>4</v>
      </c>
      <c r="B10" s="259"/>
      <c r="C10" s="259"/>
      <c r="D10" s="259"/>
      <c r="E10" s="259"/>
      <c r="F10" s="259"/>
      <c r="G10" s="259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190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109</v>
      </c>
    </row>
    <row r="13" spans="1:7" s="6" customFormat="1" ht="34.5" customHeight="1" x14ac:dyDescent="0.25">
      <c r="A13" s="11" t="s">
        <v>9</v>
      </c>
      <c r="B13" s="295" t="s">
        <v>10</v>
      </c>
      <c r="C13" s="295"/>
      <c r="D13" s="295"/>
      <c r="E13" s="16"/>
      <c r="F13" s="17"/>
      <c r="G13" s="15" t="s">
        <v>112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110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111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295" t="s">
        <v>19</v>
      </c>
      <c r="C17" s="296"/>
      <c r="D17" s="297" t="s">
        <v>113</v>
      </c>
      <c r="E17" s="297"/>
      <c r="F17" s="22"/>
      <c r="G17" s="24">
        <v>1477.98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295" t="s">
        <v>26</v>
      </c>
      <c r="C20" s="295"/>
      <c r="D20" s="295"/>
      <c r="E20" s="16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260" t="s">
        <v>27</v>
      </c>
      <c r="B22" s="260"/>
      <c r="C22" s="260"/>
      <c r="D22" s="260"/>
      <c r="E22" s="260"/>
      <c r="F22" s="260"/>
      <c r="G22" s="260"/>
    </row>
    <row r="23" spans="1:7" s="1" customFormat="1" ht="19.5" customHeight="1" x14ac:dyDescent="0.25">
      <c r="A23" s="302"/>
      <c r="B23" s="302"/>
      <c r="C23" s="302"/>
      <c r="D23" s="302"/>
      <c r="E23" s="302"/>
      <c r="F23" s="302"/>
      <c r="G23" s="28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32">
        <f>G17</f>
        <v>1477.98</v>
      </c>
    </row>
    <row r="25" spans="1:7" s="1" customFormat="1" ht="30" customHeight="1" x14ac:dyDescent="0.25">
      <c r="A25" s="29" t="s">
        <v>7</v>
      </c>
      <c r="B25" s="33" t="s">
        <v>114</v>
      </c>
      <c r="C25" s="34"/>
      <c r="D25" s="35" t="s">
        <v>380</v>
      </c>
      <c r="E25" s="255">
        <v>0.4</v>
      </c>
      <c r="F25" s="255"/>
      <c r="G25" s="194">
        <f>(1412*E25)</f>
        <v>564.80000000000007</v>
      </c>
    </row>
    <row r="26" spans="1:7" s="1" customFormat="1" ht="30" customHeight="1" x14ac:dyDescent="0.25">
      <c r="A26" s="29" t="s">
        <v>9</v>
      </c>
      <c r="B26" s="33" t="s">
        <v>115</v>
      </c>
      <c r="C26" s="34"/>
      <c r="D26" s="36"/>
      <c r="E26" s="36"/>
      <c r="F26" s="31"/>
      <c r="G26" s="32"/>
    </row>
    <row r="27" spans="1:7" s="1" customFormat="1" ht="21.75" customHeight="1" x14ac:dyDescent="0.25">
      <c r="A27" s="259" t="s">
        <v>30</v>
      </c>
      <c r="B27" s="259"/>
      <c r="C27" s="259"/>
      <c r="D27" s="259"/>
      <c r="E27" s="259"/>
      <c r="F27" s="259"/>
      <c r="G27" s="37">
        <f>SUM(G24:G26)</f>
        <v>2042.7800000000002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260" t="s">
        <v>31</v>
      </c>
      <c r="B29" s="260"/>
      <c r="C29" s="260"/>
      <c r="D29" s="260"/>
      <c r="E29" s="260"/>
      <c r="F29" s="260"/>
      <c r="G29" s="260"/>
    </row>
    <row r="30" spans="1:7" s="1" customFormat="1" ht="19.5" customHeight="1" x14ac:dyDescent="0.25">
      <c r="A30" s="270" t="s">
        <v>32</v>
      </c>
      <c r="B30" s="270"/>
      <c r="C30" s="270"/>
      <c r="D30" s="270"/>
      <c r="E30" s="270"/>
      <c r="F30" s="270"/>
      <c r="G30" s="270"/>
    </row>
    <row r="31" spans="1:7" s="1" customFormat="1" ht="19.5" customHeight="1" x14ac:dyDescent="0.25">
      <c r="A31" s="258"/>
      <c r="B31" s="258"/>
      <c r="C31" s="258"/>
      <c r="D31" s="258"/>
      <c r="E31" s="294" t="s">
        <v>33</v>
      </c>
      <c r="F31" s="294"/>
      <c r="G31" s="28" t="s">
        <v>28</v>
      </c>
    </row>
    <row r="32" spans="1:7" ht="19.5" customHeight="1" x14ac:dyDescent="0.2">
      <c r="A32" s="38" t="s">
        <v>5</v>
      </c>
      <c r="B32" s="291" t="s">
        <v>34</v>
      </c>
      <c r="C32" s="291"/>
      <c r="D32" s="291"/>
      <c r="E32" s="255">
        <v>8.3299999999999999E-2</v>
      </c>
      <c r="F32" s="255"/>
      <c r="G32" s="39">
        <f>ROUND($E$32*$G$27,2)</f>
        <v>170.16</v>
      </c>
    </row>
    <row r="33" spans="1:7" ht="49.5" customHeight="1" x14ac:dyDescent="0.2">
      <c r="A33" s="38" t="s">
        <v>7</v>
      </c>
      <c r="B33" s="275" t="s">
        <v>35</v>
      </c>
      <c r="C33" s="291"/>
      <c r="D33" s="291"/>
      <c r="E33" s="292">
        <v>2.7799999999999998E-2</v>
      </c>
      <c r="F33" s="292"/>
      <c r="G33" s="39">
        <f>ROUND($E$33*$G$27,2)</f>
        <v>56.79</v>
      </c>
    </row>
    <row r="34" spans="1:7" ht="19.5" customHeight="1" x14ac:dyDescent="0.2">
      <c r="A34" s="270" t="s">
        <v>36</v>
      </c>
      <c r="B34" s="270"/>
      <c r="C34" s="270"/>
      <c r="D34" s="270"/>
      <c r="E34" s="293">
        <f>SUM(E32:E33)</f>
        <v>0.1111</v>
      </c>
      <c r="F34" s="293"/>
      <c r="G34" s="40">
        <f>SUM(G32:G33)</f>
        <v>226.95</v>
      </c>
    </row>
    <row r="35" spans="1:7" s="41" customFormat="1" ht="19.5" customHeight="1" x14ac:dyDescent="0.25">
      <c r="A35" s="270" t="s">
        <v>37</v>
      </c>
      <c r="B35" s="270"/>
      <c r="C35" s="270"/>
      <c r="D35" s="270"/>
      <c r="E35" s="270"/>
      <c r="F35" s="270"/>
      <c r="G35" s="270"/>
    </row>
    <row r="36" spans="1:7" s="41" customFormat="1" ht="39" customHeight="1" x14ac:dyDescent="0.25">
      <c r="A36" s="38" t="s">
        <v>5</v>
      </c>
      <c r="B36" s="33" t="s">
        <v>38</v>
      </c>
      <c r="C36" s="42"/>
      <c r="D36" s="286" t="s">
        <v>39</v>
      </c>
      <c r="E36" s="286"/>
      <c r="F36" s="43">
        <v>0.2</v>
      </c>
      <c r="G36" s="39">
        <f>ROUND(F36*($G$27+$G$34),2)</f>
        <v>453.95</v>
      </c>
    </row>
    <row r="37" spans="1:7" s="41" customFormat="1" ht="39" customHeight="1" x14ac:dyDescent="0.25">
      <c r="A37" s="38" t="s">
        <v>7</v>
      </c>
      <c r="B37" s="33" t="s">
        <v>40</v>
      </c>
      <c r="C37" s="42"/>
      <c r="D37" s="286" t="s">
        <v>41</v>
      </c>
      <c r="E37" s="286"/>
      <c r="F37" s="44">
        <v>2.5000000000000001E-2</v>
      </c>
      <c r="G37" s="39">
        <f t="shared" ref="G37:G43" si="0">ROUND(F37*($G$27+$G$34),2)</f>
        <v>56.74</v>
      </c>
    </row>
    <row r="38" spans="1:7" s="41" customFormat="1" ht="62.25" customHeight="1" x14ac:dyDescent="0.25">
      <c r="A38" s="38" t="s">
        <v>9</v>
      </c>
      <c r="B38" s="284" t="s">
        <v>42</v>
      </c>
      <c r="C38" s="290"/>
      <c r="D38" s="286" t="s">
        <v>43</v>
      </c>
      <c r="E38" s="286"/>
      <c r="F38" s="45">
        <v>0.06</v>
      </c>
      <c r="G38" s="39">
        <f t="shared" si="0"/>
        <v>136.18</v>
      </c>
    </row>
    <row r="39" spans="1:7" s="41" customFormat="1" ht="48" customHeight="1" x14ac:dyDescent="0.25">
      <c r="A39" s="38" t="s">
        <v>11</v>
      </c>
      <c r="B39" s="33" t="s">
        <v>44</v>
      </c>
      <c r="C39" s="42"/>
      <c r="D39" s="286" t="s">
        <v>41</v>
      </c>
      <c r="E39" s="286"/>
      <c r="F39" s="44">
        <v>1.4999999999999999E-2</v>
      </c>
      <c r="G39" s="39">
        <f t="shared" si="0"/>
        <v>34.049999999999997</v>
      </c>
    </row>
    <row r="40" spans="1:7" s="41" customFormat="1" ht="43.5" customHeight="1" x14ac:dyDescent="0.25">
      <c r="A40" s="38" t="s">
        <v>13</v>
      </c>
      <c r="B40" s="33" t="s">
        <v>45</v>
      </c>
      <c r="C40" s="42"/>
      <c r="D40" s="286" t="s">
        <v>41</v>
      </c>
      <c r="E40" s="286"/>
      <c r="F40" s="44">
        <v>0.01</v>
      </c>
      <c r="G40" s="39">
        <f t="shared" si="0"/>
        <v>22.7</v>
      </c>
    </row>
    <row r="41" spans="1:7" s="41" customFormat="1" ht="42.75" customHeight="1" x14ac:dyDescent="0.25">
      <c r="A41" s="38" t="s">
        <v>15</v>
      </c>
      <c r="B41" s="33" t="s">
        <v>46</v>
      </c>
      <c r="C41" s="42"/>
      <c r="D41" s="286" t="s">
        <v>41</v>
      </c>
      <c r="E41" s="286"/>
      <c r="F41" s="44">
        <v>6.0000000000000001E-3</v>
      </c>
      <c r="G41" s="39">
        <f t="shared" si="0"/>
        <v>13.62</v>
      </c>
    </row>
    <row r="42" spans="1:7" s="41" customFormat="1" ht="46.5" customHeight="1" x14ac:dyDescent="0.25">
      <c r="A42" s="38" t="s">
        <v>18</v>
      </c>
      <c r="B42" s="33" t="s">
        <v>47</v>
      </c>
      <c r="C42" s="42"/>
      <c r="D42" s="286" t="s">
        <v>41</v>
      </c>
      <c r="E42" s="286"/>
      <c r="F42" s="44">
        <v>2E-3</v>
      </c>
      <c r="G42" s="39">
        <f t="shared" si="0"/>
        <v>4.54</v>
      </c>
    </row>
    <row r="43" spans="1:7" s="41" customFormat="1" ht="48" customHeight="1" x14ac:dyDescent="0.25">
      <c r="A43" s="38" t="s">
        <v>20</v>
      </c>
      <c r="B43" s="33" t="s">
        <v>48</v>
      </c>
      <c r="C43" s="42"/>
      <c r="D43" s="286" t="s">
        <v>41</v>
      </c>
      <c r="E43" s="286"/>
      <c r="F43" s="44">
        <v>0.08</v>
      </c>
      <c r="G43" s="39">
        <f t="shared" si="0"/>
        <v>181.58</v>
      </c>
    </row>
    <row r="44" spans="1:7" s="41" customFormat="1" ht="19.5" customHeight="1" x14ac:dyDescent="0.25">
      <c r="A44" s="287" t="s">
        <v>49</v>
      </c>
      <c r="B44" s="288"/>
      <c r="C44" s="288"/>
      <c r="D44" s="288"/>
      <c r="E44" s="289"/>
      <c r="F44" s="46">
        <f>SUM(F36:F43)</f>
        <v>0.39800000000000008</v>
      </c>
      <c r="G44" s="47">
        <f>SUM(G36:G43)</f>
        <v>903.36</v>
      </c>
    </row>
    <row r="45" spans="1:7" ht="19.5" customHeight="1" x14ac:dyDescent="0.2">
      <c r="A45" s="270" t="s">
        <v>50</v>
      </c>
      <c r="B45" s="270"/>
      <c r="C45" s="270"/>
      <c r="D45" s="270"/>
      <c r="E45" s="270"/>
      <c r="F45" s="270"/>
      <c r="G45" s="270"/>
    </row>
    <row r="46" spans="1:7" ht="57.75" customHeight="1" x14ac:dyDescent="0.2">
      <c r="A46" s="48" t="s">
        <v>5</v>
      </c>
      <c r="B46" s="256" t="s">
        <v>51</v>
      </c>
      <c r="C46" s="257"/>
      <c r="D46" s="49" t="s">
        <v>116</v>
      </c>
      <c r="E46" s="39">
        <v>597.96</v>
      </c>
      <c r="F46" s="50">
        <v>0.01</v>
      </c>
      <c r="G46" s="39">
        <f>ROUND((E46)*(1-F46),2)</f>
        <v>591.98</v>
      </c>
    </row>
    <row r="47" spans="1:7" ht="70.5" customHeight="1" x14ac:dyDescent="0.2">
      <c r="A47" s="38" t="s">
        <v>7</v>
      </c>
      <c r="B47" s="256" t="s">
        <v>52</v>
      </c>
      <c r="C47" s="257"/>
      <c r="D47" s="49" t="s">
        <v>188</v>
      </c>
      <c r="E47" s="39">
        <v>5.15</v>
      </c>
      <c r="F47" s="50">
        <v>0.06</v>
      </c>
      <c r="G47" s="39">
        <f>ROUND((E47*2*22)-(0.06*$G$24),2)</f>
        <v>137.91999999999999</v>
      </c>
    </row>
    <row r="48" spans="1:7" ht="70.5" customHeight="1" x14ac:dyDescent="0.2">
      <c r="A48" s="38" t="s">
        <v>9</v>
      </c>
      <c r="B48" s="261" t="s">
        <v>118</v>
      </c>
      <c r="C48" s="263"/>
      <c r="D48" s="49" t="s">
        <v>119</v>
      </c>
      <c r="E48" s="39">
        <v>21.88</v>
      </c>
      <c r="F48" s="51"/>
      <c r="G48" s="39">
        <f>E48</f>
        <v>21.88</v>
      </c>
    </row>
    <row r="49" spans="1:9" ht="40.5" customHeight="1" x14ac:dyDescent="0.2">
      <c r="A49" s="38" t="s">
        <v>11</v>
      </c>
      <c r="B49" s="261" t="s">
        <v>115</v>
      </c>
      <c r="C49" s="263"/>
      <c r="D49" s="49"/>
      <c r="E49" s="39"/>
      <c r="F49" s="51"/>
      <c r="G49" s="39">
        <f>E49</f>
        <v>0</v>
      </c>
    </row>
    <row r="50" spans="1:9" ht="31.5" customHeight="1" x14ac:dyDescent="0.2">
      <c r="A50" s="270" t="s">
        <v>53</v>
      </c>
      <c r="B50" s="270"/>
      <c r="C50" s="270"/>
      <c r="D50" s="270"/>
      <c r="E50" s="270"/>
      <c r="F50" s="270"/>
      <c r="G50" s="40">
        <f>SUM(G46:G49)</f>
        <v>751.78</v>
      </c>
    </row>
    <row r="51" spans="1:9" ht="31.5" customHeight="1" x14ac:dyDescent="0.2">
      <c r="A51" s="271" t="s">
        <v>54</v>
      </c>
      <c r="B51" s="271"/>
      <c r="C51" s="271"/>
      <c r="D51" s="271"/>
      <c r="E51" s="271"/>
      <c r="F51" s="271"/>
      <c r="G51" s="52">
        <f>SUM(G50,G44,G34)</f>
        <v>1882.09</v>
      </c>
    </row>
    <row r="52" spans="1:9" ht="3" customHeight="1" x14ac:dyDescent="0.2">
      <c r="A52" s="26"/>
      <c r="B52" s="27"/>
      <c r="C52" s="27"/>
      <c r="D52" s="27"/>
      <c r="E52" s="27"/>
      <c r="F52" s="27"/>
      <c r="G52" s="27"/>
    </row>
    <row r="53" spans="1:9" ht="21.75" customHeight="1" x14ac:dyDescent="0.2">
      <c r="A53" s="260" t="s">
        <v>55</v>
      </c>
      <c r="B53" s="260"/>
      <c r="C53" s="260"/>
      <c r="D53" s="260"/>
      <c r="E53" s="260"/>
      <c r="F53" s="260"/>
      <c r="G53" s="260"/>
    </row>
    <row r="54" spans="1:9" ht="80.25" customHeight="1" x14ac:dyDescent="0.2">
      <c r="A54" s="266" t="s">
        <v>5</v>
      </c>
      <c r="B54" s="275" t="s">
        <v>56</v>
      </c>
      <c r="C54" s="275"/>
      <c r="D54" s="275"/>
      <c r="E54" s="255">
        <f>(1/12)*D55</f>
        <v>4.1666666666666666E-3</v>
      </c>
      <c r="F54" s="255"/>
      <c r="G54" s="280">
        <f>ROUND($G$27+$G$34,0)*E54</f>
        <v>9.4583333333333339</v>
      </c>
    </row>
    <row r="55" spans="1:9" ht="77.25" customHeight="1" x14ac:dyDescent="0.2">
      <c r="A55" s="266"/>
      <c r="B55" s="285" t="s">
        <v>57</v>
      </c>
      <c r="C55" s="285"/>
      <c r="D55" s="53">
        <v>0.05</v>
      </c>
      <c r="E55" s="255"/>
      <c r="F55" s="255"/>
      <c r="G55" s="280"/>
    </row>
    <row r="56" spans="1:9" ht="42.75" customHeight="1" x14ac:dyDescent="0.2">
      <c r="A56" s="38" t="s">
        <v>7</v>
      </c>
      <c r="B56" s="275" t="s">
        <v>58</v>
      </c>
      <c r="C56" s="275"/>
      <c r="D56" s="275"/>
      <c r="E56" s="255">
        <v>0.08</v>
      </c>
      <c r="F56" s="255"/>
      <c r="G56" s="39">
        <f>ROUND(G54*E56,2)</f>
        <v>0.76</v>
      </c>
      <c r="H56" s="54"/>
      <c r="I56" s="54"/>
    </row>
    <row r="57" spans="1:9" ht="53.25" customHeight="1" x14ac:dyDescent="0.2">
      <c r="A57" s="38" t="s">
        <v>9</v>
      </c>
      <c r="B57" s="256" t="s">
        <v>59</v>
      </c>
      <c r="C57" s="284"/>
      <c r="D57" s="257"/>
      <c r="E57" s="255">
        <f>(7/30)/12</f>
        <v>1.9444444444444445E-2</v>
      </c>
      <c r="F57" s="255"/>
      <c r="G57" s="39">
        <f>ROUND((($G$27+$G$34)*E57),2)</f>
        <v>44.13</v>
      </c>
    </row>
    <row r="58" spans="1:9" ht="37.5" customHeight="1" x14ac:dyDescent="0.2">
      <c r="A58" s="38" t="s">
        <v>11</v>
      </c>
      <c r="B58" s="275" t="s">
        <v>60</v>
      </c>
      <c r="C58" s="275"/>
      <c r="D58" s="275"/>
      <c r="E58" s="255">
        <f>F44</f>
        <v>0.39800000000000008</v>
      </c>
      <c r="F58" s="255"/>
      <c r="G58" s="39">
        <f>ROUND(E58*G57,2)</f>
        <v>17.559999999999999</v>
      </c>
    </row>
    <row r="59" spans="1:9" ht="64.5" customHeight="1" x14ac:dyDescent="0.2">
      <c r="A59" s="38" t="s">
        <v>13</v>
      </c>
      <c r="B59" s="275" t="s">
        <v>61</v>
      </c>
      <c r="C59" s="275"/>
      <c r="D59" s="275"/>
      <c r="E59" s="255">
        <v>0.04</v>
      </c>
      <c r="F59" s="255"/>
      <c r="G59" s="39">
        <f>ROUND(E59*($G$27+$G$34),2)</f>
        <v>90.79</v>
      </c>
    </row>
    <row r="60" spans="1:9" ht="21.75" customHeight="1" x14ac:dyDescent="0.2">
      <c r="A60" s="259" t="s">
        <v>62</v>
      </c>
      <c r="B60" s="259"/>
      <c r="C60" s="259"/>
      <c r="D60" s="259"/>
      <c r="E60" s="259"/>
      <c r="F60" s="259"/>
      <c r="G60" s="52">
        <f>ROUND(SUM(G54:G59),2)</f>
        <v>162.69999999999999</v>
      </c>
    </row>
    <row r="61" spans="1:9" ht="3.75" customHeight="1" x14ac:dyDescent="0.2">
      <c r="A61" s="55"/>
      <c r="B61" s="56"/>
      <c r="C61" s="56"/>
      <c r="D61" s="56"/>
      <c r="E61" s="56"/>
      <c r="F61" s="56"/>
      <c r="G61" s="56"/>
    </row>
    <row r="62" spans="1:9" ht="21.75" customHeight="1" x14ac:dyDescent="0.2">
      <c r="A62" s="260" t="s">
        <v>63</v>
      </c>
      <c r="B62" s="260"/>
      <c r="C62" s="260"/>
      <c r="D62" s="260"/>
      <c r="E62" s="260"/>
      <c r="F62" s="260"/>
      <c r="G62" s="260"/>
    </row>
    <row r="63" spans="1:9" ht="21.75" customHeight="1" x14ac:dyDescent="0.2">
      <c r="A63" s="270" t="s">
        <v>64</v>
      </c>
      <c r="B63" s="270"/>
      <c r="C63" s="270"/>
      <c r="D63" s="270"/>
      <c r="E63" s="270"/>
      <c r="F63" s="270"/>
      <c r="G63" s="270"/>
    </row>
    <row r="64" spans="1:9" ht="21.75" customHeight="1" x14ac:dyDescent="0.2">
      <c r="A64" s="266" t="s">
        <v>5</v>
      </c>
      <c r="B64" s="275" t="s">
        <v>65</v>
      </c>
      <c r="C64" s="275"/>
      <c r="D64" s="275"/>
      <c r="E64" s="276">
        <v>8.3299999999999999E-2</v>
      </c>
      <c r="F64" s="277"/>
      <c r="G64" s="280">
        <f>E64*($G$27+$G$51+$G$60)</f>
        <v>340.49458099999998</v>
      </c>
    </row>
    <row r="65" spans="1:8" ht="39.75" customHeight="1" x14ac:dyDescent="0.2">
      <c r="A65" s="266"/>
      <c r="B65" s="281" t="s">
        <v>66</v>
      </c>
      <c r="C65" s="282"/>
      <c r="D65" s="283"/>
      <c r="E65" s="278"/>
      <c r="F65" s="279"/>
      <c r="G65" s="280"/>
    </row>
    <row r="66" spans="1:8" x14ac:dyDescent="0.2">
      <c r="A66" s="266" t="s">
        <v>7</v>
      </c>
      <c r="B66" s="275" t="s">
        <v>67</v>
      </c>
      <c r="C66" s="275"/>
      <c r="D66" s="275"/>
      <c r="E66" s="276">
        <f>(6/360)</f>
        <v>1.6666666666666666E-2</v>
      </c>
      <c r="F66" s="277"/>
      <c r="G66" s="280">
        <f>E66*($G$27+$G$34+$G$44)</f>
        <v>52.884833333333333</v>
      </c>
    </row>
    <row r="67" spans="1:8" ht="78" customHeight="1" x14ac:dyDescent="0.2">
      <c r="A67" s="266"/>
      <c r="B67" s="281" t="s">
        <v>68</v>
      </c>
      <c r="C67" s="282"/>
      <c r="D67" s="283"/>
      <c r="E67" s="278"/>
      <c r="F67" s="279"/>
      <c r="G67" s="280"/>
    </row>
    <row r="68" spans="1:8" x14ac:dyDescent="0.2">
      <c r="A68" s="266" t="s">
        <v>9</v>
      </c>
      <c r="B68" s="275" t="s">
        <v>69</v>
      </c>
      <c r="C68" s="275"/>
      <c r="D68" s="275"/>
      <c r="E68" s="276">
        <f>((5/360)*(1.399%))</f>
        <v>1.9430555555555556E-4</v>
      </c>
      <c r="F68" s="277"/>
      <c r="G68" s="280">
        <f>E68*($G$27+$G$34+$G$44)</f>
        <v>0.61654901527777783</v>
      </c>
    </row>
    <row r="69" spans="1:8" ht="57" customHeight="1" x14ac:dyDescent="0.2">
      <c r="A69" s="266"/>
      <c r="B69" s="281" t="s">
        <v>70</v>
      </c>
      <c r="C69" s="282"/>
      <c r="D69" s="283"/>
      <c r="E69" s="278"/>
      <c r="F69" s="279"/>
      <c r="G69" s="280"/>
    </row>
    <row r="70" spans="1:8" x14ac:dyDescent="0.2">
      <c r="A70" s="266" t="s">
        <v>11</v>
      </c>
      <c r="B70" s="275" t="s">
        <v>71</v>
      </c>
      <c r="C70" s="275"/>
      <c r="D70" s="275"/>
      <c r="E70" s="276">
        <f>((15/360)*(2.16%))</f>
        <v>8.9999999999999998E-4</v>
      </c>
      <c r="F70" s="277"/>
      <c r="G70" s="280">
        <f>E70*($G$27+$G$34+$G$44)</f>
        <v>2.8557809999999999</v>
      </c>
    </row>
    <row r="71" spans="1:8" ht="63" customHeight="1" x14ac:dyDescent="0.2">
      <c r="A71" s="266"/>
      <c r="B71" s="281" t="s">
        <v>72</v>
      </c>
      <c r="C71" s="282"/>
      <c r="D71" s="283"/>
      <c r="E71" s="278"/>
      <c r="F71" s="279"/>
      <c r="G71" s="280"/>
    </row>
    <row r="72" spans="1:8" x14ac:dyDescent="0.2">
      <c r="A72" s="266" t="s">
        <v>13</v>
      </c>
      <c r="B72" s="275" t="s">
        <v>73</v>
      </c>
      <c r="C72" s="275"/>
      <c r="D72" s="275"/>
      <c r="E72" s="276">
        <f>((50%)*(1.99%)*(4/12)*(8.93%+8.93%+2.98%))</f>
        <v>6.9119333333333326E-4</v>
      </c>
      <c r="F72" s="277"/>
      <c r="G72" s="280">
        <f>(E72*G27)</f>
        <v>1.4119559174666667</v>
      </c>
    </row>
    <row r="73" spans="1:8" ht="54.75" customHeight="1" x14ac:dyDescent="0.2">
      <c r="A73" s="266"/>
      <c r="B73" s="281" t="s">
        <v>74</v>
      </c>
      <c r="C73" s="282"/>
      <c r="D73" s="283"/>
      <c r="E73" s="278"/>
      <c r="F73" s="279"/>
      <c r="G73" s="280"/>
    </row>
    <row r="74" spans="1:8" ht="19.5" customHeight="1" x14ac:dyDescent="0.2">
      <c r="A74" s="270" t="s">
        <v>75</v>
      </c>
      <c r="B74" s="270"/>
      <c r="C74" s="270"/>
      <c r="D74" s="270"/>
      <c r="E74" s="270"/>
      <c r="F74" s="270"/>
      <c r="G74" s="47">
        <f>SUM(G64:G73)</f>
        <v>398.26370026607776</v>
      </c>
    </row>
    <row r="75" spans="1:8" ht="3.75" customHeight="1" x14ac:dyDescent="0.2">
      <c r="A75" s="57"/>
      <c r="B75" s="58"/>
      <c r="C75" s="58"/>
      <c r="D75" s="58"/>
      <c r="E75" s="58"/>
      <c r="F75" s="58"/>
      <c r="G75" s="58"/>
    </row>
    <row r="76" spans="1:8" ht="3.75" customHeight="1" x14ac:dyDescent="0.2">
      <c r="A76" s="59"/>
      <c r="B76" s="60"/>
      <c r="C76" s="60"/>
      <c r="D76" s="60"/>
      <c r="E76" s="60"/>
      <c r="F76" s="60"/>
      <c r="G76" s="60"/>
    </row>
    <row r="77" spans="1:8" ht="30.75" customHeight="1" x14ac:dyDescent="0.2">
      <c r="A77" s="271" t="s">
        <v>76</v>
      </c>
      <c r="B77" s="271"/>
      <c r="C77" s="271"/>
      <c r="D77" s="271"/>
      <c r="E77" s="271"/>
      <c r="F77" s="271"/>
      <c r="G77" s="61">
        <f>G74</f>
        <v>398.26370026607776</v>
      </c>
    </row>
    <row r="78" spans="1:8" ht="3.75" customHeight="1" x14ac:dyDescent="0.2">
      <c r="A78" s="272"/>
      <c r="B78" s="272"/>
      <c r="C78" s="272"/>
      <c r="D78" s="272"/>
      <c r="E78" s="272"/>
      <c r="F78" s="272"/>
      <c r="G78" s="272"/>
    </row>
    <row r="79" spans="1:8" ht="21.75" customHeight="1" x14ac:dyDescent="0.2">
      <c r="A79" s="260" t="s">
        <v>77</v>
      </c>
      <c r="B79" s="260"/>
      <c r="C79" s="260"/>
      <c r="D79" s="260"/>
      <c r="E79" s="260"/>
      <c r="F79" s="260"/>
      <c r="G79" s="260"/>
    </row>
    <row r="80" spans="1:8" ht="19.5" customHeight="1" x14ac:dyDescent="0.2">
      <c r="A80" s="29" t="s">
        <v>5</v>
      </c>
      <c r="B80" s="30" t="s">
        <v>78</v>
      </c>
      <c r="C80" s="31"/>
      <c r="D80" s="31"/>
      <c r="E80" s="31"/>
      <c r="F80" s="31"/>
      <c r="G80" s="39" cm="1">
        <f t="array" ref="G80:H80">'Insumos Diversos'!J101:K101</f>
        <v>47</v>
      </c>
      <c r="H80" s="1">
        <v>0</v>
      </c>
    </row>
    <row r="81" spans="1:7" ht="19.5" customHeight="1" x14ac:dyDescent="0.2">
      <c r="A81" s="62" t="s">
        <v>7</v>
      </c>
      <c r="B81" s="30" t="s">
        <v>318</v>
      </c>
      <c r="C81" s="31"/>
      <c r="D81" s="31"/>
      <c r="E81" s="31"/>
      <c r="F81" s="31"/>
      <c r="G81" s="39">
        <f>'Insumos Diversos'!L51</f>
        <v>586</v>
      </c>
    </row>
    <row r="82" spans="1:7" ht="19.5" customHeight="1" x14ac:dyDescent="0.2">
      <c r="A82" s="63" t="s">
        <v>9</v>
      </c>
      <c r="B82" s="30" t="s">
        <v>79</v>
      </c>
      <c r="C82" s="31"/>
      <c r="D82" s="31"/>
      <c r="E82" s="31"/>
      <c r="F82" s="31"/>
      <c r="G82" s="39">
        <f>'Insumos Diversos'!L85</f>
        <v>5.63</v>
      </c>
    </row>
    <row r="83" spans="1:7" ht="21.75" customHeight="1" x14ac:dyDescent="0.2">
      <c r="A83" s="273" t="s">
        <v>80</v>
      </c>
      <c r="B83" s="273"/>
      <c r="C83" s="273"/>
      <c r="D83" s="273"/>
      <c r="E83" s="273"/>
      <c r="F83" s="273"/>
      <c r="G83" s="37">
        <f>SUM(G80:G82)</f>
        <v>638.63</v>
      </c>
    </row>
    <row r="84" spans="1:7" ht="3.75" customHeight="1" x14ac:dyDescent="0.2">
      <c r="A84" s="274"/>
      <c r="B84" s="274"/>
      <c r="C84" s="274"/>
      <c r="D84" s="274"/>
      <c r="E84" s="274"/>
      <c r="F84" s="274"/>
      <c r="G84" s="274"/>
    </row>
    <row r="85" spans="1:7" ht="23.25" customHeight="1" x14ac:dyDescent="0.2">
      <c r="A85" s="260" t="s">
        <v>81</v>
      </c>
      <c r="B85" s="260"/>
      <c r="C85" s="260"/>
      <c r="D85" s="260"/>
      <c r="E85" s="260"/>
      <c r="F85" s="260"/>
      <c r="G85" s="260"/>
    </row>
    <row r="86" spans="1:7" ht="19.5" customHeight="1" x14ac:dyDescent="0.2">
      <c r="A86" s="38" t="s">
        <v>5</v>
      </c>
      <c r="B86" s="261" t="s">
        <v>82</v>
      </c>
      <c r="C86" s="262"/>
      <c r="D86" s="263"/>
      <c r="E86" s="264">
        <v>0.03</v>
      </c>
      <c r="F86" s="265"/>
      <c r="G86" s="39">
        <f>ROUND((G103)*E86,2)</f>
        <v>153.72999999999999</v>
      </c>
    </row>
    <row r="87" spans="1:7" ht="19.5" customHeight="1" x14ac:dyDescent="0.2">
      <c r="A87" s="38" t="s">
        <v>7</v>
      </c>
      <c r="B87" s="261" t="s">
        <v>83</v>
      </c>
      <c r="C87" s="262"/>
      <c r="D87" s="263"/>
      <c r="E87" s="264">
        <v>6.7900000000000002E-2</v>
      </c>
      <c r="F87" s="265"/>
      <c r="G87" s="39">
        <f>ROUND((G103+$G$86)*E87,2)</f>
        <v>358.39</v>
      </c>
    </row>
    <row r="88" spans="1:7" ht="19.5" customHeight="1" x14ac:dyDescent="0.2">
      <c r="A88" s="266" t="s">
        <v>9</v>
      </c>
      <c r="B88" s="267" t="s">
        <v>84</v>
      </c>
      <c r="C88" s="64"/>
      <c r="D88" s="65"/>
      <c r="E88" s="268">
        <f>SUM(E89:F93)</f>
        <v>0.14250000000000002</v>
      </c>
      <c r="F88" s="269"/>
      <c r="G88" s="66"/>
    </row>
    <row r="89" spans="1:7" ht="19.5" customHeight="1" x14ac:dyDescent="0.2">
      <c r="A89" s="266"/>
      <c r="B89" s="267"/>
      <c r="C89" s="67" t="s">
        <v>85</v>
      </c>
      <c r="D89" s="68" t="s">
        <v>86</v>
      </c>
      <c r="E89" s="255">
        <v>1.6500000000000001E-2</v>
      </c>
      <c r="F89" s="255"/>
      <c r="G89" s="39">
        <f>ROUND((E89)*($G$105),2)</f>
        <v>108.46</v>
      </c>
    </row>
    <row r="90" spans="1:7" ht="19.5" customHeight="1" x14ac:dyDescent="0.2">
      <c r="A90" s="266"/>
      <c r="B90" s="267"/>
      <c r="C90" s="69"/>
      <c r="D90" s="68" t="s">
        <v>87</v>
      </c>
      <c r="E90" s="255">
        <v>7.5999999999999998E-2</v>
      </c>
      <c r="F90" s="255"/>
      <c r="G90" s="39">
        <f>ROUND((E90)*($G$105),2)</f>
        <v>499.57</v>
      </c>
    </row>
    <row r="91" spans="1:7" ht="19.5" customHeight="1" x14ac:dyDescent="0.2">
      <c r="A91" s="266"/>
      <c r="B91" s="267"/>
      <c r="C91" s="70"/>
      <c r="D91" s="68" t="s">
        <v>88</v>
      </c>
      <c r="E91" s="255"/>
      <c r="F91" s="255"/>
      <c r="G91" s="39">
        <f>ROUND((E91)*($G$105),2)</f>
        <v>0</v>
      </c>
    </row>
    <row r="92" spans="1:7" ht="77.25" customHeight="1" x14ac:dyDescent="0.2">
      <c r="A92" s="266"/>
      <c r="B92" s="267"/>
      <c r="C92" s="71" t="s">
        <v>189</v>
      </c>
      <c r="D92" s="68" t="s">
        <v>89</v>
      </c>
      <c r="E92" s="255">
        <v>0.05</v>
      </c>
      <c r="F92" s="255"/>
      <c r="G92" s="39">
        <f>ROUND((E92)*($G$105),2)</f>
        <v>328.66</v>
      </c>
    </row>
    <row r="93" spans="1:7" ht="41.25" customHeight="1" x14ac:dyDescent="0.2">
      <c r="A93" s="266"/>
      <c r="B93" s="267"/>
      <c r="C93" s="256" t="s">
        <v>90</v>
      </c>
      <c r="D93" s="257"/>
      <c r="E93" s="255"/>
      <c r="F93" s="255"/>
      <c r="G93" s="39">
        <f>ROUND((E93)*($G$105),2)</f>
        <v>0</v>
      </c>
    </row>
    <row r="94" spans="1:7" ht="19.5" customHeight="1" x14ac:dyDescent="0.2">
      <c r="A94" s="266"/>
      <c r="B94" s="258" t="s">
        <v>91</v>
      </c>
      <c r="C94" s="258"/>
      <c r="D94" s="258"/>
      <c r="E94" s="258"/>
      <c r="F94" s="258"/>
      <c r="G94" s="72">
        <f>SUM(G89,G90,G91,G92,G93)</f>
        <v>936.69</v>
      </c>
    </row>
    <row r="95" spans="1:7" ht="21.75" customHeight="1" x14ac:dyDescent="0.2">
      <c r="A95" s="259" t="s">
        <v>92</v>
      </c>
      <c r="B95" s="259"/>
      <c r="C95" s="259"/>
      <c r="D95" s="259"/>
      <c r="E95" s="259"/>
      <c r="F95" s="259"/>
      <c r="G95" s="73">
        <f>SUM(G94,G87,G86)</f>
        <v>1448.81</v>
      </c>
    </row>
    <row r="96" spans="1:7" ht="3.75" customHeight="1" x14ac:dyDescent="0.2">
      <c r="A96" s="251"/>
      <c r="B96" s="251"/>
      <c r="C96" s="251"/>
      <c r="D96" s="251"/>
      <c r="E96" s="251"/>
      <c r="F96" s="251"/>
      <c r="G96" s="251"/>
    </row>
    <row r="97" spans="1:7" ht="23.25" customHeight="1" x14ac:dyDescent="0.2">
      <c r="A97" s="252" t="s">
        <v>93</v>
      </c>
      <c r="B97" s="252"/>
      <c r="C97" s="252"/>
      <c r="D97" s="252"/>
      <c r="E97" s="252"/>
      <c r="F97" s="252"/>
      <c r="G97" s="252"/>
    </row>
    <row r="98" spans="1:7" ht="19.5" customHeight="1" x14ac:dyDescent="0.2">
      <c r="A98" s="38" t="s">
        <v>5</v>
      </c>
      <c r="B98" s="33" t="s">
        <v>94</v>
      </c>
      <c r="C98" s="42"/>
      <c r="D98" s="42"/>
      <c r="E98" s="42"/>
      <c r="F98" s="42"/>
      <c r="G98" s="32">
        <f>G27</f>
        <v>2042.7800000000002</v>
      </c>
    </row>
    <row r="99" spans="1:7" ht="19.5" customHeight="1" x14ac:dyDescent="0.2">
      <c r="A99" s="38" t="s">
        <v>7</v>
      </c>
      <c r="B99" s="33" t="s">
        <v>95</v>
      </c>
      <c r="C99" s="42"/>
      <c r="D99" s="42"/>
      <c r="E99" s="42"/>
      <c r="F99" s="42"/>
      <c r="G99" s="32">
        <f>G51</f>
        <v>1882.09</v>
      </c>
    </row>
    <row r="100" spans="1:7" ht="19.5" customHeight="1" x14ac:dyDescent="0.2">
      <c r="A100" s="38" t="s">
        <v>9</v>
      </c>
      <c r="B100" s="33" t="s">
        <v>96</v>
      </c>
      <c r="C100" s="42"/>
      <c r="D100" s="42"/>
      <c r="E100" s="42"/>
      <c r="F100" s="42"/>
      <c r="G100" s="32">
        <f>G60</f>
        <v>162.69999999999999</v>
      </c>
    </row>
    <row r="101" spans="1:7" ht="19.5" customHeight="1" x14ac:dyDescent="0.2">
      <c r="A101" s="38" t="s">
        <v>11</v>
      </c>
      <c r="B101" s="33" t="s">
        <v>97</v>
      </c>
      <c r="C101" s="42"/>
      <c r="D101" s="42"/>
      <c r="E101" s="42"/>
      <c r="F101" s="42"/>
      <c r="G101" s="32">
        <f>G77</f>
        <v>398.26370026607776</v>
      </c>
    </row>
    <row r="102" spans="1:7" ht="19.5" customHeight="1" x14ac:dyDescent="0.2">
      <c r="A102" s="38" t="s">
        <v>13</v>
      </c>
      <c r="B102" s="33" t="s">
        <v>98</v>
      </c>
      <c r="C102" s="42"/>
      <c r="D102" s="42"/>
      <c r="E102" s="42"/>
      <c r="F102" s="42"/>
      <c r="G102" s="32">
        <f>G83</f>
        <v>638.63</v>
      </c>
    </row>
    <row r="103" spans="1:7" ht="19.5" customHeight="1" x14ac:dyDescent="0.2">
      <c r="A103" s="253" t="s">
        <v>99</v>
      </c>
      <c r="B103" s="254"/>
      <c r="C103" s="254"/>
      <c r="D103" s="254"/>
      <c r="E103" s="254"/>
      <c r="F103" s="254"/>
      <c r="G103" s="74">
        <f>SUM(G98:G102)</f>
        <v>5124.4637002660775</v>
      </c>
    </row>
    <row r="104" spans="1:7" ht="19.5" customHeight="1" x14ac:dyDescent="0.2">
      <c r="A104" s="38" t="s">
        <v>15</v>
      </c>
      <c r="B104" s="33" t="s">
        <v>100</v>
      </c>
      <c r="C104" s="42"/>
      <c r="D104" s="42"/>
      <c r="E104" s="42"/>
      <c r="F104" s="42"/>
      <c r="G104" s="32">
        <f>G95</f>
        <v>1448.81</v>
      </c>
    </row>
    <row r="105" spans="1:7" ht="43.5" customHeight="1" x14ac:dyDescent="0.2">
      <c r="A105" s="247" t="s">
        <v>101</v>
      </c>
      <c r="B105" s="247"/>
      <c r="C105" s="247"/>
      <c r="D105" s="247"/>
      <c r="E105" s="247"/>
      <c r="F105" s="247"/>
      <c r="G105" s="75">
        <f>SUM(G103+G86+G87)/(1-E88)</f>
        <v>6573.2754522053383</v>
      </c>
    </row>
    <row r="106" spans="1:7" ht="3.75" customHeight="1" x14ac:dyDescent="0.2">
      <c r="A106" s="251"/>
      <c r="B106" s="251"/>
      <c r="C106" s="251"/>
      <c r="D106" s="251"/>
      <c r="E106" s="251"/>
      <c r="F106" s="251"/>
      <c r="G106" s="251"/>
    </row>
    <row r="107" spans="1:7" ht="22.5" customHeight="1" x14ac:dyDescent="0.2">
      <c r="A107" s="249" t="s">
        <v>102</v>
      </c>
      <c r="B107" s="249"/>
      <c r="C107" s="249"/>
      <c r="D107" s="249"/>
      <c r="E107" s="249"/>
      <c r="F107" s="249"/>
      <c r="G107" s="249"/>
    </row>
    <row r="108" spans="1:7" ht="21" customHeight="1" x14ac:dyDescent="0.2">
      <c r="A108" s="248" t="s">
        <v>103</v>
      </c>
      <c r="B108" s="248"/>
      <c r="C108" s="248"/>
      <c r="D108" s="248"/>
      <c r="E108" s="248"/>
      <c r="F108" s="248"/>
      <c r="G108" s="32">
        <f>G105</f>
        <v>6573.2754522053383</v>
      </c>
    </row>
    <row r="109" spans="1:7" ht="21" customHeight="1" x14ac:dyDescent="0.2">
      <c r="A109" s="248" t="s">
        <v>104</v>
      </c>
      <c r="B109" s="248"/>
      <c r="C109" s="248"/>
      <c r="D109" s="248"/>
      <c r="E109" s="248"/>
      <c r="F109" s="248"/>
      <c r="G109" s="11">
        <v>1</v>
      </c>
    </row>
    <row r="110" spans="1:7" ht="21" customHeight="1" x14ac:dyDescent="0.2">
      <c r="A110" s="248" t="s">
        <v>105</v>
      </c>
      <c r="B110" s="248"/>
      <c r="C110" s="248"/>
      <c r="D110" s="248"/>
      <c r="E110" s="248"/>
      <c r="F110" s="248"/>
      <c r="G110" s="32">
        <f>G109*G108</f>
        <v>6573.2754522053383</v>
      </c>
    </row>
    <row r="111" spans="1:7" ht="21" customHeight="1" x14ac:dyDescent="0.2">
      <c r="A111" s="248" t="s">
        <v>106</v>
      </c>
      <c r="B111" s="248"/>
      <c r="C111" s="248"/>
      <c r="D111" s="248"/>
      <c r="E111" s="248"/>
      <c r="F111" s="248"/>
      <c r="G111" s="11">
        <v>1</v>
      </c>
    </row>
    <row r="112" spans="1:7" ht="22.5" customHeight="1" x14ac:dyDescent="0.2">
      <c r="A112" s="249" t="s">
        <v>107</v>
      </c>
      <c r="B112" s="249"/>
      <c r="C112" s="249"/>
      <c r="D112" s="249"/>
      <c r="E112" s="249"/>
      <c r="F112" s="249"/>
      <c r="G112" s="76">
        <f>G111*G110</f>
        <v>6573.2754522053383</v>
      </c>
    </row>
    <row r="113" spans="1:7" ht="3.75" customHeight="1" x14ac:dyDescent="0.2">
      <c r="A113" s="250"/>
      <c r="B113" s="250"/>
      <c r="C113" s="250"/>
      <c r="D113" s="250"/>
      <c r="E113" s="250"/>
      <c r="F113" s="250"/>
      <c r="G113" s="250"/>
    </row>
    <row r="114" spans="1:7" ht="22.5" customHeight="1" x14ac:dyDescent="0.2">
      <c r="A114" s="303" t="s">
        <v>182</v>
      </c>
      <c r="B114" s="304"/>
      <c r="C114" s="304"/>
      <c r="D114" s="304"/>
      <c r="E114" s="304"/>
      <c r="F114" s="305"/>
      <c r="G114" s="75">
        <f>G112*G18</f>
        <v>131465.50904410676</v>
      </c>
    </row>
  </sheetData>
  <mergeCells count="120">
    <mergeCell ref="A1:G1"/>
    <mergeCell ref="A3:G3"/>
    <mergeCell ref="A5:G5"/>
    <mergeCell ref="A6:G6"/>
    <mergeCell ref="A8:G8"/>
    <mergeCell ref="A9:G9"/>
    <mergeCell ref="A23:F23"/>
    <mergeCell ref="E25:F25"/>
    <mergeCell ref="A27:F27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0:F50"/>
    <mergeCell ref="A51:F51"/>
    <mergeCell ref="D40:E40"/>
    <mergeCell ref="D41:E41"/>
    <mergeCell ref="D42:E42"/>
    <mergeCell ref="D43:E43"/>
    <mergeCell ref="A44:E44"/>
    <mergeCell ref="A45:G45"/>
    <mergeCell ref="B56:D56"/>
    <mergeCell ref="E56:F56"/>
    <mergeCell ref="B57:D57"/>
    <mergeCell ref="E57:F57"/>
    <mergeCell ref="B58:D58"/>
    <mergeCell ref="E58:F58"/>
    <mergeCell ref="A53:G53"/>
    <mergeCell ref="A54:A55"/>
    <mergeCell ref="B54:D54"/>
    <mergeCell ref="E54:F55"/>
    <mergeCell ref="G54:G55"/>
    <mergeCell ref="B55:C55"/>
    <mergeCell ref="B59:D59"/>
    <mergeCell ref="E59:F59"/>
    <mergeCell ref="A60:F60"/>
    <mergeCell ref="A62:G62"/>
    <mergeCell ref="A63:G63"/>
    <mergeCell ref="A64:A65"/>
    <mergeCell ref="B64:D64"/>
    <mergeCell ref="E64:F65"/>
    <mergeCell ref="G64:G65"/>
    <mergeCell ref="B65:D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4:F74"/>
    <mergeCell ref="A77:F77"/>
    <mergeCell ref="A78:G78"/>
    <mergeCell ref="A79:G79"/>
    <mergeCell ref="A83:F83"/>
    <mergeCell ref="A84:G84"/>
    <mergeCell ref="A70:A71"/>
    <mergeCell ref="B70:D70"/>
    <mergeCell ref="E70:F71"/>
    <mergeCell ref="G70:G71"/>
    <mergeCell ref="B71:D71"/>
    <mergeCell ref="A72:A73"/>
    <mergeCell ref="B72:D72"/>
    <mergeCell ref="E72:F73"/>
    <mergeCell ref="G72:G73"/>
    <mergeCell ref="B73:D73"/>
    <mergeCell ref="E91:F91"/>
    <mergeCell ref="E92:F92"/>
    <mergeCell ref="C93:D93"/>
    <mergeCell ref="E93:F93"/>
    <mergeCell ref="B94:F94"/>
    <mergeCell ref="A95:F95"/>
    <mergeCell ref="A85:G85"/>
    <mergeCell ref="B86:D86"/>
    <mergeCell ref="E86:F86"/>
    <mergeCell ref="B87:D87"/>
    <mergeCell ref="E87:F87"/>
    <mergeCell ref="A88:A94"/>
    <mergeCell ref="B88:B93"/>
    <mergeCell ref="E88:F88"/>
    <mergeCell ref="E89:F89"/>
    <mergeCell ref="E90:F90"/>
    <mergeCell ref="A114:F114"/>
    <mergeCell ref="A108:F108"/>
    <mergeCell ref="A109:F109"/>
    <mergeCell ref="A110:F110"/>
    <mergeCell ref="A111:F111"/>
    <mergeCell ref="A112:F112"/>
    <mergeCell ref="A113:G113"/>
    <mergeCell ref="A96:G96"/>
    <mergeCell ref="A97:G97"/>
    <mergeCell ref="A103:F103"/>
    <mergeCell ref="A105:F105"/>
    <mergeCell ref="A106:G106"/>
    <mergeCell ref="A107:G107"/>
  </mergeCells>
  <pageMargins left="0.23622047244094491" right="0.23622047244094491" top="0.55118110236220474" bottom="0.55118110236220474" header="0.31496062992125984" footer="0.31496062992125984"/>
  <pageSetup paperSize="9" scale="84" firstPageNumber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EFD8-164C-470A-8340-45CD9E2E070C}">
  <dimension ref="A1:G20"/>
  <sheetViews>
    <sheetView showGridLines="0" topLeftCell="A5" zoomScaleNormal="100" workbookViewId="0">
      <selection activeCell="D19" sqref="A4:D19"/>
    </sheetView>
  </sheetViews>
  <sheetFormatPr defaultRowHeight="12.75" x14ac:dyDescent="0.25"/>
  <cols>
    <col min="1" max="1" width="14.7109375" style="131" customWidth="1"/>
    <col min="2" max="7" width="13.7109375" style="131" customWidth="1"/>
    <col min="8" max="11" width="37.28515625" style="131" customWidth="1"/>
    <col min="12" max="256" width="9.140625" style="131"/>
    <col min="257" max="257" width="26.5703125" style="131" customWidth="1"/>
    <col min="258" max="258" width="9.140625" style="131"/>
    <col min="259" max="259" width="16.5703125" style="131" bestFit="1" customWidth="1"/>
    <col min="260" max="260" width="11.28515625" style="131" customWidth="1"/>
    <col min="261" max="261" width="9.7109375" style="131" bestFit="1" customWidth="1"/>
    <col min="262" max="262" width="10.28515625" style="131" customWidth="1"/>
    <col min="263" max="263" width="9.85546875" style="131" customWidth="1"/>
    <col min="264" max="512" width="9.140625" style="131"/>
    <col min="513" max="513" width="26.5703125" style="131" customWidth="1"/>
    <col min="514" max="514" width="9.140625" style="131"/>
    <col min="515" max="515" width="16.5703125" style="131" bestFit="1" customWidth="1"/>
    <col min="516" max="516" width="11.28515625" style="131" customWidth="1"/>
    <col min="517" max="517" width="9.7109375" style="131" bestFit="1" customWidth="1"/>
    <col min="518" max="518" width="10.28515625" style="131" customWidth="1"/>
    <col min="519" max="519" width="9.85546875" style="131" customWidth="1"/>
    <col min="520" max="768" width="9.140625" style="131"/>
    <col min="769" max="769" width="26.5703125" style="131" customWidth="1"/>
    <col min="770" max="770" width="9.140625" style="131"/>
    <col min="771" max="771" width="16.5703125" style="131" bestFit="1" customWidth="1"/>
    <col min="772" max="772" width="11.28515625" style="131" customWidth="1"/>
    <col min="773" max="773" width="9.7109375" style="131" bestFit="1" customWidth="1"/>
    <col min="774" max="774" width="10.28515625" style="131" customWidth="1"/>
    <col min="775" max="775" width="9.85546875" style="131" customWidth="1"/>
    <col min="776" max="1024" width="9.140625" style="131"/>
    <col min="1025" max="1025" width="26.5703125" style="131" customWidth="1"/>
    <col min="1026" max="1026" width="9.140625" style="131"/>
    <col min="1027" max="1027" width="16.5703125" style="131" bestFit="1" customWidth="1"/>
    <col min="1028" max="1028" width="11.28515625" style="131" customWidth="1"/>
    <col min="1029" max="1029" width="9.7109375" style="131" bestFit="1" customWidth="1"/>
    <col min="1030" max="1030" width="10.28515625" style="131" customWidth="1"/>
    <col min="1031" max="1031" width="9.85546875" style="131" customWidth="1"/>
    <col min="1032" max="1280" width="9.140625" style="131"/>
    <col min="1281" max="1281" width="26.5703125" style="131" customWidth="1"/>
    <col min="1282" max="1282" width="9.140625" style="131"/>
    <col min="1283" max="1283" width="16.5703125" style="131" bestFit="1" customWidth="1"/>
    <col min="1284" max="1284" width="11.28515625" style="131" customWidth="1"/>
    <col min="1285" max="1285" width="9.7109375" style="131" bestFit="1" customWidth="1"/>
    <col min="1286" max="1286" width="10.28515625" style="131" customWidth="1"/>
    <col min="1287" max="1287" width="9.85546875" style="131" customWidth="1"/>
    <col min="1288" max="1536" width="9.140625" style="131"/>
    <col min="1537" max="1537" width="26.5703125" style="131" customWidth="1"/>
    <col min="1538" max="1538" width="9.140625" style="131"/>
    <col min="1539" max="1539" width="16.5703125" style="131" bestFit="1" customWidth="1"/>
    <col min="1540" max="1540" width="11.28515625" style="131" customWidth="1"/>
    <col min="1541" max="1541" width="9.7109375" style="131" bestFit="1" customWidth="1"/>
    <col min="1542" max="1542" width="10.28515625" style="131" customWidth="1"/>
    <col min="1543" max="1543" width="9.85546875" style="131" customWidth="1"/>
    <col min="1544" max="1792" width="9.140625" style="131"/>
    <col min="1793" max="1793" width="26.5703125" style="131" customWidth="1"/>
    <col min="1794" max="1794" width="9.140625" style="131"/>
    <col min="1795" max="1795" width="16.5703125" style="131" bestFit="1" customWidth="1"/>
    <col min="1796" max="1796" width="11.28515625" style="131" customWidth="1"/>
    <col min="1797" max="1797" width="9.7109375" style="131" bestFit="1" customWidth="1"/>
    <col min="1798" max="1798" width="10.28515625" style="131" customWidth="1"/>
    <col min="1799" max="1799" width="9.85546875" style="131" customWidth="1"/>
    <col min="1800" max="2048" width="9.140625" style="131"/>
    <col min="2049" max="2049" width="26.5703125" style="131" customWidth="1"/>
    <col min="2050" max="2050" width="9.140625" style="131"/>
    <col min="2051" max="2051" width="16.5703125" style="131" bestFit="1" customWidth="1"/>
    <col min="2052" max="2052" width="11.28515625" style="131" customWidth="1"/>
    <col min="2053" max="2053" width="9.7109375" style="131" bestFit="1" customWidth="1"/>
    <col min="2054" max="2054" width="10.28515625" style="131" customWidth="1"/>
    <col min="2055" max="2055" width="9.85546875" style="131" customWidth="1"/>
    <col min="2056" max="2304" width="9.140625" style="131"/>
    <col min="2305" max="2305" width="26.5703125" style="131" customWidth="1"/>
    <col min="2306" max="2306" width="9.140625" style="131"/>
    <col min="2307" max="2307" width="16.5703125" style="131" bestFit="1" customWidth="1"/>
    <col min="2308" max="2308" width="11.28515625" style="131" customWidth="1"/>
    <col min="2309" max="2309" width="9.7109375" style="131" bestFit="1" customWidth="1"/>
    <col min="2310" max="2310" width="10.28515625" style="131" customWidth="1"/>
    <col min="2311" max="2311" width="9.85546875" style="131" customWidth="1"/>
    <col min="2312" max="2560" width="9.140625" style="131"/>
    <col min="2561" max="2561" width="26.5703125" style="131" customWidth="1"/>
    <col min="2562" max="2562" width="9.140625" style="131"/>
    <col min="2563" max="2563" width="16.5703125" style="131" bestFit="1" customWidth="1"/>
    <col min="2564" max="2564" width="11.28515625" style="131" customWidth="1"/>
    <col min="2565" max="2565" width="9.7109375" style="131" bestFit="1" customWidth="1"/>
    <col min="2566" max="2566" width="10.28515625" style="131" customWidth="1"/>
    <col min="2567" max="2567" width="9.85546875" style="131" customWidth="1"/>
    <col min="2568" max="2816" width="9.140625" style="131"/>
    <col min="2817" max="2817" width="26.5703125" style="131" customWidth="1"/>
    <col min="2818" max="2818" width="9.140625" style="131"/>
    <col min="2819" max="2819" width="16.5703125" style="131" bestFit="1" customWidth="1"/>
    <col min="2820" max="2820" width="11.28515625" style="131" customWidth="1"/>
    <col min="2821" max="2821" width="9.7109375" style="131" bestFit="1" customWidth="1"/>
    <col min="2822" max="2822" width="10.28515625" style="131" customWidth="1"/>
    <col min="2823" max="2823" width="9.85546875" style="131" customWidth="1"/>
    <col min="2824" max="3072" width="9.140625" style="131"/>
    <col min="3073" max="3073" width="26.5703125" style="131" customWidth="1"/>
    <col min="3074" max="3074" width="9.140625" style="131"/>
    <col min="3075" max="3075" width="16.5703125" style="131" bestFit="1" customWidth="1"/>
    <col min="3076" max="3076" width="11.28515625" style="131" customWidth="1"/>
    <col min="3077" max="3077" width="9.7109375" style="131" bestFit="1" customWidth="1"/>
    <col min="3078" max="3078" width="10.28515625" style="131" customWidth="1"/>
    <col min="3079" max="3079" width="9.85546875" style="131" customWidth="1"/>
    <col min="3080" max="3328" width="9.140625" style="131"/>
    <col min="3329" max="3329" width="26.5703125" style="131" customWidth="1"/>
    <col min="3330" max="3330" width="9.140625" style="131"/>
    <col min="3331" max="3331" width="16.5703125" style="131" bestFit="1" customWidth="1"/>
    <col min="3332" max="3332" width="11.28515625" style="131" customWidth="1"/>
    <col min="3333" max="3333" width="9.7109375" style="131" bestFit="1" customWidth="1"/>
    <col min="3334" max="3334" width="10.28515625" style="131" customWidth="1"/>
    <col min="3335" max="3335" width="9.85546875" style="131" customWidth="1"/>
    <col min="3336" max="3584" width="9.140625" style="131"/>
    <col min="3585" max="3585" width="26.5703125" style="131" customWidth="1"/>
    <col min="3586" max="3586" width="9.140625" style="131"/>
    <col min="3587" max="3587" width="16.5703125" style="131" bestFit="1" customWidth="1"/>
    <col min="3588" max="3588" width="11.28515625" style="131" customWidth="1"/>
    <col min="3589" max="3589" width="9.7109375" style="131" bestFit="1" customWidth="1"/>
    <col min="3590" max="3590" width="10.28515625" style="131" customWidth="1"/>
    <col min="3591" max="3591" width="9.85546875" style="131" customWidth="1"/>
    <col min="3592" max="3840" width="9.140625" style="131"/>
    <col min="3841" max="3841" width="26.5703125" style="131" customWidth="1"/>
    <col min="3842" max="3842" width="9.140625" style="131"/>
    <col min="3843" max="3843" width="16.5703125" style="131" bestFit="1" customWidth="1"/>
    <col min="3844" max="3844" width="11.28515625" style="131" customWidth="1"/>
    <col min="3845" max="3845" width="9.7109375" style="131" bestFit="1" customWidth="1"/>
    <col min="3846" max="3846" width="10.28515625" style="131" customWidth="1"/>
    <col min="3847" max="3847" width="9.85546875" style="131" customWidth="1"/>
    <col min="3848" max="4096" width="9.140625" style="131"/>
    <col min="4097" max="4097" width="26.5703125" style="131" customWidth="1"/>
    <col min="4098" max="4098" width="9.140625" style="131"/>
    <col min="4099" max="4099" width="16.5703125" style="131" bestFit="1" customWidth="1"/>
    <col min="4100" max="4100" width="11.28515625" style="131" customWidth="1"/>
    <col min="4101" max="4101" width="9.7109375" style="131" bestFit="1" customWidth="1"/>
    <col min="4102" max="4102" width="10.28515625" style="131" customWidth="1"/>
    <col min="4103" max="4103" width="9.85546875" style="131" customWidth="1"/>
    <col min="4104" max="4352" width="9.140625" style="131"/>
    <col min="4353" max="4353" width="26.5703125" style="131" customWidth="1"/>
    <col min="4354" max="4354" width="9.140625" style="131"/>
    <col min="4355" max="4355" width="16.5703125" style="131" bestFit="1" customWidth="1"/>
    <col min="4356" max="4356" width="11.28515625" style="131" customWidth="1"/>
    <col min="4357" max="4357" width="9.7109375" style="131" bestFit="1" customWidth="1"/>
    <col min="4358" max="4358" width="10.28515625" style="131" customWidth="1"/>
    <col min="4359" max="4359" width="9.85546875" style="131" customWidth="1"/>
    <col min="4360" max="4608" width="9.140625" style="131"/>
    <col min="4609" max="4609" width="26.5703125" style="131" customWidth="1"/>
    <col min="4610" max="4610" width="9.140625" style="131"/>
    <col min="4611" max="4611" width="16.5703125" style="131" bestFit="1" customWidth="1"/>
    <col min="4612" max="4612" width="11.28515625" style="131" customWidth="1"/>
    <col min="4613" max="4613" width="9.7109375" style="131" bestFit="1" customWidth="1"/>
    <col min="4614" max="4614" width="10.28515625" style="131" customWidth="1"/>
    <col min="4615" max="4615" width="9.85546875" style="131" customWidth="1"/>
    <col min="4616" max="4864" width="9.140625" style="131"/>
    <col min="4865" max="4865" width="26.5703125" style="131" customWidth="1"/>
    <col min="4866" max="4866" width="9.140625" style="131"/>
    <col min="4867" max="4867" width="16.5703125" style="131" bestFit="1" customWidth="1"/>
    <col min="4868" max="4868" width="11.28515625" style="131" customWidth="1"/>
    <col min="4869" max="4869" width="9.7109375" style="131" bestFit="1" customWidth="1"/>
    <col min="4870" max="4870" width="10.28515625" style="131" customWidth="1"/>
    <col min="4871" max="4871" width="9.85546875" style="131" customWidth="1"/>
    <col min="4872" max="5120" width="9.140625" style="131"/>
    <col min="5121" max="5121" width="26.5703125" style="131" customWidth="1"/>
    <col min="5122" max="5122" width="9.140625" style="131"/>
    <col min="5123" max="5123" width="16.5703125" style="131" bestFit="1" customWidth="1"/>
    <col min="5124" max="5124" width="11.28515625" style="131" customWidth="1"/>
    <col min="5125" max="5125" width="9.7109375" style="131" bestFit="1" customWidth="1"/>
    <col min="5126" max="5126" width="10.28515625" style="131" customWidth="1"/>
    <col min="5127" max="5127" width="9.85546875" style="131" customWidth="1"/>
    <col min="5128" max="5376" width="9.140625" style="131"/>
    <col min="5377" max="5377" width="26.5703125" style="131" customWidth="1"/>
    <col min="5378" max="5378" width="9.140625" style="131"/>
    <col min="5379" max="5379" width="16.5703125" style="131" bestFit="1" customWidth="1"/>
    <col min="5380" max="5380" width="11.28515625" style="131" customWidth="1"/>
    <col min="5381" max="5381" width="9.7109375" style="131" bestFit="1" customWidth="1"/>
    <col min="5382" max="5382" width="10.28515625" style="131" customWidth="1"/>
    <col min="5383" max="5383" width="9.85546875" style="131" customWidth="1"/>
    <col min="5384" max="5632" width="9.140625" style="131"/>
    <col min="5633" max="5633" width="26.5703125" style="131" customWidth="1"/>
    <col min="5634" max="5634" width="9.140625" style="131"/>
    <col min="5635" max="5635" width="16.5703125" style="131" bestFit="1" customWidth="1"/>
    <col min="5636" max="5636" width="11.28515625" style="131" customWidth="1"/>
    <col min="5637" max="5637" width="9.7109375" style="131" bestFit="1" customWidth="1"/>
    <col min="5638" max="5638" width="10.28515625" style="131" customWidth="1"/>
    <col min="5639" max="5639" width="9.85546875" style="131" customWidth="1"/>
    <col min="5640" max="5888" width="9.140625" style="131"/>
    <col min="5889" max="5889" width="26.5703125" style="131" customWidth="1"/>
    <col min="5890" max="5890" width="9.140625" style="131"/>
    <col min="5891" max="5891" width="16.5703125" style="131" bestFit="1" customWidth="1"/>
    <col min="5892" max="5892" width="11.28515625" style="131" customWidth="1"/>
    <col min="5893" max="5893" width="9.7109375" style="131" bestFit="1" customWidth="1"/>
    <col min="5894" max="5894" width="10.28515625" style="131" customWidth="1"/>
    <col min="5895" max="5895" width="9.85546875" style="131" customWidth="1"/>
    <col min="5896" max="6144" width="9.140625" style="131"/>
    <col min="6145" max="6145" width="26.5703125" style="131" customWidth="1"/>
    <col min="6146" max="6146" width="9.140625" style="131"/>
    <col min="6147" max="6147" width="16.5703125" style="131" bestFit="1" customWidth="1"/>
    <col min="6148" max="6148" width="11.28515625" style="131" customWidth="1"/>
    <col min="6149" max="6149" width="9.7109375" style="131" bestFit="1" customWidth="1"/>
    <col min="6150" max="6150" width="10.28515625" style="131" customWidth="1"/>
    <col min="6151" max="6151" width="9.85546875" style="131" customWidth="1"/>
    <col min="6152" max="6400" width="9.140625" style="131"/>
    <col min="6401" max="6401" width="26.5703125" style="131" customWidth="1"/>
    <col min="6402" max="6402" width="9.140625" style="131"/>
    <col min="6403" max="6403" width="16.5703125" style="131" bestFit="1" customWidth="1"/>
    <col min="6404" max="6404" width="11.28515625" style="131" customWidth="1"/>
    <col min="6405" max="6405" width="9.7109375" style="131" bestFit="1" customWidth="1"/>
    <col min="6406" max="6406" width="10.28515625" style="131" customWidth="1"/>
    <col min="6407" max="6407" width="9.85546875" style="131" customWidth="1"/>
    <col min="6408" max="6656" width="9.140625" style="131"/>
    <col min="6657" max="6657" width="26.5703125" style="131" customWidth="1"/>
    <col min="6658" max="6658" width="9.140625" style="131"/>
    <col min="6659" max="6659" width="16.5703125" style="131" bestFit="1" customWidth="1"/>
    <col min="6660" max="6660" width="11.28515625" style="131" customWidth="1"/>
    <col min="6661" max="6661" width="9.7109375" style="131" bestFit="1" customWidth="1"/>
    <col min="6662" max="6662" width="10.28515625" style="131" customWidth="1"/>
    <col min="6663" max="6663" width="9.85546875" style="131" customWidth="1"/>
    <col min="6664" max="6912" width="9.140625" style="131"/>
    <col min="6913" max="6913" width="26.5703125" style="131" customWidth="1"/>
    <col min="6914" max="6914" width="9.140625" style="131"/>
    <col min="6915" max="6915" width="16.5703125" style="131" bestFit="1" customWidth="1"/>
    <col min="6916" max="6916" width="11.28515625" style="131" customWidth="1"/>
    <col min="6917" max="6917" width="9.7109375" style="131" bestFit="1" customWidth="1"/>
    <col min="6918" max="6918" width="10.28515625" style="131" customWidth="1"/>
    <col min="6919" max="6919" width="9.85546875" style="131" customWidth="1"/>
    <col min="6920" max="7168" width="9.140625" style="131"/>
    <col min="7169" max="7169" width="26.5703125" style="131" customWidth="1"/>
    <col min="7170" max="7170" width="9.140625" style="131"/>
    <col min="7171" max="7171" width="16.5703125" style="131" bestFit="1" customWidth="1"/>
    <col min="7172" max="7172" width="11.28515625" style="131" customWidth="1"/>
    <col min="7173" max="7173" width="9.7109375" style="131" bestFit="1" customWidth="1"/>
    <col min="7174" max="7174" width="10.28515625" style="131" customWidth="1"/>
    <col min="7175" max="7175" width="9.85546875" style="131" customWidth="1"/>
    <col min="7176" max="7424" width="9.140625" style="131"/>
    <col min="7425" max="7425" width="26.5703125" style="131" customWidth="1"/>
    <col min="7426" max="7426" width="9.140625" style="131"/>
    <col min="7427" max="7427" width="16.5703125" style="131" bestFit="1" customWidth="1"/>
    <col min="7428" max="7428" width="11.28515625" style="131" customWidth="1"/>
    <col min="7429" max="7429" width="9.7109375" style="131" bestFit="1" customWidth="1"/>
    <col min="7430" max="7430" width="10.28515625" style="131" customWidth="1"/>
    <col min="7431" max="7431" width="9.85546875" style="131" customWidth="1"/>
    <col min="7432" max="7680" width="9.140625" style="131"/>
    <col min="7681" max="7681" width="26.5703125" style="131" customWidth="1"/>
    <col min="7682" max="7682" width="9.140625" style="131"/>
    <col min="7683" max="7683" width="16.5703125" style="131" bestFit="1" customWidth="1"/>
    <col min="7684" max="7684" width="11.28515625" style="131" customWidth="1"/>
    <col min="7685" max="7685" width="9.7109375" style="131" bestFit="1" customWidth="1"/>
    <col min="7686" max="7686" width="10.28515625" style="131" customWidth="1"/>
    <col min="7687" max="7687" width="9.85546875" style="131" customWidth="1"/>
    <col min="7688" max="7936" width="9.140625" style="131"/>
    <col min="7937" max="7937" width="26.5703125" style="131" customWidth="1"/>
    <col min="7938" max="7938" width="9.140625" style="131"/>
    <col min="7939" max="7939" width="16.5703125" style="131" bestFit="1" customWidth="1"/>
    <col min="7940" max="7940" width="11.28515625" style="131" customWidth="1"/>
    <col min="7941" max="7941" width="9.7109375" style="131" bestFit="1" customWidth="1"/>
    <col min="7942" max="7942" width="10.28515625" style="131" customWidth="1"/>
    <col min="7943" max="7943" width="9.85546875" style="131" customWidth="1"/>
    <col min="7944" max="8192" width="9.140625" style="131"/>
    <col min="8193" max="8193" width="26.5703125" style="131" customWidth="1"/>
    <col min="8194" max="8194" width="9.140625" style="131"/>
    <col min="8195" max="8195" width="16.5703125" style="131" bestFit="1" customWidth="1"/>
    <col min="8196" max="8196" width="11.28515625" style="131" customWidth="1"/>
    <col min="8197" max="8197" width="9.7109375" style="131" bestFit="1" customWidth="1"/>
    <col min="8198" max="8198" width="10.28515625" style="131" customWidth="1"/>
    <col min="8199" max="8199" width="9.85546875" style="131" customWidth="1"/>
    <col min="8200" max="8448" width="9.140625" style="131"/>
    <col min="8449" max="8449" width="26.5703125" style="131" customWidth="1"/>
    <col min="8450" max="8450" width="9.140625" style="131"/>
    <col min="8451" max="8451" width="16.5703125" style="131" bestFit="1" customWidth="1"/>
    <col min="8452" max="8452" width="11.28515625" style="131" customWidth="1"/>
    <col min="8453" max="8453" width="9.7109375" style="131" bestFit="1" customWidth="1"/>
    <col min="8454" max="8454" width="10.28515625" style="131" customWidth="1"/>
    <col min="8455" max="8455" width="9.85546875" style="131" customWidth="1"/>
    <col min="8456" max="8704" width="9.140625" style="131"/>
    <col min="8705" max="8705" width="26.5703125" style="131" customWidth="1"/>
    <col min="8706" max="8706" width="9.140625" style="131"/>
    <col min="8707" max="8707" width="16.5703125" style="131" bestFit="1" customWidth="1"/>
    <col min="8708" max="8708" width="11.28515625" style="131" customWidth="1"/>
    <col min="8709" max="8709" width="9.7109375" style="131" bestFit="1" customWidth="1"/>
    <col min="8710" max="8710" width="10.28515625" style="131" customWidth="1"/>
    <col min="8711" max="8711" width="9.85546875" style="131" customWidth="1"/>
    <col min="8712" max="8960" width="9.140625" style="131"/>
    <col min="8961" max="8961" width="26.5703125" style="131" customWidth="1"/>
    <col min="8962" max="8962" width="9.140625" style="131"/>
    <col min="8963" max="8963" width="16.5703125" style="131" bestFit="1" customWidth="1"/>
    <col min="8964" max="8964" width="11.28515625" style="131" customWidth="1"/>
    <col min="8965" max="8965" width="9.7109375" style="131" bestFit="1" customWidth="1"/>
    <col min="8966" max="8966" width="10.28515625" style="131" customWidth="1"/>
    <col min="8967" max="8967" width="9.85546875" style="131" customWidth="1"/>
    <col min="8968" max="9216" width="9.140625" style="131"/>
    <col min="9217" max="9217" width="26.5703125" style="131" customWidth="1"/>
    <col min="9218" max="9218" width="9.140625" style="131"/>
    <col min="9219" max="9219" width="16.5703125" style="131" bestFit="1" customWidth="1"/>
    <col min="9220" max="9220" width="11.28515625" style="131" customWidth="1"/>
    <col min="9221" max="9221" width="9.7109375" style="131" bestFit="1" customWidth="1"/>
    <col min="9222" max="9222" width="10.28515625" style="131" customWidth="1"/>
    <col min="9223" max="9223" width="9.85546875" style="131" customWidth="1"/>
    <col min="9224" max="9472" width="9.140625" style="131"/>
    <col min="9473" max="9473" width="26.5703125" style="131" customWidth="1"/>
    <col min="9474" max="9474" width="9.140625" style="131"/>
    <col min="9475" max="9475" width="16.5703125" style="131" bestFit="1" customWidth="1"/>
    <col min="9476" max="9476" width="11.28515625" style="131" customWidth="1"/>
    <col min="9477" max="9477" width="9.7109375" style="131" bestFit="1" customWidth="1"/>
    <col min="9478" max="9478" width="10.28515625" style="131" customWidth="1"/>
    <col min="9479" max="9479" width="9.85546875" style="131" customWidth="1"/>
    <col min="9480" max="9728" width="9.140625" style="131"/>
    <col min="9729" max="9729" width="26.5703125" style="131" customWidth="1"/>
    <col min="9730" max="9730" width="9.140625" style="131"/>
    <col min="9731" max="9731" width="16.5703125" style="131" bestFit="1" customWidth="1"/>
    <col min="9732" max="9732" width="11.28515625" style="131" customWidth="1"/>
    <col min="9733" max="9733" width="9.7109375" style="131" bestFit="1" customWidth="1"/>
    <col min="9734" max="9734" width="10.28515625" style="131" customWidth="1"/>
    <col min="9735" max="9735" width="9.85546875" style="131" customWidth="1"/>
    <col min="9736" max="9984" width="9.140625" style="131"/>
    <col min="9985" max="9985" width="26.5703125" style="131" customWidth="1"/>
    <col min="9986" max="9986" width="9.140625" style="131"/>
    <col min="9987" max="9987" width="16.5703125" style="131" bestFit="1" customWidth="1"/>
    <col min="9988" max="9988" width="11.28515625" style="131" customWidth="1"/>
    <col min="9989" max="9989" width="9.7109375" style="131" bestFit="1" customWidth="1"/>
    <col min="9990" max="9990" width="10.28515625" style="131" customWidth="1"/>
    <col min="9991" max="9991" width="9.85546875" style="131" customWidth="1"/>
    <col min="9992" max="10240" width="9.140625" style="131"/>
    <col min="10241" max="10241" width="26.5703125" style="131" customWidth="1"/>
    <col min="10242" max="10242" width="9.140625" style="131"/>
    <col min="10243" max="10243" width="16.5703125" style="131" bestFit="1" customWidth="1"/>
    <col min="10244" max="10244" width="11.28515625" style="131" customWidth="1"/>
    <col min="10245" max="10245" width="9.7109375" style="131" bestFit="1" customWidth="1"/>
    <col min="10246" max="10246" width="10.28515625" style="131" customWidth="1"/>
    <col min="10247" max="10247" width="9.85546875" style="131" customWidth="1"/>
    <col min="10248" max="10496" width="9.140625" style="131"/>
    <col min="10497" max="10497" width="26.5703125" style="131" customWidth="1"/>
    <col min="10498" max="10498" width="9.140625" style="131"/>
    <col min="10499" max="10499" width="16.5703125" style="131" bestFit="1" customWidth="1"/>
    <col min="10500" max="10500" width="11.28515625" style="131" customWidth="1"/>
    <col min="10501" max="10501" width="9.7109375" style="131" bestFit="1" customWidth="1"/>
    <col min="10502" max="10502" width="10.28515625" style="131" customWidth="1"/>
    <col min="10503" max="10503" width="9.85546875" style="131" customWidth="1"/>
    <col min="10504" max="10752" width="9.140625" style="131"/>
    <col min="10753" max="10753" width="26.5703125" style="131" customWidth="1"/>
    <col min="10754" max="10754" width="9.140625" style="131"/>
    <col min="10755" max="10755" width="16.5703125" style="131" bestFit="1" customWidth="1"/>
    <col min="10756" max="10756" width="11.28515625" style="131" customWidth="1"/>
    <col min="10757" max="10757" width="9.7109375" style="131" bestFit="1" customWidth="1"/>
    <col min="10758" max="10758" width="10.28515625" style="131" customWidth="1"/>
    <col min="10759" max="10759" width="9.85546875" style="131" customWidth="1"/>
    <col min="10760" max="11008" width="9.140625" style="131"/>
    <col min="11009" max="11009" width="26.5703125" style="131" customWidth="1"/>
    <col min="11010" max="11010" width="9.140625" style="131"/>
    <col min="11011" max="11011" width="16.5703125" style="131" bestFit="1" customWidth="1"/>
    <col min="11012" max="11012" width="11.28515625" style="131" customWidth="1"/>
    <col min="11013" max="11013" width="9.7109375" style="131" bestFit="1" customWidth="1"/>
    <col min="11014" max="11014" width="10.28515625" style="131" customWidth="1"/>
    <col min="11015" max="11015" width="9.85546875" style="131" customWidth="1"/>
    <col min="11016" max="11264" width="9.140625" style="131"/>
    <col min="11265" max="11265" width="26.5703125" style="131" customWidth="1"/>
    <col min="11266" max="11266" width="9.140625" style="131"/>
    <col min="11267" max="11267" width="16.5703125" style="131" bestFit="1" customWidth="1"/>
    <col min="11268" max="11268" width="11.28515625" style="131" customWidth="1"/>
    <col min="11269" max="11269" width="9.7109375" style="131" bestFit="1" customWidth="1"/>
    <col min="11270" max="11270" width="10.28515625" style="131" customWidth="1"/>
    <col min="11271" max="11271" width="9.85546875" style="131" customWidth="1"/>
    <col min="11272" max="11520" width="9.140625" style="131"/>
    <col min="11521" max="11521" width="26.5703125" style="131" customWidth="1"/>
    <col min="11522" max="11522" width="9.140625" style="131"/>
    <col min="11523" max="11523" width="16.5703125" style="131" bestFit="1" customWidth="1"/>
    <col min="11524" max="11524" width="11.28515625" style="131" customWidth="1"/>
    <col min="11525" max="11525" width="9.7109375" style="131" bestFit="1" customWidth="1"/>
    <col min="11526" max="11526" width="10.28515625" style="131" customWidth="1"/>
    <col min="11527" max="11527" width="9.85546875" style="131" customWidth="1"/>
    <col min="11528" max="11776" width="9.140625" style="131"/>
    <col min="11777" max="11777" width="26.5703125" style="131" customWidth="1"/>
    <col min="11778" max="11778" width="9.140625" style="131"/>
    <col min="11779" max="11779" width="16.5703125" style="131" bestFit="1" customWidth="1"/>
    <col min="11780" max="11780" width="11.28515625" style="131" customWidth="1"/>
    <col min="11781" max="11781" width="9.7109375" style="131" bestFit="1" customWidth="1"/>
    <col min="11782" max="11782" width="10.28515625" style="131" customWidth="1"/>
    <col min="11783" max="11783" width="9.85546875" style="131" customWidth="1"/>
    <col min="11784" max="12032" width="9.140625" style="131"/>
    <col min="12033" max="12033" width="26.5703125" style="131" customWidth="1"/>
    <col min="12034" max="12034" width="9.140625" style="131"/>
    <col min="12035" max="12035" width="16.5703125" style="131" bestFit="1" customWidth="1"/>
    <col min="12036" max="12036" width="11.28515625" style="131" customWidth="1"/>
    <col min="12037" max="12037" width="9.7109375" style="131" bestFit="1" customWidth="1"/>
    <col min="12038" max="12038" width="10.28515625" style="131" customWidth="1"/>
    <col min="12039" max="12039" width="9.85546875" style="131" customWidth="1"/>
    <col min="12040" max="12288" width="9.140625" style="131"/>
    <col min="12289" max="12289" width="26.5703125" style="131" customWidth="1"/>
    <col min="12290" max="12290" width="9.140625" style="131"/>
    <col min="12291" max="12291" width="16.5703125" style="131" bestFit="1" customWidth="1"/>
    <col min="12292" max="12292" width="11.28515625" style="131" customWidth="1"/>
    <col min="12293" max="12293" width="9.7109375" style="131" bestFit="1" customWidth="1"/>
    <col min="12294" max="12294" width="10.28515625" style="131" customWidth="1"/>
    <col min="12295" max="12295" width="9.85546875" style="131" customWidth="1"/>
    <col min="12296" max="12544" width="9.140625" style="131"/>
    <col min="12545" max="12545" width="26.5703125" style="131" customWidth="1"/>
    <col min="12546" max="12546" width="9.140625" style="131"/>
    <col min="12547" max="12547" width="16.5703125" style="131" bestFit="1" customWidth="1"/>
    <col min="12548" max="12548" width="11.28515625" style="131" customWidth="1"/>
    <col min="12549" max="12549" width="9.7109375" style="131" bestFit="1" customWidth="1"/>
    <col min="12550" max="12550" width="10.28515625" style="131" customWidth="1"/>
    <col min="12551" max="12551" width="9.85546875" style="131" customWidth="1"/>
    <col min="12552" max="12800" width="9.140625" style="131"/>
    <col min="12801" max="12801" width="26.5703125" style="131" customWidth="1"/>
    <col min="12802" max="12802" width="9.140625" style="131"/>
    <col min="12803" max="12803" width="16.5703125" style="131" bestFit="1" customWidth="1"/>
    <col min="12804" max="12804" width="11.28515625" style="131" customWidth="1"/>
    <col min="12805" max="12805" width="9.7109375" style="131" bestFit="1" customWidth="1"/>
    <col min="12806" max="12806" width="10.28515625" style="131" customWidth="1"/>
    <col min="12807" max="12807" width="9.85546875" style="131" customWidth="1"/>
    <col min="12808" max="13056" width="9.140625" style="131"/>
    <col min="13057" max="13057" width="26.5703125" style="131" customWidth="1"/>
    <col min="13058" max="13058" width="9.140625" style="131"/>
    <col min="13059" max="13059" width="16.5703125" style="131" bestFit="1" customWidth="1"/>
    <col min="13060" max="13060" width="11.28515625" style="131" customWidth="1"/>
    <col min="13061" max="13061" width="9.7109375" style="131" bestFit="1" customWidth="1"/>
    <col min="13062" max="13062" width="10.28515625" style="131" customWidth="1"/>
    <col min="13063" max="13063" width="9.85546875" style="131" customWidth="1"/>
    <col min="13064" max="13312" width="9.140625" style="131"/>
    <col min="13313" max="13313" width="26.5703125" style="131" customWidth="1"/>
    <col min="13314" max="13314" width="9.140625" style="131"/>
    <col min="13315" max="13315" width="16.5703125" style="131" bestFit="1" customWidth="1"/>
    <col min="13316" max="13316" width="11.28515625" style="131" customWidth="1"/>
    <col min="13317" max="13317" width="9.7109375" style="131" bestFit="1" customWidth="1"/>
    <col min="13318" max="13318" width="10.28515625" style="131" customWidth="1"/>
    <col min="13319" max="13319" width="9.85546875" style="131" customWidth="1"/>
    <col min="13320" max="13568" width="9.140625" style="131"/>
    <col min="13569" max="13569" width="26.5703125" style="131" customWidth="1"/>
    <col min="13570" max="13570" width="9.140625" style="131"/>
    <col min="13571" max="13571" width="16.5703125" style="131" bestFit="1" customWidth="1"/>
    <col min="13572" max="13572" width="11.28515625" style="131" customWidth="1"/>
    <col min="13573" max="13573" width="9.7109375" style="131" bestFit="1" customWidth="1"/>
    <col min="13574" max="13574" width="10.28515625" style="131" customWidth="1"/>
    <col min="13575" max="13575" width="9.85546875" style="131" customWidth="1"/>
    <col min="13576" max="13824" width="9.140625" style="131"/>
    <col min="13825" max="13825" width="26.5703125" style="131" customWidth="1"/>
    <col min="13826" max="13826" width="9.140625" style="131"/>
    <col min="13827" max="13827" width="16.5703125" style="131" bestFit="1" customWidth="1"/>
    <col min="13828" max="13828" width="11.28515625" style="131" customWidth="1"/>
    <col min="13829" max="13829" width="9.7109375" style="131" bestFit="1" customWidth="1"/>
    <col min="13830" max="13830" width="10.28515625" style="131" customWidth="1"/>
    <col min="13831" max="13831" width="9.85546875" style="131" customWidth="1"/>
    <col min="13832" max="14080" width="9.140625" style="131"/>
    <col min="14081" max="14081" width="26.5703125" style="131" customWidth="1"/>
    <col min="14082" max="14082" width="9.140625" style="131"/>
    <col min="14083" max="14083" width="16.5703125" style="131" bestFit="1" customWidth="1"/>
    <col min="14084" max="14084" width="11.28515625" style="131" customWidth="1"/>
    <col min="14085" max="14085" width="9.7109375" style="131" bestFit="1" customWidth="1"/>
    <col min="14086" max="14086" width="10.28515625" style="131" customWidth="1"/>
    <col min="14087" max="14087" width="9.85546875" style="131" customWidth="1"/>
    <col min="14088" max="14336" width="9.140625" style="131"/>
    <col min="14337" max="14337" width="26.5703125" style="131" customWidth="1"/>
    <col min="14338" max="14338" width="9.140625" style="131"/>
    <col min="14339" max="14339" width="16.5703125" style="131" bestFit="1" customWidth="1"/>
    <col min="14340" max="14340" width="11.28515625" style="131" customWidth="1"/>
    <col min="14341" max="14341" width="9.7109375" style="131" bestFit="1" customWidth="1"/>
    <col min="14342" max="14342" width="10.28515625" style="131" customWidth="1"/>
    <col min="14343" max="14343" width="9.85546875" style="131" customWidth="1"/>
    <col min="14344" max="14592" width="9.140625" style="131"/>
    <col min="14593" max="14593" width="26.5703125" style="131" customWidth="1"/>
    <col min="14594" max="14594" width="9.140625" style="131"/>
    <col min="14595" max="14595" width="16.5703125" style="131" bestFit="1" customWidth="1"/>
    <col min="14596" max="14596" width="11.28515625" style="131" customWidth="1"/>
    <col min="14597" max="14597" width="9.7109375" style="131" bestFit="1" customWidth="1"/>
    <col min="14598" max="14598" width="10.28515625" style="131" customWidth="1"/>
    <col min="14599" max="14599" width="9.85546875" style="131" customWidth="1"/>
    <col min="14600" max="14848" width="9.140625" style="131"/>
    <col min="14849" max="14849" width="26.5703125" style="131" customWidth="1"/>
    <col min="14850" max="14850" width="9.140625" style="131"/>
    <col min="14851" max="14851" width="16.5703125" style="131" bestFit="1" customWidth="1"/>
    <col min="14852" max="14852" width="11.28515625" style="131" customWidth="1"/>
    <col min="14853" max="14853" width="9.7109375" style="131" bestFit="1" customWidth="1"/>
    <col min="14854" max="14854" width="10.28515625" style="131" customWidth="1"/>
    <col min="14855" max="14855" width="9.85546875" style="131" customWidth="1"/>
    <col min="14856" max="15104" width="9.140625" style="131"/>
    <col min="15105" max="15105" width="26.5703125" style="131" customWidth="1"/>
    <col min="15106" max="15106" width="9.140625" style="131"/>
    <col min="15107" max="15107" width="16.5703125" style="131" bestFit="1" customWidth="1"/>
    <col min="15108" max="15108" width="11.28515625" style="131" customWidth="1"/>
    <col min="15109" max="15109" width="9.7109375" style="131" bestFit="1" customWidth="1"/>
    <col min="15110" max="15110" width="10.28515625" style="131" customWidth="1"/>
    <col min="15111" max="15111" width="9.85546875" style="131" customWidth="1"/>
    <col min="15112" max="15360" width="9.140625" style="131"/>
    <col min="15361" max="15361" width="26.5703125" style="131" customWidth="1"/>
    <col min="15362" max="15362" width="9.140625" style="131"/>
    <col min="15363" max="15363" width="16.5703125" style="131" bestFit="1" customWidth="1"/>
    <col min="15364" max="15364" width="11.28515625" style="131" customWidth="1"/>
    <col min="15365" max="15365" width="9.7109375" style="131" bestFit="1" customWidth="1"/>
    <col min="15366" max="15366" width="10.28515625" style="131" customWidth="1"/>
    <col min="15367" max="15367" width="9.85546875" style="131" customWidth="1"/>
    <col min="15368" max="15616" width="9.140625" style="131"/>
    <col min="15617" max="15617" width="26.5703125" style="131" customWidth="1"/>
    <col min="15618" max="15618" width="9.140625" style="131"/>
    <col min="15619" max="15619" width="16.5703125" style="131" bestFit="1" customWidth="1"/>
    <col min="15620" max="15620" width="11.28515625" style="131" customWidth="1"/>
    <col min="15621" max="15621" width="9.7109375" style="131" bestFit="1" customWidth="1"/>
    <col min="15622" max="15622" width="10.28515625" style="131" customWidth="1"/>
    <col min="15623" max="15623" width="9.85546875" style="131" customWidth="1"/>
    <col min="15624" max="15872" width="9.140625" style="131"/>
    <col min="15873" max="15873" width="26.5703125" style="131" customWidth="1"/>
    <col min="15874" max="15874" width="9.140625" style="131"/>
    <col min="15875" max="15875" width="16.5703125" style="131" bestFit="1" customWidth="1"/>
    <col min="15876" max="15876" width="11.28515625" style="131" customWidth="1"/>
    <col min="15877" max="15877" width="9.7109375" style="131" bestFit="1" customWidth="1"/>
    <col min="15878" max="15878" width="10.28515625" style="131" customWidth="1"/>
    <col min="15879" max="15879" width="9.85546875" style="131" customWidth="1"/>
    <col min="15880" max="16128" width="9.140625" style="131"/>
    <col min="16129" max="16129" width="26.5703125" style="131" customWidth="1"/>
    <col min="16130" max="16130" width="9.140625" style="131"/>
    <col min="16131" max="16131" width="16.5703125" style="131" bestFit="1" customWidth="1"/>
    <col min="16132" max="16132" width="11.28515625" style="131" customWidth="1"/>
    <col min="16133" max="16133" width="9.7109375" style="131" bestFit="1" customWidth="1"/>
    <col min="16134" max="16134" width="10.28515625" style="131" customWidth="1"/>
    <col min="16135" max="16135" width="9.85546875" style="131" customWidth="1"/>
    <col min="16136" max="16384" width="9.140625" style="131"/>
  </cols>
  <sheetData>
    <row r="1" spans="1:7" ht="28.5" customHeight="1" x14ac:dyDescent="0.25">
      <c r="A1" s="311" t="s">
        <v>195</v>
      </c>
      <c r="B1" s="311"/>
      <c r="C1" s="311"/>
      <c r="D1" s="311"/>
    </row>
    <row r="2" spans="1:7" ht="28.5" customHeight="1" x14ac:dyDescent="0.25">
      <c r="A2" s="314" t="s">
        <v>164</v>
      </c>
      <c r="B2" s="314"/>
      <c r="C2" s="314"/>
      <c r="D2" s="314"/>
    </row>
    <row r="3" spans="1:7" ht="28.5" customHeight="1" x14ac:dyDescent="0.25">
      <c r="A3" s="315" t="s">
        <v>124</v>
      </c>
      <c r="B3" s="316"/>
      <c r="C3" s="316"/>
      <c r="D3" s="317"/>
    </row>
    <row r="4" spans="1:7" ht="28.5" customHeight="1" x14ac:dyDescent="0.25">
      <c r="A4" s="311" t="s">
        <v>125</v>
      </c>
      <c r="B4" s="196">
        <v>1</v>
      </c>
      <c r="C4" s="196">
        <v>2</v>
      </c>
      <c r="D4" s="196" t="s">
        <v>126</v>
      </c>
      <c r="E4" s="133"/>
      <c r="F4" s="133"/>
      <c r="G4" s="134"/>
    </row>
    <row r="5" spans="1:7" ht="28.5" customHeight="1" x14ac:dyDescent="0.25">
      <c r="A5" s="311"/>
      <c r="B5" s="196" t="s">
        <v>127</v>
      </c>
      <c r="C5" s="196" t="s">
        <v>128</v>
      </c>
      <c r="D5" s="196" t="s">
        <v>129</v>
      </c>
      <c r="E5" s="133"/>
      <c r="F5" s="133"/>
      <c r="G5" s="134"/>
    </row>
    <row r="6" spans="1:7" ht="28.5" customHeight="1" x14ac:dyDescent="0.25">
      <c r="A6" s="311"/>
      <c r="B6" s="196" t="s">
        <v>130</v>
      </c>
      <c r="C6" s="196" t="s">
        <v>131</v>
      </c>
      <c r="D6" s="196" t="s">
        <v>132</v>
      </c>
      <c r="E6" s="133"/>
      <c r="F6" s="133"/>
      <c r="G6" s="134"/>
    </row>
    <row r="7" spans="1:7" ht="28.5" customHeight="1" x14ac:dyDescent="0.25">
      <c r="A7" s="314" t="s">
        <v>133</v>
      </c>
      <c r="B7" s="314"/>
      <c r="C7" s="314"/>
      <c r="D7" s="314"/>
    </row>
    <row r="8" spans="1:7" ht="28.5" customHeight="1" x14ac:dyDescent="0.25">
      <c r="A8" s="144" t="s">
        <v>135</v>
      </c>
      <c r="B8" s="135" t="s">
        <v>136</v>
      </c>
      <c r="C8" s="113">
        <f>'G1 GUR - TO Servente'!G105</f>
        <v>6573.2754522053383</v>
      </c>
      <c r="D8" s="113">
        <f>(1/1200)*C8</f>
        <v>5.4777295435044486</v>
      </c>
      <c r="E8" s="136"/>
      <c r="F8" s="136"/>
    </row>
    <row r="9" spans="1:7" ht="28.5" customHeight="1" x14ac:dyDescent="0.25">
      <c r="A9" s="307" t="s">
        <v>158</v>
      </c>
      <c r="B9" s="307"/>
      <c r="C9" s="307"/>
      <c r="D9" s="137">
        <f>SUM(D8:D8)</f>
        <v>5.4777295435044486</v>
      </c>
      <c r="E9" s="136"/>
      <c r="F9" s="136"/>
    </row>
    <row r="10" spans="1:7" ht="28.5" customHeight="1" x14ac:dyDescent="0.25">
      <c r="A10" s="314" t="s">
        <v>139</v>
      </c>
      <c r="B10" s="314"/>
      <c r="C10" s="314"/>
      <c r="D10" s="314"/>
      <c r="E10" s="138"/>
      <c r="F10" s="138"/>
    </row>
    <row r="11" spans="1:7" ht="28.5" customHeight="1" x14ac:dyDescent="0.25">
      <c r="A11" s="144" t="s">
        <v>135</v>
      </c>
      <c r="B11" s="135" t="s">
        <v>140</v>
      </c>
      <c r="C11" s="113">
        <f>C8</f>
        <v>6573.2754522053383</v>
      </c>
      <c r="D11" s="113">
        <f>(1/300)*C11</f>
        <v>21.910918174017795</v>
      </c>
      <c r="E11" s="136"/>
      <c r="F11" s="136"/>
    </row>
    <row r="12" spans="1:7" ht="28.5" customHeight="1" x14ac:dyDescent="0.25">
      <c r="A12" s="307" t="s">
        <v>158</v>
      </c>
      <c r="B12" s="307"/>
      <c r="C12" s="307"/>
      <c r="D12" s="137">
        <f>SUM(D11:D11)</f>
        <v>21.910918174017795</v>
      </c>
      <c r="E12" s="136"/>
      <c r="F12" s="136"/>
    </row>
    <row r="13" spans="1:7" ht="28.5" customHeight="1" x14ac:dyDescent="0.25">
      <c r="A13" s="314" t="s">
        <v>141</v>
      </c>
      <c r="B13" s="314"/>
      <c r="C13" s="314"/>
      <c r="D13" s="314"/>
      <c r="E13" s="133"/>
      <c r="F13" s="133"/>
    </row>
    <row r="14" spans="1:7" ht="28.5" customHeight="1" x14ac:dyDescent="0.25">
      <c r="A14" s="311" t="s">
        <v>125</v>
      </c>
      <c r="B14" s="196">
        <v>1</v>
      </c>
      <c r="C14" s="196">
        <v>2</v>
      </c>
      <c r="D14" s="196" t="s">
        <v>126</v>
      </c>
      <c r="E14" s="140"/>
      <c r="F14" s="140"/>
      <c r="G14" s="133"/>
    </row>
    <row r="15" spans="1:7" ht="28.5" customHeight="1" x14ac:dyDescent="0.25">
      <c r="A15" s="311"/>
      <c r="B15" s="196" t="s">
        <v>127</v>
      </c>
      <c r="C15" s="196" t="s">
        <v>128</v>
      </c>
      <c r="D15" s="196" t="s">
        <v>129</v>
      </c>
      <c r="E15" s="133"/>
      <c r="F15" s="133"/>
      <c r="G15" s="141"/>
    </row>
    <row r="16" spans="1:7" ht="28.5" customHeight="1" x14ac:dyDescent="0.25">
      <c r="A16" s="311"/>
      <c r="B16" s="196" t="s">
        <v>130</v>
      </c>
      <c r="C16" s="196" t="s">
        <v>131</v>
      </c>
      <c r="D16" s="196" t="s">
        <v>132</v>
      </c>
      <c r="E16" s="133"/>
      <c r="F16" s="133"/>
      <c r="G16" s="141"/>
    </row>
    <row r="17" spans="1:7" ht="28.5" customHeight="1" x14ac:dyDescent="0.25">
      <c r="A17" s="314" t="s">
        <v>144</v>
      </c>
      <c r="B17" s="314"/>
      <c r="C17" s="314"/>
      <c r="D17" s="314"/>
    </row>
    <row r="18" spans="1:7" ht="28.5" customHeight="1" x14ac:dyDescent="0.25">
      <c r="A18" s="144" t="s">
        <v>135</v>
      </c>
      <c r="B18" s="139" t="s">
        <v>143</v>
      </c>
      <c r="C18" s="113">
        <f>C8</f>
        <v>6573.2754522053383</v>
      </c>
      <c r="D18" s="113">
        <f>(1/2700)*C18</f>
        <v>2.4345464637797547</v>
      </c>
    </row>
    <row r="19" spans="1:7" ht="28.5" customHeight="1" x14ac:dyDescent="0.25">
      <c r="A19" s="307" t="s">
        <v>158</v>
      </c>
      <c r="B19" s="307"/>
      <c r="C19" s="307"/>
      <c r="D19" s="137">
        <f>SUM(D18:D18)</f>
        <v>2.4345464637797547</v>
      </c>
      <c r="E19" s="133"/>
      <c r="F19" s="133"/>
      <c r="G19" s="133"/>
    </row>
    <row r="20" spans="1:7" ht="36.75" customHeight="1" x14ac:dyDescent="0.25">
      <c r="A20" s="319"/>
      <c r="B20" s="319"/>
      <c r="C20" s="319"/>
      <c r="D20" s="319"/>
      <c r="E20" s="319"/>
      <c r="F20" s="319"/>
      <c r="G20" s="319"/>
    </row>
  </sheetData>
  <mergeCells count="13">
    <mergeCell ref="A9:C9"/>
    <mergeCell ref="A1:D1"/>
    <mergeCell ref="A2:D2"/>
    <mergeCell ref="A3:D3"/>
    <mergeCell ref="A4:A6"/>
    <mergeCell ref="A7:D7"/>
    <mergeCell ref="A20:G20"/>
    <mergeCell ref="A17:D17"/>
    <mergeCell ref="A19:C19"/>
    <mergeCell ref="A10:D10"/>
    <mergeCell ref="A12:C12"/>
    <mergeCell ref="A13:D13"/>
    <mergeCell ref="A14:A16"/>
  </mergeCells>
  <pageMargins left="0.511811024" right="0.511811024" top="1.3474015750000001" bottom="0.78740157499999996" header="0.31496062000000002" footer="0.31496062000000002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9D75-B240-4C8E-894F-43E3A82B553F}">
  <sheetPr>
    <pageSetUpPr fitToPage="1"/>
  </sheetPr>
  <dimension ref="A1:ALZ114"/>
  <sheetViews>
    <sheetView showGridLines="0" topLeftCell="A69" zoomScaleNormal="100" workbookViewId="0">
      <selection activeCell="E88" sqref="E88:F88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7" customWidth="1"/>
    <col min="1026" max="16384" width="9.140625" style="77"/>
  </cols>
  <sheetData>
    <row r="1" spans="1:7" ht="28.5" customHeight="1" x14ac:dyDescent="0.2">
      <c r="A1" s="298" t="s">
        <v>0</v>
      </c>
      <c r="B1" s="298"/>
      <c r="C1" s="298"/>
      <c r="D1" s="298"/>
      <c r="E1" s="298"/>
      <c r="F1" s="298"/>
      <c r="G1" s="298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299" t="s">
        <v>108</v>
      </c>
      <c r="B3" s="299"/>
      <c r="C3" s="299"/>
      <c r="D3" s="299"/>
      <c r="E3" s="299"/>
      <c r="F3" s="299"/>
      <c r="G3" s="299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291" t="s">
        <v>1</v>
      </c>
      <c r="B5" s="291"/>
      <c r="C5" s="291"/>
      <c r="D5" s="291"/>
      <c r="E5" s="291"/>
      <c r="F5" s="291"/>
      <c r="G5" s="291"/>
    </row>
    <row r="6" spans="1:7" ht="21.75" customHeight="1" x14ac:dyDescent="0.2">
      <c r="A6" s="291" t="s">
        <v>2</v>
      </c>
      <c r="B6" s="291"/>
      <c r="C6" s="291"/>
      <c r="D6" s="291"/>
      <c r="E6" s="291"/>
      <c r="F6" s="291"/>
      <c r="G6" s="291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00" t="s">
        <v>3</v>
      </c>
      <c r="B8" s="300"/>
      <c r="C8" s="300"/>
      <c r="D8" s="300"/>
      <c r="E8" s="300"/>
      <c r="F8" s="300"/>
      <c r="G8" s="300"/>
    </row>
    <row r="9" spans="1:7" s="6" customFormat="1" ht="3.75" customHeight="1" x14ac:dyDescent="0.2">
      <c r="A9" s="301"/>
      <c r="B9" s="301"/>
      <c r="C9" s="301"/>
      <c r="D9" s="301"/>
      <c r="E9" s="301"/>
      <c r="F9" s="301"/>
      <c r="G9" s="301"/>
    </row>
    <row r="10" spans="1:7" s="6" customFormat="1" ht="21.75" customHeight="1" x14ac:dyDescent="0.25">
      <c r="A10" s="259" t="s">
        <v>4</v>
      </c>
      <c r="B10" s="259"/>
      <c r="C10" s="259"/>
      <c r="D10" s="259"/>
      <c r="E10" s="259"/>
      <c r="F10" s="259"/>
      <c r="G10" s="259"/>
    </row>
    <row r="11" spans="1:7" s="6" customFormat="1" ht="30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193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109</v>
      </c>
    </row>
    <row r="13" spans="1:7" s="6" customFormat="1" ht="34.5" customHeight="1" x14ac:dyDescent="0.25">
      <c r="A13" s="11" t="s">
        <v>9</v>
      </c>
      <c r="B13" s="295" t="s">
        <v>10</v>
      </c>
      <c r="C13" s="295"/>
      <c r="D13" s="295"/>
      <c r="E13" s="16"/>
      <c r="F13" s="17"/>
      <c r="G13" s="15" t="s">
        <v>112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110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111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295" t="s">
        <v>19</v>
      </c>
      <c r="C17" s="296"/>
      <c r="D17" s="297" t="s">
        <v>113</v>
      </c>
      <c r="E17" s="297"/>
      <c r="F17" s="22"/>
      <c r="G17" s="24">
        <v>1477.98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295" t="s">
        <v>26</v>
      </c>
      <c r="C20" s="295"/>
      <c r="D20" s="295"/>
      <c r="E20" s="16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260" t="s">
        <v>27</v>
      </c>
      <c r="B22" s="260"/>
      <c r="C22" s="260"/>
      <c r="D22" s="260"/>
      <c r="E22" s="260"/>
      <c r="F22" s="260"/>
      <c r="G22" s="260"/>
    </row>
    <row r="23" spans="1:7" s="1" customFormat="1" ht="19.5" customHeight="1" x14ac:dyDescent="0.25">
      <c r="A23" s="302"/>
      <c r="B23" s="302"/>
      <c r="C23" s="302"/>
      <c r="D23" s="302"/>
      <c r="E23" s="302"/>
      <c r="F23" s="302"/>
      <c r="G23" s="28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32">
        <f>G17</f>
        <v>1477.98</v>
      </c>
    </row>
    <row r="25" spans="1:7" s="1" customFormat="1" ht="30" customHeight="1" x14ac:dyDescent="0.25">
      <c r="A25" s="29" t="s">
        <v>7</v>
      </c>
      <c r="B25" s="33" t="s">
        <v>114</v>
      </c>
      <c r="C25" s="34"/>
      <c r="D25" s="35" t="s">
        <v>380</v>
      </c>
      <c r="E25" s="255">
        <v>0.4</v>
      </c>
      <c r="F25" s="255"/>
      <c r="G25" s="194">
        <f>(1412*E25)</f>
        <v>564.80000000000007</v>
      </c>
    </row>
    <row r="26" spans="1:7" s="1" customFormat="1" ht="30" customHeight="1" x14ac:dyDescent="0.25">
      <c r="A26" s="29" t="s">
        <v>9</v>
      </c>
      <c r="B26" s="33" t="s">
        <v>115</v>
      </c>
      <c r="C26" s="34"/>
      <c r="D26" s="36"/>
      <c r="E26" s="36"/>
      <c r="F26" s="31"/>
      <c r="G26" s="32"/>
    </row>
    <row r="27" spans="1:7" s="1" customFormat="1" ht="21.75" customHeight="1" x14ac:dyDescent="0.25">
      <c r="A27" s="259" t="s">
        <v>30</v>
      </c>
      <c r="B27" s="259"/>
      <c r="C27" s="259"/>
      <c r="D27" s="259"/>
      <c r="E27" s="259"/>
      <c r="F27" s="259"/>
      <c r="G27" s="37">
        <f>SUM(G24:G26)</f>
        <v>2042.7800000000002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260" t="s">
        <v>31</v>
      </c>
      <c r="B29" s="260"/>
      <c r="C29" s="260"/>
      <c r="D29" s="260"/>
      <c r="E29" s="260"/>
      <c r="F29" s="260"/>
      <c r="G29" s="260"/>
    </row>
    <row r="30" spans="1:7" s="1" customFormat="1" ht="19.5" customHeight="1" x14ac:dyDescent="0.25">
      <c r="A30" s="270" t="s">
        <v>32</v>
      </c>
      <c r="B30" s="270"/>
      <c r="C30" s="270"/>
      <c r="D30" s="270"/>
      <c r="E30" s="270"/>
      <c r="F30" s="270"/>
      <c r="G30" s="270"/>
    </row>
    <row r="31" spans="1:7" s="1" customFormat="1" ht="19.5" customHeight="1" x14ac:dyDescent="0.25">
      <c r="A31" s="258"/>
      <c r="B31" s="258"/>
      <c r="C31" s="258"/>
      <c r="D31" s="258"/>
      <c r="E31" s="294" t="s">
        <v>33</v>
      </c>
      <c r="F31" s="294"/>
      <c r="G31" s="28" t="s">
        <v>28</v>
      </c>
    </row>
    <row r="32" spans="1:7" ht="19.5" customHeight="1" x14ac:dyDescent="0.2">
      <c r="A32" s="38" t="s">
        <v>5</v>
      </c>
      <c r="B32" s="291" t="s">
        <v>34</v>
      </c>
      <c r="C32" s="291"/>
      <c r="D32" s="291"/>
      <c r="E32" s="255">
        <v>8.3299999999999999E-2</v>
      </c>
      <c r="F32" s="255"/>
      <c r="G32" s="39">
        <f>ROUND($E$32*$G$27,2)</f>
        <v>170.16</v>
      </c>
    </row>
    <row r="33" spans="1:7" ht="49.5" customHeight="1" x14ac:dyDescent="0.2">
      <c r="A33" s="38" t="s">
        <v>7</v>
      </c>
      <c r="B33" s="275" t="s">
        <v>35</v>
      </c>
      <c r="C33" s="291"/>
      <c r="D33" s="291"/>
      <c r="E33" s="292">
        <v>2.7799999999999998E-2</v>
      </c>
      <c r="F33" s="292"/>
      <c r="G33" s="39">
        <f>ROUND($E$33*$G$27,2)</f>
        <v>56.79</v>
      </c>
    </row>
    <row r="34" spans="1:7" ht="19.5" customHeight="1" x14ac:dyDescent="0.2">
      <c r="A34" s="270" t="s">
        <v>36</v>
      </c>
      <c r="B34" s="270"/>
      <c r="C34" s="270"/>
      <c r="D34" s="270"/>
      <c r="E34" s="293">
        <f>SUM(E32:E33)</f>
        <v>0.1111</v>
      </c>
      <c r="F34" s="293"/>
      <c r="G34" s="40">
        <f>SUM(G32:G33)</f>
        <v>226.95</v>
      </c>
    </row>
    <row r="35" spans="1:7" s="41" customFormat="1" ht="19.5" customHeight="1" x14ac:dyDescent="0.25">
      <c r="A35" s="270" t="s">
        <v>37</v>
      </c>
      <c r="B35" s="270"/>
      <c r="C35" s="270"/>
      <c r="D35" s="270"/>
      <c r="E35" s="270"/>
      <c r="F35" s="270"/>
      <c r="G35" s="270"/>
    </row>
    <row r="36" spans="1:7" s="41" customFormat="1" ht="39" customHeight="1" x14ac:dyDescent="0.25">
      <c r="A36" s="38" t="s">
        <v>5</v>
      </c>
      <c r="B36" s="33" t="s">
        <v>38</v>
      </c>
      <c r="C36" s="42"/>
      <c r="D36" s="286" t="s">
        <v>39</v>
      </c>
      <c r="E36" s="286"/>
      <c r="F36" s="43">
        <v>0.2</v>
      </c>
      <c r="G36" s="39">
        <f>ROUND(F36*($G$27+$G$34),2)</f>
        <v>453.95</v>
      </c>
    </row>
    <row r="37" spans="1:7" s="41" customFormat="1" ht="39" customHeight="1" x14ac:dyDescent="0.25">
      <c r="A37" s="38" t="s">
        <v>7</v>
      </c>
      <c r="B37" s="33" t="s">
        <v>40</v>
      </c>
      <c r="C37" s="42"/>
      <c r="D37" s="286" t="s">
        <v>41</v>
      </c>
      <c r="E37" s="286"/>
      <c r="F37" s="44">
        <v>2.5000000000000001E-2</v>
      </c>
      <c r="G37" s="39">
        <f t="shared" ref="G37:G43" si="0">ROUND(F37*($G$27+$G$34),2)</f>
        <v>56.74</v>
      </c>
    </row>
    <row r="38" spans="1:7" s="41" customFormat="1" ht="62.25" customHeight="1" x14ac:dyDescent="0.25">
      <c r="A38" s="38" t="s">
        <v>9</v>
      </c>
      <c r="B38" s="284" t="s">
        <v>42</v>
      </c>
      <c r="C38" s="290"/>
      <c r="D38" s="286" t="s">
        <v>43</v>
      </c>
      <c r="E38" s="286"/>
      <c r="F38" s="45">
        <v>0.06</v>
      </c>
      <c r="G38" s="39">
        <f t="shared" si="0"/>
        <v>136.18</v>
      </c>
    </row>
    <row r="39" spans="1:7" s="41" customFormat="1" ht="48" customHeight="1" x14ac:dyDescent="0.25">
      <c r="A39" s="38" t="s">
        <v>11</v>
      </c>
      <c r="B39" s="33" t="s">
        <v>44</v>
      </c>
      <c r="C39" s="42"/>
      <c r="D39" s="286" t="s">
        <v>41</v>
      </c>
      <c r="E39" s="286"/>
      <c r="F39" s="44">
        <v>1.4999999999999999E-2</v>
      </c>
      <c r="G39" s="39">
        <f t="shared" si="0"/>
        <v>34.049999999999997</v>
      </c>
    </row>
    <row r="40" spans="1:7" s="41" customFormat="1" ht="43.5" customHeight="1" x14ac:dyDescent="0.25">
      <c r="A40" s="38" t="s">
        <v>13</v>
      </c>
      <c r="B40" s="33" t="s">
        <v>45</v>
      </c>
      <c r="C40" s="42"/>
      <c r="D40" s="286" t="s">
        <v>41</v>
      </c>
      <c r="E40" s="286"/>
      <c r="F40" s="44">
        <v>0.01</v>
      </c>
      <c r="G40" s="39">
        <f t="shared" si="0"/>
        <v>22.7</v>
      </c>
    </row>
    <row r="41" spans="1:7" s="41" customFormat="1" ht="42.75" customHeight="1" x14ac:dyDescent="0.25">
      <c r="A41" s="38" t="s">
        <v>15</v>
      </c>
      <c r="B41" s="33" t="s">
        <v>46</v>
      </c>
      <c r="C41" s="42"/>
      <c r="D41" s="286" t="s">
        <v>41</v>
      </c>
      <c r="E41" s="286"/>
      <c r="F41" s="44">
        <v>6.0000000000000001E-3</v>
      </c>
      <c r="G41" s="39">
        <f t="shared" si="0"/>
        <v>13.62</v>
      </c>
    </row>
    <row r="42" spans="1:7" s="41" customFormat="1" ht="46.5" customHeight="1" x14ac:dyDescent="0.25">
      <c r="A42" s="38" t="s">
        <v>18</v>
      </c>
      <c r="B42" s="33" t="s">
        <v>47</v>
      </c>
      <c r="C42" s="42"/>
      <c r="D42" s="286" t="s">
        <v>41</v>
      </c>
      <c r="E42" s="286"/>
      <c r="F42" s="44">
        <v>2E-3</v>
      </c>
      <c r="G42" s="39">
        <f t="shared" si="0"/>
        <v>4.54</v>
      </c>
    </row>
    <row r="43" spans="1:7" s="41" customFormat="1" ht="48" customHeight="1" x14ac:dyDescent="0.25">
      <c r="A43" s="38" t="s">
        <v>20</v>
      </c>
      <c r="B43" s="33" t="s">
        <v>48</v>
      </c>
      <c r="C43" s="42"/>
      <c r="D43" s="286" t="s">
        <v>41</v>
      </c>
      <c r="E43" s="286"/>
      <c r="F43" s="44">
        <v>0.08</v>
      </c>
      <c r="G43" s="39">
        <f t="shared" si="0"/>
        <v>181.58</v>
      </c>
    </row>
    <row r="44" spans="1:7" s="41" customFormat="1" ht="19.5" customHeight="1" x14ac:dyDescent="0.25">
      <c r="A44" s="287" t="s">
        <v>49</v>
      </c>
      <c r="B44" s="288"/>
      <c r="C44" s="288"/>
      <c r="D44" s="288"/>
      <c r="E44" s="289"/>
      <c r="F44" s="46">
        <f>SUM(F36:F43)</f>
        <v>0.39800000000000008</v>
      </c>
      <c r="G44" s="47">
        <f>SUM(G36:G43)</f>
        <v>903.36</v>
      </c>
    </row>
    <row r="45" spans="1:7" ht="19.5" customHeight="1" x14ac:dyDescent="0.2">
      <c r="A45" s="270" t="s">
        <v>50</v>
      </c>
      <c r="B45" s="270"/>
      <c r="C45" s="270"/>
      <c r="D45" s="270"/>
      <c r="E45" s="270"/>
      <c r="F45" s="270"/>
      <c r="G45" s="270"/>
    </row>
    <row r="46" spans="1:7" ht="57.75" customHeight="1" x14ac:dyDescent="0.2">
      <c r="A46" s="48" t="s">
        <v>5</v>
      </c>
      <c r="B46" s="256" t="s">
        <v>51</v>
      </c>
      <c r="C46" s="257"/>
      <c r="D46" s="49" t="s">
        <v>116</v>
      </c>
      <c r="E46" s="39">
        <v>597.96</v>
      </c>
      <c r="F46" s="50">
        <v>0.01</v>
      </c>
      <c r="G46" s="39">
        <f>ROUND((E46)*(1-F46),2)</f>
        <v>591.98</v>
      </c>
    </row>
    <row r="47" spans="1:7" ht="70.5" customHeight="1" x14ac:dyDescent="0.2">
      <c r="A47" s="38" t="s">
        <v>7</v>
      </c>
      <c r="B47" s="256" t="s">
        <v>52</v>
      </c>
      <c r="C47" s="257"/>
      <c r="D47" s="49" t="s">
        <v>191</v>
      </c>
      <c r="E47" s="39">
        <v>3.25</v>
      </c>
      <c r="F47" s="50">
        <v>0.06</v>
      </c>
      <c r="G47" s="39">
        <f>ROUND((E47*2*22)-(0.06*$G$24),2)</f>
        <v>54.32</v>
      </c>
    </row>
    <row r="48" spans="1:7" ht="70.5" customHeight="1" x14ac:dyDescent="0.2">
      <c r="A48" s="38" t="s">
        <v>9</v>
      </c>
      <c r="B48" s="261" t="s">
        <v>118</v>
      </c>
      <c r="C48" s="263"/>
      <c r="D48" s="49" t="s">
        <v>119</v>
      </c>
      <c r="E48" s="39">
        <v>21.88</v>
      </c>
      <c r="F48" s="51"/>
      <c r="G48" s="39">
        <f>E48</f>
        <v>21.88</v>
      </c>
    </row>
    <row r="49" spans="1:9" ht="40.5" customHeight="1" x14ac:dyDescent="0.2">
      <c r="A49" s="38" t="s">
        <v>11</v>
      </c>
      <c r="B49" s="261" t="s">
        <v>115</v>
      </c>
      <c r="C49" s="263"/>
      <c r="D49" s="49"/>
      <c r="E49" s="39"/>
      <c r="F49" s="51"/>
      <c r="G49" s="39">
        <f>E49</f>
        <v>0</v>
      </c>
    </row>
    <row r="50" spans="1:9" ht="31.5" customHeight="1" x14ac:dyDescent="0.2">
      <c r="A50" s="270" t="s">
        <v>53</v>
      </c>
      <c r="B50" s="270"/>
      <c r="C50" s="270"/>
      <c r="D50" s="270"/>
      <c r="E50" s="270"/>
      <c r="F50" s="270"/>
      <c r="G50" s="40">
        <f>SUM(G46:G49)</f>
        <v>668.18000000000006</v>
      </c>
    </row>
    <row r="51" spans="1:9" ht="31.5" customHeight="1" x14ac:dyDescent="0.2">
      <c r="A51" s="271" t="s">
        <v>54</v>
      </c>
      <c r="B51" s="271"/>
      <c r="C51" s="271"/>
      <c r="D51" s="271"/>
      <c r="E51" s="271"/>
      <c r="F51" s="271"/>
      <c r="G51" s="52">
        <f>SUM(G50,G44,G34)</f>
        <v>1798.49</v>
      </c>
    </row>
    <row r="52" spans="1:9" ht="3" customHeight="1" x14ac:dyDescent="0.2">
      <c r="A52" s="26"/>
      <c r="B52" s="27"/>
      <c r="C52" s="27"/>
      <c r="D52" s="27"/>
      <c r="E52" s="27"/>
      <c r="F52" s="27"/>
      <c r="G52" s="27"/>
    </row>
    <row r="53" spans="1:9" ht="21.75" customHeight="1" x14ac:dyDescent="0.2">
      <c r="A53" s="260" t="s">
        <v>55</v>
      </c>
      <c r="B53" s="260"/>
      <c r="C53" s="260"/>
      <c r="D53" s="260"/>
      <c r="E53" s="260"/>
      <c r="F53" s="260"/>
      <c r="G53" s="260"/>
    </row>
    <row r="54" spans="1:9" ht="80.25" customHeight="1" x14ac:dyDescent="0.2">
      <c r="A54" s="266" t="s">
        <v>5</v>
      </c>
      <c r="B54" s="275" t="s">
        <v>56</v>
      </c>
      <c r="C54" s="275"/>
      <c r="D54" s="275"/>
      <c r="E54" s="255">
        <f>(1/12)*D55</f>
        <v>4.1666666666666666E-3</v>
      </c>
      <c r="F54" s="255"/>
      <c r="G54" s="280">
        <f>ROUND($G$27+$G$34,0)*E54</f>
        <v>9.4583333333333339</v>
      </c>
    </row>
    <row r="55" spans="1:9" ht="77.25" customHeight="1" x14ac:dyDescent="0.2">
      <c r="A55" s="266"/>
      <c r="B55" s="285" t="s">
        <v>57</v>
      </c>
      <c r="C55" s="285"/>
      <c r="D55" s="53">
        <v>0.05</v>
      </c>
      <c r="E55" s="255"/>
      <c r="F55" s="255"/>
      <c r="G55" s="280"/>
    </row>
    <row r="56" spans="1:9" ht="42.75" customHeight="1" x14ac:dyDescent="0.2">
      <c r="A56" s="38" t="s">
        <v>7</v>
      </c>
      <c r="B56" s="275" t="s">
        <v>58</v>
      </c>
      <c r="C56" s="275"/>
      <c r="D56" s="275"/>
      <c r="E56" s="255">
        <v>0.08</v>
      </c>
      <c r="F56" s="255"/>
      <c r="G56" s="39">
        <f>ROUND(G54*E56,2)</f>
        <v>0.76</v>
      </c>
      <c r="H56" s="54"/>
      <c r="I56" s="54"/>
    </row>
    <row r="57" spans="1:9" ht="53.25" customHeight="1" x14ac:dyDescent="0.2">
      <c r="A57" s="38" t="s">
        <v>9</v>
      </c>
      <c r="B57" s="256" t="s">
        <v>59</v>
      </c>
      <c r="C57" s="284"/>
      <c r="D57" s="257"/>
      <c r="E57" s="255">
        <f>(7/30)/12</f>
        <v>1.9444444444444445E-2</v>
      </c>
      <c r="F57" s="255"/>
      <c r="G57" s="39">
        <f>ROUND((($G$27+$G$34)*E57),2)</f>
        <v>44.13</v>
      </c>
    </row>
    <row r="58" spans="1:9" ht="37.5" customHeight="1" x14ac:dyDescent="0.2">
      <c r="A58" s="38" t="s">
        <v>11</v>
      </c>
      <c r="B58" s="275" t="s">
        <v>60</v>
      </c>
      <c r="C58" s="275"/>
      <c r="D58" s="275"/>
      <c r="E58" s="255">
        <f>F44</f>
        <v>0.39800000000000008</v>
      </c>
      <c r="F58" s="255"/>
      <c r="G58" s="39">
        <f>ROUND(E58*G57,2)</f>
        <v>17.559999999999999</v>
      </c>
    </row>
    <row r="59" spans="1:9" ht="64.5" customHeight="1" x14ac:dyDescent="0.2">
      <c r="A59" s="38" t="s">
        <v>13</v>
      </c>
      <c r="B59" s="275" t="s">
        <v>61</v>
      </c>
      <c r="C59" s="275"/>
      <c r="D59" s="275"/>
      <c r="E59" s="255">
        <v>0.04</v>
      </c>
      <c r="F59" s="255"/>
      <c r="G59" s="39">
        <f>ROUND(E59*($G$27+$G$34),2)</f>
        <v>90.79</v>
      </c>
    </row>
    <row r="60" spans="1:9" ht="21.75" customHeight="1" x14ac:dyDescent="0.2">
      <c r="A60" s="259" t="s">
        <v>62</v>
      </c>
      <c r="B60" s="259"/>
      <c r="C60" s="259"/>
      <c r="D60" s="259"/>
      <c r="E60" s="259"/>
      <c r="F60" s="259"/>
      <c r="G60" s="52">
        <f>ROUND(SUM(G54:G59),2)</f>
        <v>162.69999999999999</v>
      </c>
    </row>
    <row r="61" spans="1:9" ht="3.75" customHeight="1" x14ac:dyDescent="0.2">
      <c r="A61" s="55"/>
      <c r="B61" s="56"/>
      <c r="C61" s="56"/>
      <c r="D61" s="56"/>
      <c r="E61" s="56"/>
      <c r="F61" s="56"/>
      <c r="G61" s="56"/>
    </row>
    <row r="62" spans="1:9" ht="21.75" customHeight="1" x14ac:dyDescent="0.2">
      <c r="A62" s="260" t="s">
        <v>63</v>
      </c>
      <c r="B62" s="260"/>
      <c r="C62" s="260"/>
      <c r="D62" s="260"/>
      <c r="E62" s="260"/>
      <c r="F62" s="260"/>
      <c r="G62" s="260"/>
    </row>
    <row r="63" spans="1:9" ht="21.75" customHeight="1" x14ac:dyDescent="0.2">
      <c r="A63" s="270" t="s">
        <v>64</v>
      </c>
      <c r="B63" s="270"/>
      <c r="C63" s="270"/>
      <c r="D63" s="270"/>
      <c r="E63" s="270"/>
      <c r="F63" s="270"/>
      <c r="G63" s="270"/>
    </row>
    <row r="64" spans="1:9" ht="21.75" customHeight="1" x14ac:dyDescent="0.2">
      <c r="A64" s="266" t="s">
        <v>5</v>
      </c>
      <c r="B64" s="275" t="s">
        <v>65</v>
      </c>
      <c r="C64" s="275"/>
      <c r="D64" s="275"/>
      <c r="E64" s="276">
        <v>8.3299999999999999E-2</v>
      </c>
      <c r="F64" s="277"/>
      <c r="G64" s="280">
        <f>E64*($G$27+$G$51+$G$60)</f>
        <v>333.53070100000002</v>
      </c>
    </row>
    <row r="65" spans="1:8" ht="39.75" customHeight="1" x14ac:dyDescent="0.2">
      <c r="A65" s="266"/>
      <c r="B65" s="281" t="s">
        <v>66</v>
      </c>
      <c r="C65" s="282"/>
      <c r="D65" s="283"/>
      <c r="E65" s="278"/>
      <c r="F65" s="279"/>
      <c r="G65" s="280"/>
    </row>
    <row r="66" spans="1:8" x14ac:dyDescent="0.2">
      <c r="A66" s="266" t="s">
        <v>7</v>
      </c>
      <c r="B66" s="275" t="s">
        <v>67</v>
      </c>
      <c r="C66" s="275"/>
      <c r="D66" s="275"/>
      <c r="E66" s="276">
        <f>(6/360)</f>
        <v>1.6666666666666666E-2</v>
      </c>
      <c r="F66" s="277"/>
      <c r="G66" s="280">
        <f>E66*($G$27+$G$34+$G$44)</f>
        <v>52.884833333333333</v>
      </c>
    </row>
    <row r="67" spans="1:8" ht="78" customHeight="1" x14ac:dyDescent="0.2">
      <c r="A67" s="266"/>
      <c r="B67" s="281" t="s">
        <v>68</v>
      </c>
      <c r="C67" s="282"/>
      <c r="D67" s="283"/>
      <c r="E67" s="278"/>
      <c r="F67" s="279"/>
      <c r="G67" s="280"/>
    </row>
    <row r="68" spans="1:8" x14ac:dyDescent="0.2">
      <c r="A68" s="266" t="s">
        <v>9</v>
      </c>
      <c r="B68" s="275" t="s">
        <v>69</v>
      </c>
      <c r="C68" s="275"/>
      <c r="D68" s="275"/>
      <c r="E68" s="276">
        <f>((5/360)*(1.399%))</f>
        <v>1.9430555555555556E-4</v>
      </c>
      <c r="F68" s="277"/>
      <c r="G68" s="280">
        <f>E68*($G$27+$G$34+$G$44)</f>
        <v>0.61654901527777783</v>
      </c>
    </row>
    <row r="69" spans="1:8" ht="57" customHeight="1" x14ac:dyDescent="0.2">
      <c r="A69" s="266"/>
      <c r="B69" s="281" t="s">
        <v>70</v>
      </c>
      <c r="C69" s="282"/>
      <c r="D69" s="283"/>
      <c r="E69" s="278"/>
      <c r="F69" s="279"/>
      <c r="G69" s="280"/>
    </row>
    <row r="70" spans="1:8" x14ac:dyDescent="0.2">
      <c r="A70" s="266" t="s">
        <v>11</v>
      </c>
      <c r="B70" s="275" t="s">
        <v>71</v>
      </c>
      <c r="C70" s="275"/>
      <c r="D70" s="275"/>
      <c r="E70" s="276">
        <f>((15/360)*(2.16%))</f>
        <v>8.9999999999999998E-4</v>
      </c>
      <c r="F70" s="277"/>
      <c r="G70" s="280">
        <f>E70*($G$27+$G$34+$G$44)</f>
        <v>2.8557809999999999</v>
      </c>
    </row>
    <row r="71" spans="1:8" ht="63" customHeight="1" x14ac:dyDescent="0.2">
      <c r="A71" s="266"/>
      <c r="B71" s="281" t="s">
        <v>72</v>
      </c>
      <c r="C71" s="282"/>
      <c r="D71" s="283"/>
      <c r="E71" s="278"/>
      <c r="F71" s="279"/>
      <c r="G71" s="280"/>
    </row>
    <row r="72" spans="1:8" x14ac:dyDescent="0.2">
      <c r="A72" s="266" t="s">
        <v>13</v>
      </c>
      <c r="B72" s="275" t="s">
        <v>73</v>
      </c>
      <c r="C72" s="275"/>
      <c r="D72" s="275"/>
      <c r="E72" s="276">
        <f>((50%)*(1.99%)*(4/12)*(8.93%+8.93%+2.98%))</f>
        <v>6.9119333333333326E-4</v>
      </c>
      <c r="F72" s="277"/>
      <c r="G72" s="280">
        <f>(E72*G27)</f>
        <v>1.4119559174666667</v>
      </c>
    </row>
    <row r="73" spans="1:8" ht="54.75" customHeight="1" x14ac:dyDescent="0.2">
      <c r="A73" s="266"/>
      <c r="B73" s="281" t="s">
        <v>74</v>
      </c>
      <c r="C73" s="282"/>
      <c r="D73" s="283"/>
      <c r="E73" s="278"/>
      <c r="F73" s="279"/>
      <c r="G73" s="280"/>
    </row>
    <row r="74" spans="1:8" ht="19.5" customHeight="1" x14ac:dyDescent="0.2">
      <c r="A74" s="270" t="s">
        <v>75</v>
      </c>
      <c r="B74" s="270"/>
      <c r="C74" s="270"/>
      <c r="D74" s="270"/>
      <c r="E74" s="270"/>
      <c r="F74" s="270"/>
      <c r="G74" s="47">
        <f>SUM(G64:G73)</f>
        <v>391.2998202660778</v>
      </c>
    </row>
    <row r="75" spans="1:8" ht="3.75" customHeight="1" x14ac:dyDescent="0.2">
      <c r="A75" s="57"/>
      <c r="B75" s="58"/>
      <c r="C75" s="58"/>
      <c r="D75" s="58"/>
      <c r="E75" s="58"/>
      <c r="F75" s="58"/>
      <c r="G75" s="58"/>
    </row>
    <row r="76" spans="1:8" ht="3.75" customHeight="1" x14ac:dyDescent="0.2">
      <c r="A76" s="59"/>
      <c r="B76" s="60"/>
      <c r="C76" s="60"/>
      <c r="D76" s="60"/>
      <c r="E76" s="60"/>
      <c r="F76" s="60"/>
      <c r="G76" s="60"/>
    </row>
    <row r="77" spans="1:8" ht="30.75" customHeight="1" x14ac:dyDescent="0.2">
      <c r="A77" s="271" t="s">
        <v>76</v>
      </c>
      <c r="B77" s="271"/>
      <c r="C77" s="271"/>
      <c r="D77" s="271"/>
      <c r="E77" s="271"/>
      <c r="F77" s="271"/>
      <c r="G77" s="61">
        <f>G74</f>
        <v>391.2998202660778</v>
      </c>
    </row>
    <row r="78" spans="1:8" ht="3.75" customHeight="1" x14ac:dyDescent="0.2">
      <c r="A78" s="272"/>
      <c r="B78" s="272"/>
      <c r="C78" s="272"/>
      <c r="D78" s="272"/>
      <c r="E78" s="272"/>
      <c r="F78" s="272"/>
      <c r="G78" s="272"/>
    </row>
    <row r="79" spans="1:8" ht="21.75" customHeight="1" x14ac:dyDescent="0.2">
      <c r="A79" s="260" t="s">
        <v>77</v>
      </c>
      <c r="B79" s="260"/>
      <c r="C79" s="260"/>
      <c r="D79" s="260"/>
      <c r="E79" s="260"/>
      <c r="F79" s="260"/>
      <c r="G79" s="260"/>
    </row>
    <row r="80" spans="1:8" ht="19.5" customHeight="1" x14ac:dyDescent="0.2">
      <c r="A80" s="29" t="s">
        <v>5</v>
      </c>
      <c r="B80" s="30" t="s">
        <v>78</v>
      </c>
      <c r="C80" s="31"/>
      <c r="D80" s="31"/>
      <c r="E80" s="31"/>
      <c r="F80" s="31"/>
      <c r="G80" s="39" cm="1">
        <f t="array" ref="G80:H80">'Insumos Diversos'!J101:K101</f>
        <v>47</v>
      </c>
      <c r="H80" s="1">
        <v>0</v>
      </c>
    </row>
    <row r="81" spans="1:7" ht="19.5" customHeight="1" x14ac:dyDescent="0.2">
      <c r="A81" s="62" t="s">
        <v>7</v>
      </c>
      <c r="B81" s="30" t="s">
        <v>318</v>
      </c>
      <c r="C81" s="31"/>
      <c r="D81" s="31"/>
      <c r="E81" s="31"/>
      <c r="F81" s="31"/>
      <c r="G81" s="39">
        <f>'Insumos Diversos'!M51</f>
        <v>340</v>
      </c>
    </row>
    <row r="82" spans="1:7" ht="19.5" customHeight="1" x14ac:dyDescent="0.2">
      <c r="A82" s="63" t="s">
        <v>9</v>
      </c>
      <c r="B82" s="30" t="s">
        <v>79</v>
      </c>
      <c r="C82" s="31"/>
      <c r="D82" s="31"/>
      <c r="E82" s="31"/>
      <c r="F82" s="31"/>
      <c r="G82" s="39">
        <f>'Insumos Diversos'!M85</f>
        <v>5.9</v>
      </c>
    </row>
    <row r="83" spans="1:7" ht="21.75" customHeight="1" x14ac:dyDescent="0.2">
      <c r="A83" s="273" t="s">
        <v>80</v>
      </c>
      <c r="B83" s="273"/>
      <c r="C83" s="273"/>
      <c r="D83" s="273"/>
      <c r="E83" s="273"/>
      <c r="F83" s="273"/>
      <c r="G83" s="37">
        <f>SUM(G80:G82)</f>
        <v>392.9</v>
      </c>
    </row>
    <row r="84" spans="1:7" ht="3.75" customHeight="1" x14ac:dyDescent="0.2">
      <c r="A84" s="274"/>
      <c r="B84" s="274"/>
      <c r="C84" s="274"/>
      <c r="D84" s="274"/>
      <c r="E84" s="274"/>
      <c r="F84" s="274"/>
      <c r="G84" s="274"/>
    </row>
    <row r="85" spans="1:7" ht="23.25" customHeight="1" x14ac:dyDescent="0.2">
      <c r="A85" s="260" t="s">
        <v>81</v>
      </c>
      <c r="B85" s="260"/>
      <c r="C85" s="260"/>
      <c r="D85" s="260"/>
      <c r="E85" s="260"/>
      <c r="F85" s="260"/>
      <c r="G85" s="260"/>
    </row>
    <row r="86" spans="1:7" ht="19.5" customHeight="1" x14ac:dyDescent="0.2">
      <c r="A86" s="38" t="s">
        <v>5</v>
      </c>
      <c r="B86" s="261" t="s">
        <v>82</v>
      </c>
      <c r="C86" s="262"/>
      <c r="D86" s="263"/>
      <c r="E86" s="264">
        <v>0.03</v>
      </c>
      <c r="F86" s="265"/>
      <c r="G86" s="39">
        <f>ROUND((G103)*E86,2)</f>
        <v>143.65</v>
      </c>
    </row>
    <row r="87" spans="1:7" ht="19.5" customHeight="1" x14ac:dyDescent="0.2">
      <c r="A87" s="38" t="s">
        <v>7</v>
      </c>
      <c r="B87" s="261" t="s">
        <v>83</v>
      </c>
      <c r="C87" s="262"/>
      <c r="D87" s="263"/>
      <c r="E87" s="264">
        <v>6.7900000000000002E-2</v>
      </c>
      <c r="F87" s="265"/>
      <c r="G87" s="39">
        <f>ROUND((G103+$G$86)*E87,2)</f>
        <v>334.87</v>
      </c>
    </row>
    <row r="88" spans="1:7" ht="19.5" customHeight="1" x14ac:dyDescent="0.2">
      <c r="A88" s="266" t="s">
        <v>9</v>
      </c>
      <c r="B88" s="267" t="s">
        <v>84</v>
      </c>
      <c r="C88" s="64"/>
      <c r="D88" s="65"/>
      <c r="E88" s="268">
        <f>SUM(E89:F93)</f>
        <v>0.14250000000000002</v>
      </c>
      <c r="F88" s="269"/>
      <c r="G88" s="66"/>
    </row>
    <row r="89" spans="1:7" ht="19.5" customHeight="1" x14ac:dyDescent="0.2">
      <c r="A89" s="266"/>
      <c r="B89" s="267"/>
      <c r="C89" s="67" t="s">
        <v>85</v>
      </c>
      <c r="D89" s="68" t="s">
        <v>86</v>
      </c>
      <c r="E89" s="255">
        <v>1.6500000000000001E-2</v>
      </c>
      <c r="F89" s="255"/>
      <c r="G89" s="39">
        <f>ROUND((E89)*($G$105),2)</f>
        <v>101.34</v>
      </c>
    </row>
    <row r="90" spans="1:7" ht="19.5" customHeight="1" x14ac:dyDescent="0.2">
      <c r="A90" s="266"/>
      <c r="B90" s="267"/>
      <c r="C90" s="69"/>
      <c r="D90" s="68" t="s">
        <v>87</v>
      </c>
      <c r="E90" s="255">
        <v>7.5999999999999998E-2</v>
      </c>
      <c r="F90" s="255"/>
      <c r="G90" s="39">
        <f>ROUND((E90)*($G$105),2)</f>
        <v>466.79</v>
      </c>
    </row>
    <row r="91" spans="1:7" ht="19.5" customHeight="1" x14ac:dyDescent="0.2">
      <c r="A91" s="266"/>
      <c r="B91" s="267"/>
      <c r="C91" s="70"/>
      <c r="D91" s="68" t="s">
        <v>88</v>
      </c>
      <c r="E91" s="255"/>
      <c r="F91" s="255"/>
      <c r="G91" s="39">
        <f>ROUND((E91)*($G$105),2)</f>
        <v>0</v>
      </c>
    </row>
    <row r="92" spans="1:7" ht="77.25" customHeight="1" x14ac:dyDescent="0.2">
      <c r="A92" s="266"/>
      <c r="B92" s="267"/>
      <c r="C92" s="71" t="s">
        <v>192</v>
      </c>
      <c r="D92" s="68" t="s">
        <v>89</v>
      </c>
      <c r="E92" s="255">
        <v>0.05</v>
      </c>
      <c r="F92" s="255"/>
      <c r="G92" s="39">
        <f>ROUND((E92)*($G$105),2)</f>
        <v>307.10000000000002</v>
      </c>
    </row>
    <row r="93" spans="1:7" ht="41.25" customHeight="1" x14ac:dyDescent="0.2">
      <c r="A93" s="266"/>
      <c r="B93" s="267"/>
      <c r="C93" s="256" t="s">
        <v>90</v>
      </c>
      <c r="D93" s="257"/>
      <c r="E93" s="255"/>
      <c r="F93" s="255"/>
      <c r="G93" s="39">
        <f>ROUND((E93)*($G$105),2)</f>
        <v>0</v>
      </c>
    </row>
    <row r="94" spans="1:7" ht="19.5" customHeight="1" x14ac:dyDescent="0.2">
      <c r="A94" s="266"/>
      <c r="B94" s="258" t="s">
        <v>91</v>
      </c>
      <c r="C94" s="258"/>
      <c r="D94" s="258"/>
      <c r="E94" s="258"/>
      <c r="F94" s="258"/>
      <c r="G94" s="72">
        <f>SUM(G89,G90,G91,G92,G93)</f>
        <v>875.23</v>
      </c>
    </row>
    <row r="95" spans="1:7" ht="21.75" customHeight="1" x14ac:dyDescent="0.2">
      <c r="A95" s="259" t="s">
        <v>92</v>
      </c>
      <c r="B95" s="259"/>
      <c r="C95" s="259"/>
      <c r="D95" s="259"/>
      <c r="E95" s="259"/>
      <c r="F95" s="259"/>
      <c r="G95" s="73">
        <f>SUM(G94,G87,G86)</f>
        <v>1353.75</v>
      </c>
    </row>
    <row r="96" spans="1:7" ht="3.75" customHeight="1" x14ac:dyDescent="0.2">
      <c r="A96" s="251"/>
      <c r="B96" s="251"/>
      <c r="C96" s="251"/>
      <c r="D96" s="251"/>
      <c r="E96" s="251"/>
      <c r="F96" s="251"/>
      <c r="G96" s="251"/>
    </row>
    <row r="97" spans="1:7" ht="23.25" customHeight="1" x14ac:dyDescent="0.2">
      <c r="A97" s="252" t="s">
        <v>93</v>
      </c>
      <c r="B97" s="252"/>
      <c r="C97" s="252"/>
      <c r="D97" s="252"/>
      <c r="E97" s="252"/>
      <c r="F97" s="252"/>
      <c r="G97" s="252"/>
    </row>
    <row r="98" spans="1:7" ht="19.5" customHeight="1" x14ac:dyDescent="0.2">
      <c r="A98" s="38" t="s">
        <v>5</v>
      </c>
      <c r="B98" s="33" t="s">
        <v>94</v>
      </c>
      <c r="C98" s="42"/>
      <c r="D98" s="42"/>
      <c r="E98" s="42"/>
      <c r="F98" s="42"/>
      <c r="G98" s="32">
        <f>G27</f>
        <v>2042.7800000000002</v>
      </c>
    </row>
    <row r="99" spans="1:7" ht="19.5" customHeight="1" x14ac:dyDescent="0.2">
      <c r="A99" s="38" t="s">
        <v>7</v>
      </c>
      <c r="B99" s="33" t="s">
        <v>95</v>
      </c>
      <c r="C99" s="42"/>
      <c r="D99" s="42"/>
      <c r="E99" s="42"/>
      <c r="F99" s="42"/>
      <c r="G99" s="32">
        <f>G51</f>
        <v>1798.49</v>
      </c>
    </row>
    <row r="100" spans="1:7" ht="19.5" customHeight="1" x14ac:dyDescent="0.2">
      <c r="A100" s="38" t="s">
        <v>9</v>
      </c>
      <c r="B100" s="33" t="s">
        <v>96</v>
      </c>
      <c r="C100" s="42"/>
      <c r="D100" s="42"/>
      <c r="E100" s="42"/>
      <c r="F100" s="42"/>
      <c r="G100" s="32">
        <f>G60</f>
        <v>162.69999999999999</v>
      </c>
    </row>
    <row r="101" spans="1:7" ht="19.5" customHeight="1" x14ac:dyDescent="0.2">
      <c r="A101" s="38" t="s">
        <v>11</v>
      </c>
      <c r="B101" s="33" t="s">
        <v>97</v>
      </c>
      <c r="C101" s="42"/>
      <c r="D101" s="42"/>
      <c r="E101" s="42"/>
      <c r="F101" s="42"/>
      <c r="G101" s="32">
        <f>G77</f>
        <v>391.2998202660778</v>
      </c>
    </row>
    <row r="102" spans="1:7" ht="19.5" customHeight="1" x14ac:dyDescent="0.2">
      <c r="A102" s="38" t="s">
        <v>13</v>
      </c>
      <c r="B102" s="33" t="s">
        <v>98</v>
      </c>
      <c r="C102" s="42"/>
      <c r="D102" s="42"/>
      <c r="E102" s="42"/>
      <c r="F102" s="42"/>
      <c r="G102" s="32">
        <f>G83</f>
        <v>392.9</v>
      </c>
    </row>
    <row r="103" spans="1:7" ht="19.5" customHeight="1" x14ac:dyDescent="0.2">
      <c r="A103" s="253" t="s">
        <v>99</v>
      </c>
      <c r="B103" s="254"/>
      <c r="C103" s="254"/>
      <c r="D103" s="254"/>
      <c r="E103" s="254"/>
      <c r="F103" s="254"/>
      <c r="G103" s="74">
        <f>SUM(G98:G102)</f>
        <v>4788.1698202660773</v>
      </c>
    </row>
    <row r="104" spans="1:7" ht="19.5" customHeight="1" x14ac:dyDescent="0.2">
      <c r="A104" s="38" t="s">
        <v>15</v>
      </c>
      <c r="B104" s="33" t="s">
        <v>100</v>
      </c>
      <c r="C104" s="42"/>
      <c r="D104" s="42"/>
      <c r="E104" s="42"/>
      <c r="F104" s="42"/>
      <c r="G104" s="32">
        <f>G95</f>
        <v>1353.75</v>
      </c>
    </row>
    <row r="105" spans="1:7" ht="43.5" customHeight="1" x14ac:dyDescent="0.2">
      <c r="A105" s="247" t="s">
        <v>101</v>
      </c>
      <c r="B105" s="247"/>
      <c r="C105" s="247"/>
      <c r="D105" s="247"/>
      <c r="E105" s="247"/>
      <c r="F105" s="247"/>
      <c r="G105" s="75">
        <f>SUM(G103+G86+G87)/(1-E88)</f>
        <v>6141.9123268409066</v>
      </c>
    </row>
    <row r="106" spans="1:7" ht="3.75" customHeight="1" x14ac:dyDescent="0.2">
      <c r="A106" s="251"/>
      <c r="B106" s="251"/>
      <c r="C106" s="251"/>
      <c r="D106" s="251"/>
      <c r="E106" s="251"/>
      <c r="F106" s="251"/>
      <c r="G106" s="251"/>
    </row>
    <row r="107" spans="1:7" ht="22.5" customHeight="1" x14ac:dyDescent="0.2">
      <c r="A107" s="249" t="s">
        <v>102</v>
      </c>
      <c r="B107" s="249"/>
      <c r="C107" s="249"/>
      <c r="D107" s="249"/>
      <c r="E107" s="249"/>
      <c r="F107" s="249"/>
      <c r="G107" s="249"/>
    </row>
    <row r="108" spans="1:7" ht="21" customHeight="1" x14ac:dyDescent="0.2">
      <c r="A108" s="248" t="s">
        <v>103</v>
      </c>
      <c r="B108" s="248"/>
      <c r="C108" s="248"/>
      <c r="D108" s="248"/>
      <c r="E108" s="248"/>
      <c r="F108" s="248"/>
      <c r="G108" s="32">
        <f>G105</f>
        <v>6141.9123268409066</v>
      </c>
    </row>
    <row r="109" spans="1:7" ht="21" customHeight="1" x14ac:dyDescent="0.2">
      <c r="A109" s="248" t="s">
        <v>104</v>
      </c>
      <c r="B109" s="248"/>
      <c r="C109" s="248"/>
      <c r="D109" s="248"/>
      <c r="E109" s="248"/>
      <c r="F109" s="248"/>
      <c r="G109" s="11">
        <v>1</v>
      </c>
    </row>
    <row r="110" spans="1:7" ht="21" customHeight="1" x14ac:dyDescent="0.2">
      <c r="A110" s="248" t="s">
        <v>105</v>
      </c>
      <c r="B110" s="248"/>
      <c r="C110" s="248"/>
      <c r="D110" s="248"/>
      <c r="E110" s="248"/>
      <c r="F110" s="248"/>
      <c r="G110" s="32">
        <f>G109*G108</f>
        <v>6141.9123268409066</v>
      </c>
    </row>
    <row r="111" spans="1:7" ht="21" customHeight="1" x14ac:dyDescent="0.2">
      <c r="A111" s="248" t="s">
        <v>106</v>
      </c>
      <c r="B111" s="248"/>
      <c r="C111" s="248"/>
      <c r="D111" s="248"/>
      <c r="E111" s="248"/>
      <c r="F111" s="248"/>
      <c r="G111" s="11">
        <v>1</v>
      </c>
    </row>
    <row r="112" spans="1:7" ht="22.5" customHeight="1" x14ac:dyDescent="0.2">
      <c r="A112" s="249" t="s">
        <v>107</v>
      </c>
      <c r="B112" s="249"/>
      <c r="C112" s="249"/>
      <c r="D112" s="249"/>
      <c r="E112" s="249"/>
      <c r="F112" s="249"/>
      <c r="G112" s="76">
        <f>G111*G110</f>
        <v>6141.9123268409066</v>
      </c>
    </row>
    <row r="113" spans="1:7" ht="3.75" customHeight="1" x14ac:dyDescent="0.2">
      <c r="A113" s="250"/>
      <c r="B113" s="250"/>
      <c r="C113" s="250"/>
      <c r="D113" s="250"/>
      <c r="E113" s="250"/>
      <c r="F113" s="250"/>
      <c r="G113" s="250"/>
    </row>
    <row r="114" spans="1:7" ht="22.5" customHeight="1" x14ac:dyDescent="0.2">
      <c r="A114" s="303" t="s">
        <v>182</v>
      </c>
      <c r="B114" s="304"/>
      <c r="C114" s="304"/>
      <c r="D114" s="304"/>
      <c r="E114" s="304"/>
      <c r="F114" s="305"/>
      <c r="G114" s="75">
        <f>G112*G18</f>
        <v>122838.24653681813</v>
      </c>
    </row>
  </sheetData>
  <mergeCells count="120">
    <mergeCell ref="A1:G1"/>
    <mergeCell ref="A3:G3"/>
    <mergeCell ref="A5:G5"/>
    <mergeCell ref="A6:G6"/>
    <mergeCell ref="A8:G8"/>
    <mergeCell ref="A9:G9"/>
    <mergeCell ref="A23:F23"/>
    <mergeCell ref="E25:F25"/>
    <mergeCell ref="A27:F27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0:F50"/>
    <mergeCell ref="A51:F51"/>
    <mergeCell ref="D40:E40"/>
    <mergeCell ref="D41:E41"/>
    <mergeCell ref="D42:E42"/>
    <mergeCell ref="D43:E43"/>
    <mergeCell ref="A44:E44"/>
    <mergeCell ref="A45:G45"/>
    <mergeCell ref="B56:D56"/>
    <mergeCell ref="E56:F56"/>
    <mergeCell ref="B57:D57"/>
    <mergeCell ref="E57:F57"/>
    <mergeCell ref="B58:D58"/>
    <mergeCell ref="E58:F58"/>
    <mergeCell ref="A53:G53"/>
    <mergeCell ref="A54:A55"/>
    <mergeCell ref="B54:D54"/>
    <mergeCell ref="E54:F55"/>
    <mergeCell ref="G54:G55"/>
    <mergeCell ref="B55:C55"/>
    <mergeCell ref="B59:D59"/>
    <mergeCell ref="E59:F59"/>
    <mergeCell ref="A60:F60"/>
    <mergeCell ref="A62:G62"/>
    <mergeCell ref="A63:G63"/>
    <mergeCell ref="A64:A65"/>
    <mergeCell ref="B64:D64"/>
    <mergeCell ref="E64:F65"/>
    <mergeCell ref="G64:G65"/>
    <mergeCell ref="B65:D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4:F74"/>
    <mergeCell ref="A77:F77"/>
    <mergeCell ref="A78:G78"/>
    <mergeCell ref="A79:G79"/>
    <mergeCell ref="A83:F83"/>
    <mergeCell ref="A84:G84"/>
    <mergeCell ref="A70:A71"/>
    <mergeCell ref="B70:D70"/>
    <mergeCell ref="E70:F71"/>
    <mergeCell ref="G70:G71"/>
    <mergeCell ref="B71:D71"/>
    <mergeCell ref="A72:A73"/>
    <mergeCell ref="B72:D72"/>
    <mergeCell ref="E72:F73"/>
    <mergeCell ref="G72:G73"/>
    <mergeCell ref="B73:D73"/>
    <mergeCell ref="E91:F91"/>
    <mergeCell ref="E92:F92"/>
    <mergeCell ref="C93:D93"/>
    <mergeCell ref="E93:F93"/>
    <mergeCell ref="B94:F94"/>
    <mergeCell ref="A95:F95"/>
    <mergeCell ref="A85:G85"/>
    <mergeCell ref="B86:D86"/>
    <mergeCell ref="E86:F86"/>
    <mergeCell ref="B87:D87"/>
    <mergeCell ref="E87:F87"/>
    <mergeCell ref="A88:A94"/>
    <mergeCell ref="B88:B93"/>
    <mergeCell ref="E88:F88"/>
    <mergeCell ref="E89:F89"/>
    <mergeCell ref="E90:F90"/>
    <mergeCell ref="A114:F114"/>
    <mergeCell ref="A108:F108"/>
    <mergeCell ref="A109:F109"/>
    <mergeCell ref="A110:F110"/>
    <mergeCell ref="A111:F111"/>
    <mergeCell ref="A112:F112"/>
    <mergeCell ref="A113:G113"/>
    <mergeCell ref="A96:G96"/>
    <mergeCell ref="A97:G97"/>
    <mergeCell ref="A103:F103"/>
    <mergeCell ref="A105:F105"/>
    <mergeCell ref="A106:G106"/>
    <mergeCell ref="A107:G107"/>
  </mergeCells>
  <pageMargins left="0.23622047244094491" right="0.23622047244094491" top="0.55118110236220474" bottom="0.55118110236220474" header="0.31496062992125984" footer="0.31496062992125984"/>
  <pageSetup paperSize="9" scale="84" firstPageNumber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EF391-1B15-438B-843A-28157C6C2BF4}">
  <dimension ref="A1:H19"/>
  <sheetViews>
    <sheetView showGridLines="0" zoomScaleNormal="100" workbookViewId="0">
      <selection activeCell="D19" sqref="A1:D19"/>
    </sheetView>
  </sheetViews>
  <sheetFormatPr defaultRowHeight="14.25" x14ac:dyDescent="0.25"/>
  <cols>
    <col min="1" max="1" width="14.7109375" style="147" customWidth="1"/>
    <col min="2" max="8" width="13.7109375" style="147" customWidth="1"/>
    <col min="9" max="256" width="9.140625" style="78"/>
    <col min="257" max="257" width="26.28515625" style="78" customWidth="1"/>
    <col min="258" max="258" width="9.140625" style="78"/>
    <col min="259" max="259" width="16.5703125" style="78" bestFit="1" customWidth="1"/>
    <col min="260" max="260" width="12.28515625" style="78" customWidth="1"/>
    <col min="261" max="261" width="12.85546875" style="78" customWidth="1"/>
    <col min="262" max="262" width="10.28515625" style="78" customWidth="1"/>
    <col min="263" max="263" width="9.85546875" style="78" customWidth="1"/>
    <col min="264" max="512" width="9.140625" style="78"/>
    <col min="513" max="513" width="26.28515625" style="78" customWidth="1"/>
    <col min="514" max="514" width="9.140625" style="78"/>
    <col min="515" max="515" width="16.5703125" style="78" bestFit="1" customWidth="1"/>
    <col min="516" max="516" width="12.28515625" style="78" customWidth="1"/>
    <col min="517" max="517" width="12.85546875" style="78" customWidth="1"/>
    <col min="518" max="518" width="10.28515625" style="78" customWidth="1"/>
    <col min="519" max="519" width="9.85546875" style="78" customWidth="1"/>
    <col min="520" max="768" width="9.140625" style="78"/>
    <col min="769" max="769" width="26.28515625" style="78" customWidth="1"/>
    <col min="770" max="770" width="9.140625" style="78"/>
    <col min="771" max="771" width="16.5703125" style="78" bestFit="1" customWidth="1"/>
    <col min="772" max="772" width="12.28515625" style="78" customWidth="1"/>
    <col min="773" max="773" width="12.85546875" style="78" customWidth="1"/>
    <col min="774" max="774" width="10.28515625" style="78" customWidth="1"/>
    <col min="775" max="775" width="9.85546875" style="78" customWidth="1"/>
    <col min="776" max="1024" width="9.140625" style="78"/>
    <col min="1025" max="1025" width="26.28515625" style="78" customWidth="1"/>
    <col min="1026" max="1026" width="9.140625" style="78"/>
    <col min="1027" max="1027" width="16.5703125" style="78" bestFit="1" customWidth="1"/>
    <col min="1028" max="1028" width="12.28515625" style="78" customWidth="1"/>
    <col min="1029" max="1029" width="12.85546875" style="78" customWidth="1"/>
    <col min="1030" max="1030" width="10.28515625" style="78" customWidth="1"/>
    <col min="1031" max="1031" width="9.85546875" style="78" customWidth="1"/>
    <col min="1032" max="1280" width="9.140625" style="78"/>
    <col min="1281" max="1281" width="26.28515625" style="78" customWidth="1"/>
    <col min="1282" max="1282" width="9.140625" style="78"/>
    <col min="1283" max="1283" width="16.5703125" style="78" bestFit="1" customWidth="1"/>
    <col min="1284" max="1284" width="12.28515625" style="78" customWidth="1"/>
    <col min="1285" max="1285" width="12.85546875" style="78" customWidth="1"/>
    <col min="1286" max="1286" width="10.28515625" style="78" customWidth="1"/>
    <col min="1287" max="1287" width="9.85546875" style="78" customWidth="1"/>
    <col min="1288" max="1536" width="9.140625" style="78"/>
    <col min="1537" max="1537" width="26.28515625" style="78" customWidth="1"/>
    <col min="1538" max="1538" width="9.140625" style="78"/>
    <col min="1539" max="1539" width="16.5703125" style="78" bestFit="1" customWidth="1"/>
    <col min="1540" max="1540" width="12.28515625" style="78" customWidth="1"/>
    <col min="1541" max="1541" width="12.85546875" style="78" customWidth="1"/>
    <col min="1542" max="1542" width="10.28515625" style="78" customWidth="1"/>
    <col min="1543" max="1543" width="9.85546875" style="78" customWidth="1"/>
    <col min="1544" max="1792" width="9.140625" style="78"/>
    <col min="1793" max="1793" width="26.28515625" style="78" customWidth="1"/>
    <col min="1794" max="1794" width="9.140625" style="78"/>
    <col min="1795" max="1795" width="16.5703125" style="78" bestFit="1" customWidth="1"/>
    <col min="1796" max="1796" width="12.28515625" style="78" customWidth="1"/>
    <col min="1797" max="1797" width="12.85546875" style="78" customWidth="1"/>
    <col min="1798" max="1798" width="10.28515625" style="78" customWidth="1"/>
    <col min="1799" max="1799" width="9.85546875" style="78" customWidth="1"/>
    <col min="1800" max="2048" width="9.140625" style="78"/>
    <col min="2049" max="2049" width="26.28515625" style="78" customWidth="1"/>
    <col min="2050" max="2050" width="9.140625" style="78"/>
    <col min="2051" max="2051" width="16.5703125" style="78" bestFit="1" customWidth="1"/>
    <col min="2052" max="2052" width="12.28515625" style="78" customWidth="1"/>
    <col min="2053" max="2053" width="12.85546875" style="78" customWidth="1"/>
    <col min="2054" max="2054" width="10.28515625" style="78" customWidth="1"/>
    <col min="2055" max="2055" width="9.85546875" style="78" customWidth="1"/>
    <col min="2056" max="2304" width="9.140625" style="78"/>
    <col min="2305" max="2305" width="26.28515625" style="78" customWidth="1"/>
    <col min="2306" max="2306" width="9.140625" style="78"/>
    <col min="2307" max="2307" width="16.5703125" style="78" bestFit="1" customWidth="1"/>
    <col min="2308" max="2308" width="12.28515625" style="78" customWidth="1"/>
    <col min="2309" max="2309" width="12.85546875" style="78" customWidth="1"/>
    <col min="2310" max="2310" width="10.28515625" style="78" customWidth="1"/>
    <col min="2311" max="2311" width="9.85546875" style="78" customWidth="1"/>
    <col min="2312" max="2560" width="9.140625" style="78"/>
    <col min="2561" max="2561" width="26.28515625" style="78" customWidth="1"/>
    <col min="2562" max="2562" width="9.140625" style="78"/>
    <col min="2563" max="2563" width="16.5703125" style="78" bestFit="1" customWidth="1"/>
    <col min="2564" max="2564" width="12.28515625" style="78" customWidth="1"/>
    <col min="2565" max="2565" width="12.85546875" style="78" customWidth="1"/>
    <col min="2566" max="2566" width="10.28515625" style="78" customWidth="1"/>
    <col min="2567" max="2567" width="9.85546875" style="78" customWidth="1"/>
    <col min="2568" max="2816" width="9.140625" style="78"/>
    <col min="2817" max="2817" width="26.28515625" style="78" customWidth="1"/>
    <col min="2818" max="2818" width="9.140625" style="78"/>
    <col min="2819" max="2819" width="16.5703125" style="78" bestFit="1" customWidth="1"/>
    <col min="2820" max="2820" width="12.28515625" style="78" customWidth="1"/>
    <col min="2821" max="2821" width="12.85546875" style="78" customWidth="1"/>
    <col min="2822" max="2822" width="10.28515625" style="78" customWidth="1"/>
    <col min="2823" max="2823" width="9.85546875" style="78" customWidth="1"/>
    <col min="2824" max="3072" width="9.140625" style="78"/>
    <col min="3073" max="3073" width="26.28515625" style="78" customWidth="1"/>
    <col min="3074" max="3074" width="9.140625" style="78"/>
    <col min="3075" max="3075" width="16.5703125" style="78" bestFit="1" customWidth="1"/>
    <col min="3076" max="3076" width="12.28515625" style="78" customWidth="1"/>
    <col min="3077" max="3077" width="12.85546875" style="78" customWidth="1"/>
    <col min="3078" max="3078" width="10.28515625" style="78" customWidth="1"/>
    <col min="3079" max="3079" width="9.85546875" style="78" customWidth="1"/>
    <col min="3080" max="3328" width="9.140625" style="78"/>
    <col min="3329" max="3329" width="26.28515625" style="78" customWidth="1"/>
    <col min="3330" max="3330" width="9.140625" style="78"/>
    <col min="3331" max="3331" width="16.5703125" style="78" bestFit="1" customWidth="1"/>
    <col min="3332" max="3332" width="12.28515625" style="78" customWidth="1"/>
    <col min="3333" max="3333" width="12.85546875" style="78" customWidth="1"/>
    <col min="3334" max="3334" width="10.28515625" style="78" customWidth="1"/>
    <col min="3335" max="3335" width="9.85546875" style="78" customWidth="1"/>
    <col min="3336" max="3584" width="9.140625" style="78"/>
    <col min="3585" max="3585" width="26.28515625" style="78" customWidth="1"/>
    <col min="3586" max="3586" width="9.140625" style="78"/>
    <col min="3587" max="3587" width="16.5703125" style="78" bestFit="1" customWidth="1"/>
    <col min="3588" max="3588" width="12.28515625" style="78" customWidth="1"/>
    <col min="3589" max="3589" width="12.85546875" style="78" customWidth="1"/>
    <col min="3590" max="3590" width="10.28515625" style="78" customWidth="1"/>
    <col min="3591" max="3591" width="9.85546875" style="78" customWidth="1"/>
    <col min="3592" max="3840" width="9.140625" style="78"/>
    <col min="3841" max="3841" width="26.28515625" style="78" customWidth="1"/>
    <col min="3842" max="3842" width="9.140625" style="78"/>
    <col min="3843" max="3843" width="16.5703125" style="78" bestFit="1" customWidth="1"/>
    <col min="3844" max="3844" width="12.28515625" style="78" customWidth="1"/>
    <col min="3845" max="3845" width="12.85546875" style="78" customWidth="1"/>
    <col min="3846" max="3846" width="10.28515625" style="78" customWidth="1"/>
    <col min="3847" max="3847" width="9.85546875" style="78" customWidth="1"/>
    <col min="3848" max="4096" width="9.140625" style="78"/>
    <col min="4097" max="4097" width="26.28515625" style="78" customWidth="1"/>
    <col min="4098" max="4098" width="9.140625" style="78"/>
    <col min="4099" max="4099" width="16.5703125" style="78" bestFit="1" customWidth="1"/>
    <col min="4100" max="4100" width="12.28515625" style="78" customWidth="1"/>
    <col min="4101" max="4101" width="12.85546875" style="78" customWidth="1"/>
    <col min="4102" max="4102" width="10.28515625" style="78" customWidth="1"/>
    <col min="4103" max="4103" width="9.85546875" style="78" customWidth="1"/>
    <col min="4104" max="4352" width="9.140625" style="78"/>
    <col min="4353" max="4353" width="26.28515625" style="78" customWidth="1"/>
    <col min="4354" max="4354" width="9.140625" style="78"/>
    <col min="4355" max="4355" width="16.5703125" style="78" bestFit="1" customWidth="1"/>
    <col min="4356" max="4356" width="12.28515625" style="78" customWidth="1"/>
    <col min="4357" max="4357" width="12.85546875" style="78" customWidth="1"/>
    <col min="4358" max="4358" width="10.28515625" style="78" customWidth="1"/>
    <col min="4359" max="4359" width="9.85546875" style="78" customWidth="1"/>
    <col min="4360" max="4608" width="9.140625" style="78"/>
    <col min="4609" max="4609" width="26.28515625" style="78" customWidth="1"/>
    <col min="4610" max="4610" width="9.140625" style="78"/>
    <col min="4611" max="4611" width="16.5703125" style="78" bestFit="1" customWidth="1"/>
    <col min="4612" max="4612" width="12.28515625" style="78" customWidth="1"/>
    <col min="4613" max="4613" width="12.85546875" style="78" customWidth="1"/>
    <col min="4614" max="4614" width="10.28515625" style="78" customWidth="1"/>
    <col min="4615" max="4615" width="9.85546875" style="78" customWidth="1"/>
    <col min="4616" max="4864" width="9.140625" style="78"/>
    <col min="4865" max="4865" width="26.28515625" style="78" customWidth="1"/>
    <col min="4866" max="4866" width="9.140625" style="78"/>
    <col min="4867" max="4867" width="16.5703125" style="78" bestFit="1" customWidth="1"/>
    <col min="4868" max="4868" width="12.28515625" style="78" customWidth="1"/>
    <col min="4869" max="4869" width="12.85546875" style="78" customWidth="1"/>
    <col min="4870" max="4870" width="10.28515625" style="78" customWidth="1"/>
    <col min="4871" max="4871" width="9.85546875" style="78" customWidth="1"/>
    <col min="4872" max="5120" width="9.140625" style="78"/>
    <col min="5121" max="5121" width="26.28515625" style="78" customWidth="1"/>
    <col min="5122" max="5122" width="9.140625" style="78"/>
    <col min="5123" max="5123" width="16.5703125" style="78" bestFit="1" customWidth="1"/>
    <col min="5124" max="5124" width="12.28515625" style="78" customWidth="1"/>
    <col min="5125" max="5125" width="12.85546875" style="78" customWidth="1"/>
    <col min="5126" max="5126" width="10.28515625" style="78" customWidth="1"/>
    <col min="5127" max="5127" width="9.85546875" style="78" customWidth="1"/>
    <col min="5128" max="5376" width="9.140625" style="78"/>
    <col min="5377" max="5377" width="26.28515625" style="78" customWidth="1"/>
    <col min="5378" max="5378" width="9.140625" style="78"/>
    <col min="5379" max="5379" width="16.5703125" style="78" bestFit="1" customWidth="1"/>
    <col min="5380" max="5380" width="12.28515625" style="78" customWidth="1"/>
    <col min="5381" max="5381" width="12.85546875" style="78" customWidth="1"/>
    <col min="5382" max="5382" width="10.28515625" style="78" customWidth="1"/>
    <col min="5383" max="5383" width="9.85546875" style="78" customWidth="1"/>
    <col min="5384" max="5632" width="9.140625" style="78"/>
    <col min="5633" max="5633" width="26.28515625" style="78" customWidth="1"/>
    <col min="5634" max="5634" width="9.140625" style="78"/>
    <col min="5635" max="5635" width="16.5703125" style="78" bestFit="1" customWidth="1"/>
    <col min="5636" max="5636" width="12.28515625" style="78" customWidth="1"/>
    <col min="5637" max="5637" width="12.85546875" style="78" customWidth="1"/>
    <col min="5638" max="5638" width="10.28515625" style="78" customWidth="1"/>
    <col min="5639" max="5639" width="9.85546875" style="78" customWidth="1"/>
    <col min="5640" max="5888" width="9.140625" style="78"/>
    <col min="5889" max="5889" width="26.28515625" style="78" customWidth="1"/>
    <col min="5890" max="5890" width="9.140625" style="78"/>
    <col min="5891" max="5891" width="16.5703125" style="78" bestFit="1" customWidth="1"/>
    <col min="5892" max="5892" width="12.28515625" style="78" customWidth="1"/>
    <col min="5893" max="5893" width="12.85546875" style="78" customWidth="1"/>
    <col min="5894" max="5894" width="10.28515625" style="78" customWidth="1"/>
    <col min="5895" max="5895" width="9.85546875" style="78" customWidth="1"/>
    <col min="5896" max="6144" width="9.140625" style="78"/>
    <col min="6145" max="6145" width="26.28515625" style="78" customWidth="1"/>
    <col min="6146" max="6146" width="9.140625" style="78"/>
    <col min="6147" max="6147" width="16.5703125" style="78" bestFit="1" customWidth="1"/>
    <col min="6148" max="6148" width="12.28515625" style="78" customWidth="1"/>
    <col min="6149" max="6149" width="12.85546875" style="78" customWidth="1"/>
    <col min="6150" max="6150" width="10.28515625" style="78" customWidth="1"/>
    <col min="6151" max="6151" width="9.85546875" style="78" customWidth="1"/>
    <col min="6152" max="6400" width="9.140625" style="78"/>
    <col min="6401" max="6401" width="26.28515625" style="78" customWidth="1"/>
    <col min="6402" max="6402" width="9.140625" style="78"/>
    <col min="6403" max="6403" width="16.5703125" style="78" bestFit="1" customWidth="1"/>
    <col min="6404" max="6404" width="12.28515625" style="78" customWidth="1"/>
    <col min="6405" max="6405" width="12.85546875" style="78" customWidth="1"/>
    <col min="6406" max="6406" width="10.28515625" style="78" customWidth="1"/>
    <col min="6407" max="6407" width="9.85546875" style="78" customWidth="1"/>
    <col min="6408" max="6656" width="9.140625" style="78"/>
    <col min="6657" max="6657" width="26.28515625" style="78" customWidth="1"/>
    <col min="6658" max="6658" width="9.140625" style="78"/>
    <col min="6659" max="6659" width="16.5703125" style="78" bestFit="1" customWidth="1"/>
    <col min="6660" max="6660" width="12.28515625" style="78" customWidth="1"/>
    <col min="6661" max="6661" width="12.85546875" style="78" customWidth="1"/>
    <col min="6662" max="6662" width="10.28515625" style="78" customWidth="1"/>
    <col min="6663" max="6663" width="9.85546875" style="78" customWidth="1"/>
    <col min="6664" max="6912" width="9.140625" style="78"/>
    <col min="6913" max="6913" width="26.28515625" style="78" customWidth="1"/>
    <col min="6914" max="6914" width="9.140625" style="78"/>
    <col min="6915" max="6915" width="16.5703125" style="78" bestFit="1" customWidth="1"/>
    <col min="6916" max="6916" width="12.28515625" style="78" customWidth="1"/>
    <col min="6917" max="6917" width="12.85546875" style="78" customWidth="1"/>
    <col min="6918" max="6918" width="10.28515625" style="78" customWidth="1"/>
    <col min="6919" max="6919" width="9.85546875" style="78" customWidth="1"/>
    <col min="6920" max="7168" width="9.140625" style="78"/>
    <col min="7169" max="7169" width="26.28515625" style="78" customWidth="1"/>
    <col min="7170" max="7170" width="9.140625" style="78"/>
    <col min="7171" max="7171" width="16.5703125" style="78" bestFit="1" customWidth="1"/>
    <col min="7172" max="7172" width="12.28515625" style="78" customWidth="1"/>
    <col min="7173" max="7173" width="12.85546875" style="78" customWidth="1"/>
    <col min="7174" max="7174" width="10.28515625" style="78" customWidth="1"/>
    <col min="7175" max="7175" width="9.85546875" style="78" customWidth="1"/>
    <col min="7176" max="7424" width="9.140625" style="78"/>
    <col min="7425" max="7425" width="26.28515625" style="78" customWidth="1"/>
    <col min="7426" max="7426" width="9.140625" style="78"/>
    <col min="7427" max="7427" width="16.5703125" style="78" bestFit="1" customWidth="1"/>
    <col min="7428" max="7428" width="12.28515625" style="78" customWidth="1"/>
    <col min="7429" max="7429" width="12.85546875" style="78" customWidth="1"/>
    <col min="7430" max="7430" width="10.28515625" style="78" customWidth="1"/>
    <col min="7431" max="7431" width="9.85546875" style="78" customWidth="1"/>
    <col min="7432" max="7680" width="9.140625" style="78"/>
    <col min="7681" max="7681" width="26.28515625" style="78" customWidth="1"/>
    <col min="7682" max="7682" width="9.140625" style="78"/>
    <col min="7683" max="7683" width="16.5703125" style="78" bestFit="1" customWidth="1"/>
    <col min="7684" max="7684" width="12.28515625" style="78" customWidth="1"/>
    <col min="7685" max="7685" width="12.85546875" style="78" customWidth="1"/>
    <col min="7686" max="7686" width="10.28515625" style="78" customWidth="1"/>
    <col min="7687" max="7687" width="9.85546875" style="78" customWidth="1"/>
    <col min="7688" max="7936" width="9.140625" style="78"/>
    <col min="7937" max="7937" width="26.28515625" style="78" customWidth="1"/>
    <col min="7938" max="7938" width="9.140625" style="78"/>
    <col min="7939" max="7939" width="16.5703125" style="78" bestFit="1" customWidth="1"/>
    <col min="7940" max="7940" width="12.28515625" style="78" customWidth="1"/>
    <col min="7941" max="7941" width="12.85546875" style="78" customWidth="1"/>
    <col min="7942" max="7942" width="10.28515625" style="78" customWidth="1"/>
    <col min="7943" max="7943" width="9.85546875" style="78" customWidth="1"/>
    <col min="7944" max="8192" width="9.140625" style="78"/>
    <col min="8193" max="8193" width="26.28515625" style="78" customWidth="1"/>
    <col min="8194" max="8194" width="9.140625" style="78"/>
    <col min="8195" max="8195" width="16.5703125" style="78" bestFit="1" customWidth="1"/>
    <col min="8196" max="8196" width="12.28515625" style="78" customWidth="1"/>
    <col min="8197" max="8197" width="12.85546875" style="78" customWidth="1"/>
    <col min="8198" max="8198" width="10.28515625" style="78" customWidth="1"/>
    <col min="8199" max="8199" width="9.85546875" style="78" customWidth="1"/>
    <col min="8200" max="8448" width="9.140625" style="78"/>
    <col min="8449" max="8449" width="26.28515625" style="78" customWidth="1"/>
    <col min="8450" max="8450" width="9.140625" style="78"/>
    <col min="8451" max="8451" width="16.5703125" style="78" bestFit="1" customWidth="1"/>
    <col min="8452" max="8452" width="12.28515625" style="78" customWidth="1"/>
    <col min="8453" max="8453" width="12.85546875" style="78" customWidth="1"/>
    <col min="8454" max="8454" width="10.28515625" style="78" customWidth="1"/>
    <col min="8455" max="8455" width="9.85546875" style="78" customWidth="1"/>
    <col min="8456" max="8704" width="9.140625" style="78"/>
    <col min="8705" max="8705" width="26.28515625" style="78" customWidth="1"/>
    <col min="8706" max="8706" width="9.140625" style="78"/>
    <col min="8707" max="8707" width="16.5703125" style="78" bestFit="1" customWidth="1"/>
    <col min="8708" max="8708" width="12.28515625" style="78" customWidth="1"/>
    <col min="8709" max="8709" width="12.85546875" style="78" customWidth="1"/>
    <col min="8710" max="8710" width="10.28515625" style="78" customWidth="1"/>
    <col min="8711" max="8711" width="9.85546875" style="78" customWidth="1"/>
    <col min="8712" max="8960" width="9.140625" style="78"/>
    <col min="8961" max="8961" width="26.28515625" style="78" customWidth="1"/>
    <col min="8962" max="8962" width="9.140625" style="78"/>
    <col min="8963" max="8963" width="16.5703125" style="78" bestFit="1" customWidth="1"/>
    <col min="8964" max="8964" width="12.28515625" style="78" customWidth="1"/>
    <col min="8965" max="8965" width="12.85546875" style="78" customWidth="1"/>
    <col min="8966" max="8966" width="10.28515625" style="78" customWidth="1"/>
    <col min="8967" max="8967" width="9.85546875" style="78" customWidth="1"/>
    <col min="8968" max="9216" width="9.140625" style="78"/>
    <col min="9217" max="9217" width="26.28515625" style="78" customWidth="1"/>
    <col min="9218" max="9218" width="9.140625" style="78"/>
    <col min="9219" max="9219" width="16.5703125" style="78" bestFit="1" customWidth="1"/>
    <col min="9220" max="9220" width="12.28515625" style="78" customWidth="1"/>
    <col min="9221" max="9221" width="12.85546875" style="78" customWidth="1"/>
    <col min="9222" max="9222" width="10.28515625" style="78" customWidth="1"/>
    <col min="9223" max="9223" width="9.85546875" style="78" customWidth="1"/>
    <col min="9224" max="9472" width="9.140625" style="78"/>
    <col min="9473" max="9473" width="26.28515625" style="78" customWidth="1"/>
    <col min="9474" max="9474" width="9.140625" style="78"/>
    <col min="9475" max="9475" width="16.5703125" style="78" bestFit="1" customWidth="1"/>
    <col min="9476" max="9476" width="12.28515625" style="78" customWidth="1"/>
    <col min="9477" max="9477" width="12.85546875" style="78" customWidth="1"/>
    <col min="9478" max="9478" width="10.28515625" style="78" customWidth="1"/>
    <col min="9479" max="9479" width="9.85546875" style="78" customWidth="1"/>
    <col min="9480" max="9728" width="9.140625" style="78"/>
    <col min="9729" max="9729" width="26.28515625" style="78" customWidth="1"/>
    <col min="9730" max="9730" width="9.140625" style="78"/>
    <col min="9731" max="9731" width="16.5703125" style="78" bestFit="1" customWidth="1"/>
    <col min="9732" max="9732" width="12.28515625" style="78" customWidth="1"/>
    <col min="9733" max="9733" width="12.85546875" style="78" customWidth="1"/>
    <col min="9734" max="9734" width="10.28515625" style="78" customWidth="1"/>
    <col min="9735" max="9735" width="9.85546875" style="78" customWidth="1"/>
    <col min="9736" max="9984" width="9.140625" style="78"/>
    <col min="9985" max="9985" width="26.28515625" style="78" customWidth="1"/>
    <col min="9986" max="9986" width="9.140625" style="78"/>
    <col min="9987" max="9987" width="16.5703125" style="78" bestFit="1" customWidth="1"/>
    <col min="9988" max="9988" width="12.28515625" style="78" customWidth="1"/>
    <col min="9989" max="9989" width="12.85546875" style="78" customWidth="1"/>
    <col min="9990" max="9990" width="10.28515625" style="78" customWidth="1"/>
    <col min="9991" max="9991" width="9.85546875" style="78" customWidth="1"/>
    <col min="9992" max="10240" width="9.140625" style="78"/>
    <col min="10241" max="10241" width="26.28515625" style="78" customWidth="1"/>
    <col min="10242" max="10242" width="9.140625" style="78"/>
    <col min="10243" max="10243" width="16.5703125" style="78" bestFit="1" customWidth="1"/>
    <col min="10244" max="10244" width="12.28515625" style="78" customWidth="1"/>
    <col min="10245" max="10245" width="12.85546875" style="78" customWidth="1"/>
    <col min="10246" max="10246" width="10.28515625" style="78" customWidth="1"/>
    <col min="10247" max="10247" width="9.85546875" style="78" customWidth="1"/>
    <col min="10248" max="10496" width="9.140625" style="78"/>
    <col min="10497" max="10497" width="26.28515625" style="78" customWidth="1"/>
    <col min="10498" max="10498" width="9.140625" style="78"/>
    <col min="10499" max="10499" width="16.5703125" style="78" bestFit="1" customWidth="1"/>
    <col min="10500" max="10500" width="12.28515625" style="78" customWidth="1"/>
    <col min="10501" max="10501" width="12.85546875" style="78" customWidth="1"/>
    <col min="10502" max="10502" width="10.28515625" style="78" customWidth="1"/>
    <col min="10503" max="10503" width="9.85546875" style="78" customWidth="1"/>
    <col min="10504" max="10752" width="9.140625" style="78"/>
    <col min="10753" max="10753" width="26.28515625" style="78" customWidth="1"/>
    <col min="10754" max="10754" width="9.140625" style="78"/>
    <col min="10755" max="10755" width="16.5703125" style="78" bestFit="1" customWidth="1"/>
    <col min="10756" max="10756" width="12.28515625" style="78" customWidth="1"/>
    <col min="10757" max="10757" width="12.85546875" style="78" customWidth="1"/>
    <col min="10758" max="10758" width="10.28515625" style="78" customWidth="1"/>
    <col min="10759" max="10759" width="9.85546875" style="78" customWidth="1"/>
    <col min="10760" max="11008" width="9.140625" style="78"/>
    <col min="11009" max="11009" width="26.28515625" style="78" customWidth="1"/>
    <col min="11010" max="11010" width="9.140625" style="78"/>
    <col min="11011" max="11011" width="16.5703125" style="78" bestFit="1" customWidth="1"/>
    <col min="11012" max="11012" width="12.28515625" style="78" customWidth="1"/>
    <col min="11013" max="11013" width="12.85546875" style="78" customWidth="1"/>
    <col min="11014" max="11014" width="10.28515625" style="78" customWidth="1"/>
    <col min="11015" max="11015" width="9.85546875" style="78" customWidth="1"/>
    <col min="11016" max="11264" width="9.140625" style="78"/>
    <col min="11265" max="11265" width="26.28515625" style="78" customWidth="1"/>
    <col min="11266" max="11266" width="9.140625" style="78"/>
    <col min="11267" max="11267" width="16.5703125" style="78" bestFit="1" customWidth="1"/>
    <col min="11268" max="11268" width="12.28515625" style="78" customWidth="1"/>
    <col min="11269" max="11269" width="12.85546875" style="78" customWidth="1"/>
    <col min="11270" max="11270" width="10.28515625" style="78" customWidth="1"/>
    <col min="11271" max="11271" width="9.85546875" style="78" customWidth="1"/>
    <col min="11272" max="11520" width="9.140625" style="78"/>
    <col min="11521" max="11521" width="26.28515625" style="78" customWidth="1"/>
    <col min="11522" max="11522" width="9.140625" style="78"/>
    <col min="11523" max="11523" width="16.5703125" style="78" bestFit="1" customWidth="1"/>
    <col min="11524" max="11524" width="12.28515625" style="78" customWidth="1"/>
    <col min="11525" max="11525" width="12.85546875" style="78" customWidth="1"/>
    <col min="11526" max="11526" width="10.28515625" style="78" customWidth="1"/>
    <col min="11527" max="11527" width="9.85546875" style="78" customWidth="1"/>
    <col min="11528" max="11776" width="9.140625" style="78"/>
    <col min="11777" max="11777" width="26.28515625" style="78" customWidth="1"/>
    <col min="11778" max="11778" width="9.140625" style="78"/>
    <col min="11779" max="11779" width="16.5703125" style="78" bestFit="1" customWidth="1"/>
    <col min="11780" max="11780" width="12.28515625" style="78" customWidth="1"/>
    <col min="11781" max="11781" width="12.85546875" style="78" customWidth="1"/>
    <col min="11782" max="11782" width="10.28515625" style="78" customWidth="1"/>
    <col min="11783" max="11783" width="9.85546875" style="78" customWidth="1"/>
    <col min="11784" max="12032" width="9.140625" style="78"/>
    <col min="12033" max="12033" width="26.28515625" style="78" customWidth="1"/>
    <col min="12034" max="12034" width="9.140625" style="78"/>
    <col min="12035" max="12035" width="16.5703125" style="78" bestFit="1" customWidth="1"/>
    <col min="12036" max="12036" width="12.28515625" style="78" customWidth="1"/>
    <col min="12037" max="12037" width="12.85546875" style="78" customWidth="1"/>
    <col min="12038" max="12038" width="10.28515625" style="78" customWidth="1"/>
    <col min="12039" max="12039" width="9.85546875" style="78" customWidth="1"/>
    <col min="12040" max="12288" width="9.140625" style="78"/>
    <col min="12289" max="12289" width="26.28515625" style="78" customWidth="1"/>
    <col min="12290" max="12290" width="9.140625" style="78"/>
    <col min="12291" max="12291" width="16.5703125" style="78" bestFit="1" customWidth="1"/>
    <col min="12292" max="12292" width="12.28515625" style="78" customWidth="1"/>
    <col min="12293" max="12293" width="12.85546875" style="78" customWidth="1"/>
    <col min="12294" max="12294" width="10.28515625" style="78" customWidth="1"/>
    <col min="12295" max="12295" width="9.85546875" style="78" customWidth="1"/>
    <col min="12296" max="12544" width="9.140625" style="78"/>
    <col min="12545" max="12545" width="26.28515625" style="78" customWidth="1"/>
    <col min="12546" max="12546" width="9.140625" style="78"/>
    <col min="12547" max="12547" width="16.5703125" style="78" bestFit="1" customWidth="1"/>
    <col min="12548" max="12548" width="12.28515625" style="78" customWidth="1"/>
    <col min="12549" max="12549" width="12.85546875" style="78" customWidth="1"/>
    <col min="12550" max="12550" width="10.28515625" style="78" customWidth="1"/>
    <col min="12551" max="12551" width="9.85546875" style="78" customWidth="1"/>
    <col min="12552" max="12800" width="9.140625" style="78"/>
    <col min="12801" max="12801" width="26.28515625" style="78" customWidth="1"/>
    <col min="12802" max="12802" width="9.140625" style="78"/>
    <col min="12803" max="12803" width="16.5703125" style="78" bestFit="1" customWidth="1"/>
    <col min="12804" max="12804" width="12.28515625" style="78" customWidth="1"/>
    <col min="12805" max="12805" width="12.85546875" style="78" customWidth="1"/>
    <col min="12806" max="12806" width="10.28515625" style="78" customWidth="1"/>
    <col min="12807" max="12807" width="9.85546875" style="78" customWidth="1"/>
    <col min="12808" max="13056" width="9.140625" style="78"/>
    <col min="13057" max="13057" width="26.28515625" style="78" customWidth="1"/>
    <col min="13058" max="13058" width="9.140625" style="78"/>
    <col min="13059" max="13059" width="16.5703125" style="78" bestFit="1" customWidth="1"/>
    <col min="13060" max="13060" width="12.28515625" style="78" customWidth="1"/>
    <col min="13061" max="13061" width="12.85546875" style="78" customWidth="1"/>
    <col min="13062" max="13062" width="10.28515625" style="78" customWidth="1"/>
    <col min="13063" max="13063" width="9.85546875" style="78" customWidth="1"/>
    <col min="13064" max="13312" width="9.140625" style="78"/>
    <col min="13313" max="13313" width="26.28515625" style="78" customWidth="1"/>
    <col min="13314" max="13314" width="9.140625" style="78"/>
    <col min="13315" max="13315" width="16.5703125" style="78" bestFit="1" customWidth="1"/>
    <col min="13316" max="13316" width="12.28515625" style="78" customWidth="1"/>
    <col min="13317" max="13317" width="12.85546875" style="78" customWidth="1"/>
    <col min="13318" max="13318" width="10.28515625" style="78" customWidth="1"/>
    <col min="13319" max="13319" width="9.85546875" style="78" customWidth="1"/>
    <col min="13320" max="13568" width="9.140625" style="78"/>
    <col min="13569" max="13569" width="26.28515625" style="78" customWidth="1"/>
    <col min="13570" max="13570" width="9.140625" style="78"/>
    <col min="13571" max="13571" width="16.5703125" style="78" bestFit="1" customWidth="1"/>
    <col min="13572" max="13572" width="12.28515625" style="78" customWidth="1"/>
    <col min="13573" max="13573" width="12.85546875" style="78" customWidth="1"/>
    <col min="13574" max="13574" width="10.28515625" style="78" customWidth="1"/>
    <col min="13575" max="13575" width="9.85546875" style="78" customWidth="1"/>
    <col min="13576" max="13824" width="9.140625" style="78"/>
    <col min="13825" max="13825" width="26.28515625" style="78" customWidth="1"/>
    <col min="13826" max="13826" width="9.140625" style="78"/>
    <col min="13827" max="13827" width="16.5703125" style="78" bestFit="1" customWidth="1"/>
    <col min="13828" max="13828" width="12.28515625" style="78" customWidth="1"/>
    <col min="13829" max="13829" width="12.85546875" style="78" customWidth="1"/>
    <col min="13830" max="13830" width="10.28515625" style="78" customWidth="1"/>
    <col min="13831" max="13831" width="9.85546875" style="78" customWidth="1"/>
    <col min="13832" max="14080" width="9.140625" style="78"/>
    <col min="14081" max="14081" width="26.28515625" style="78" customWidth="1"/>
    <col min="14082" max="14082" width="9.140625" style="78"/>
    <col min="14083" max="14083" width="16.5703125" style="78" bestFit="1" customWidth="1"/>
    <col min="14084" max="14084" width="12.28515625" style="78" customWidth="1"/>
    <col min="14085" max="14085" width="12.85546875" style="78" customWidth="1"/>
    <col min="14086" max="14086" width="10.28515625" style="78" customWidth="1"/>
    <col min="14087" max="14087" width="9.85546875" style="78" customWidth="1"/>
    <col min="14088" max="14336" width="9.140625" style="78"/>
    <col min="14337" max="14337" width="26.28515625" style="78" customWidth="1"/>
    <col min="14338" max="14338" width="9.140625" style="78"/>
    <col min="14339" max="14339" width="16.5703125" style="78" bestFit="1" customWidth="1"/>
    <col min="14340" max="14340" width="12.28515625" style="78" customWidth="1"/>
    <col min="14341" max="14341" width="12.85546875" style="78" customWidth="1"/>
    <col min="14342" max="14342" width="10.28515625" style="78" customWidth="1"/>
    <col min="14343" max="14343" width="9.85546875" style="78" customWidth="1"/>
    <col min="14344" max="14592" width="9.140625" style="78"/>
    <col min="14593" max="14593" width="26.28515625" style="78" customWidth="1"/>
    <col min="14594" max="14594" width="9.140625" style="78"/>
    <col min="14595" max="14595" width="16.5703125" style="78" bestFit="1" customWidth="1"/>
    <col min="14596" max="14596" width="12.28515625" style="78" customWidth="1"/>
    <col min="14597" max="14597" width="12.85546875" style="78" customWidth="1"/>
    <col min="14598" max="14598" width="10.28515625" style="78" customWidth="1"/>
    <col min="14599" max="14599" width="9.85546875" style="78" customWidth="1"/>
    <col min="14600" max="14848" width="9.140625" style="78"/>
    <col min="14849" max="14849" width="26.28515625" style="78" customWidth="1"/>
    <col min="14850" max="14850" width="9.140625" style="78"/>
    <col min="14851" max="14851" width="16.5703125" style="78" bestFit="1" customWidth="1"/>
    <col min="14852" max="14852" width="12.28515625" style="78" customWidth="1"/>
    <col min="14853" max="14853" width="12.85546875" style="78" customWidth="1"/>
    <col min="14854" max="14854" width="10.28515625" style="78" customWidth="1"/>
    <col min="14855" max="14855" width="9.85546875" style="78" customWidth="1"/>
    <col min="14856" max="15104" width="9.140625" style="78"/>
    <col min="15105" max="15105" width="26.28515625" style="78" customWidth="1"/>
    <col min="15106" max="15106" width="9.140625" style="78"/>
    <col min="15107" max="15107" width="16.5703125" style="78" bestFit="1" customWidth="1"/>
    <col min="15108" max="15108" width="12.28515625" style="78" customWidth="1"/>
    <col min="15109" max="15109" width="12.85546875" style="78" customWidth="1"/>
    <col min="15110" max="15110" width="10.28515625" style="78" customWidth="1"/>
    <col min="15111" max="15111" width="9.85546875" style="78" customWidth="1"/>
    <col min="15112" max="15360" width="9.140625" style="78"/>
    <col min="15361" max="15361" width="26.28515625" style="78" customWidth="1"/>
    <col min="15362" max="15362" width="9.140625" style="78"/>
    <col min="15363" max="15363" width="16.5703125" style="78" bestFit="1" customWidth="1"/>
    <col min="15364" max="15364" width="12.28515625" style="78" customWidth="1"/>
    <col min="15365" max="15365" width="12.85546875" style="78" customWidth="1"/>
    <col min="15366" max="15366" width="10.28515625" style="78" customWidth="1"/>
    <col min="15367" max="15367" width="9.85546875" style="78" customWidth="1"/>
    <col min="15368" max="15616" width="9.140625" style="78"/>
    <col min="15617" max="15617" width="26.28515625" style="78" customWidth="1"/>
    <col min="15618" max="15618" width="9.140625" style="78"/>
    <col min="15619" max="15619" width="16.5703125" style="78" bestFit="1" customWidth="1"/>
    <col min="15620" max="15620" width="12.28515625" style="78" customWidth="1"/>
    <col min="15621" max="15621" width="12.85546875" style="78" customWidth="1"/>
    <col min="15622" max="15622" width="10.28515625" style="78" customWidth="1"/>
    <col min="15623" max="15623" width="9.85546875" style="78" customWidth="1"/>
    <col min="15624" max="15872" width="9.140625" style="78"/>
    <col min="15873" max="15873" width="26.28515625" style="78" customWidth="1"/>
    <col min="15874" max="15874" width="9.140625" style="78"/>
    <col min="15875" max="15875" width="16.5703125" style="78" bestFit="1" customWidth="1"/>
    <col min="15876" max="15876" width="12.28515625" style="78" customWidth="1"/>
    <col min="15877" max="15877" width="12.85546875" style="78" customWidth="1"/>
    <col min="15878" max="15878" width="10.28515625" style="78" customWidth="1"/>
    <col min="15879" max="15879" width="9.85546875" style="78" customWidth="1"/>
    <col min="15880" max="16128" width="9.140625" style="78"/>
    <col min="16129" max="16129" width="26.28515625" style="78" customWidth="1"/>
    <col min="16130" max="16130" width="9.140625" style="78"/>
    <col min="16131" max="16131" width="16.5703125" style="78" bestFit="1" customWidth="1"/>
    <col min="16132" max="16132" width="12.28515625" style="78" customWidth="1"/>
    <col min="16133" max="16133" width="12.85546875" style="78" customWidth="1"/>
    <col min="16134" max="16134" width="10.28515625" style="78" customWidth="1"/>
    <col min="16135" max="16135" width="9.85546875" style="78" customWidth="1"/>
    <col min="16136" max="16384" width="9.140625" style="78"/>
  </cols>
  <sheetData>
    <row r="1" spans="1:8" ht="27.75" customHeight="1" x14ac:dyDescent="0.25">
      <c r="A1" s="311" t="s">
        <v>194</v>
      </c>
      <c r="B1" s="311"/>
      <c r="C1" s="311"/>
      <c r="D1" s="311"/>
    </row>
    <row r="2" spans="1:8" ht="27.75" customHeight="1" x14ac:dyDescent="0.25">
      <c r="A2" s="314" t="s">
        <v>164</v>
      </c>
      <c r="B2" s="314"/>
      <c r="C2" s="314"/>
      <c r="D2" s="314"/>
      <c r="G2" s="78"/>
      <c r="H2" s="78"/>
    </row>
    <row r="3" spans="1:8" ht="27.75" customHeight="1" x14ac:dyDescent="0.25">
      <c r="A3" s="314" t="s">
        <v>124</v>
      </c>
      <c r="B3" s="314"/>
      <c r="C3" s="314"/>
      <c r="D3" s="314"/>
      <c r="G3" s="78"/>
      <c r="H3" s="78"/>
    </row>
    <row r="4" spans="1:8" ht="27.75" customHeight="1" x14ac:dyDescent="0.25">
      <c r="A4" s="311" t="s">
        <v>125</v>
      </c>
      <c r="B4" s="196">
        <v>1</v>
      </c>
      <c r="C4" s="196">
        <v>2</v>
      </c>
      <c r="D4" s="196" t="s">
        <v>126</v>
      </c>
      <c r="E4" s="138"/>
      <c r="F4" s="138"/>
      <c r="G4" s="78"/>
      <c r="H4" s="78"/>
    </row>
    <row r="5" spans="1:8" ht="27.75" customHeight="1" x14ac:dyDescent="0.25">
      <c r="A5" s="311"/>
      <c r="B5" s="196" t="s">
        <v>127</v>
      </c>
      <c r="C5" s="196" t="s">
        <v>128</v>
      </c>
      <c r="D5" s="196" t="s">
        <v>129</v>
      </c>
      <c r="E5" s="138"/>
      <c r="F5" s="138"/>
      <c r="G5" s="78"/>
      <c r="H5" s="78"/>
    </row>
    <row r="6" spans="1:8" ht="27.75" customHeight="1" x14ac:dyDescent="0.25">
      <c r="A6" s="311"/>
      <c r="B6" s="196" t="s">
        <v>130</v>
      </c>
      <c r="C6" s="196" t="s">
        <v>131</v>
      </c>
      <c r="D6" s="196" t="s">
        <v>132</v>
      </c>
      <c r="E6" s="138"/>
      <c r="F6" s="138"/>
      <c r="G6" s="78"/>
      <c r="H6" s="78"/>
    </row>
    <row r="7" spans="1:8" ht="27.75" customHeight="1" x14ac:dyDescent="0.25">
      <c r="A7" s="314" t="s">
        <v>133</v>
      </c>
      <c r="B7" s="314"/>
      <c r="C7" s="314"/>
      <c r="D7" s="314"/>
    </row>
    <row r="8" spans="1:8" ht="27.75" customHeight="1" x14ac:dyDescent="0.25">
      <c r="A8" s="186" t="s">
        <v>135</v>
      </c>
      <c r="B8" s="135" t="s">
        <v>136</v>
      </c>
      <c r="C8" s="113">
        <f>'G1 PAR - TO Servente'!G105</f>
        <v>6141.9123268409066</v>
      </c>
      <c r="D8" s="113">
        <f>(1/1200)*C8</f>
        <v>5.1182602723674222</v>
      </c>
      <c r="E8" s="136"/>
      <c r="F8" s="136"/>
    </row>
    <row r="9" spans="1:8" ht="27.75" customHeight="1" x14ac:dyDescent="0.25">
      <c r="A9" s="307" t="s">
        <v>158</v>
      </c>
      <c r="B9" s="307"/>
      <c r="C9" s="307"/>
      <c r="D9" s="137">
        <f>SUM(D8:D8)</f>
        <v>5.1182602723674222</v>
      </c>
      <c r="E9" s="136"/>
      <c r="F9" s="136"/>
    </row>
    <row r="10" spans="1:8" ht="27.75" customHeight="1" x14ac:dyDescent="0.25">
      <c r="A10" s="314" t="s">
        <v>139</v>
      </c>
      <c r="B10" s="314"/>
      <c r="C10" s="314"/>
      <c r="D10" s="314"/>
      <c r="E10" s="138"/>
      <c r="F10" s="138"/>
    </row>
    <row r="11" spans="1:8" ht="27.75" customHeight="1" x14ac:dyDescent="0.25">
      <c r="A11" s="186" t="s">
        <v>135</v>
      </c>
      <c r="B11" s="135" t="s">
        <v>140</v>
      </c>
      <c r="C11" s="113">
        <f>C8</f>
        <v>6141.9123268409066</v>
      </c>
      <c r="D11" s="113">
        <f>(1/300)*C11</f>
        <v>20.473041089469689</v>
      </c>
      <c r="E11" s="136"/>
      <c r="F11" s="136"/>
    </row>
    <row r="12" spans="1:8" ht="27.75" customHeight="1" x14ac:dyDescent="0.25">
      <c r="A12" s="307" t="s">
        <v>158</v>
      </c>
      <c r="B12" s="307"/>
      <c r="C12" s="307"/>
      <c r="D12" s="137">
        <f>SUM(D11:D11)</f>
        <v>20.473041089469689</v>
      </c>
      <c r="E12" s="136"/>
      <c r="F12" s="136"/>
    </row>
    <row r="13" spans="1:8" ht="27.75" customHeight="1" x14ac:dyDescent="0.25">
      <c r="A13" s="314" t="s">
        <v>141</v>
      </c>
      <c r="B13" s="314"/>
      <c r="C13" s="314"/>
      <c r="D13" s="314"/>
      <c r="E13" s="138"/>
      <c r="F13" s="138"/>
    </row>
    <row r="14" spans="1:8" ht="27.75" customHeight="1" x14ac:dyDescent="0.25">
      <c r="A14" s="311" t="s">
        <v>125</v>
      </c>
      <c r="B14" s="196">
        <v>1</v>
      </c>
      <c r="C14" s="196">
        <v>2</v>
      </c>
      <c r="D14" s="196" t="s">
        <v>126</v>
      </c>
      <c r="E14" s="140"/>
      <c r="F14" s="140"/>
      <c r="G14" s="138"/>
    </row>
    <row r="15" spans="1:8" ht="27.75" customHeight="1" x14ac:dyDescent="0.25">
      <c r="A15" s="311"/>
      <c r="B15" s="196" t="s">
        <v>127</v>
      </c>
      <c r="C15" s="196" t="s">
        <v>128</v>
      </c>
      <c r="D15" s="196" t="s">
        <v>129</v>
      </c>
      <c r="E15" s="138"/>
      <c r="F15" s="138"/>
      <c r="G15" s="138"/>
    </row>
    <row r="16" spans="1:8" ht="27.75" customHeight="1" x14ac:dyDescent="0.25">
      <c r="A16" s="311"/>
      <c r="B16" s="196" t="s">
        <v>130</v>
      </c>
      <c r="C16" s="196" t="s">
        <v>131</v>
      </c>
      <c r="D16" s="196" t="s">
        <v>132</v>
      </c>
      <c r="E16" s="138"/>
      <c r="F16" s="138"/>
      <c r="G16" s="138"/>
    </row>
    <row r="17" spans="1:7" ht="27.75" customHeight="1" x14ac:dyDescent="0.25">
      <c r="A17" s="321" t="s">
        <v>142</v>
      </c>
      <c r="B17" s="321"/>
      <c r="C17" s="321"/>
      <c r="D17" s="321"/>
    </row>
    <row r="18" spans="1:7" ht="27.75" customHeight="1" x14ac:dyDescent="0.25">
      <c r="A18" s="186" t="s">
        <v>135</v>
      </c>
      <c r="B18" s="139" t="s">
        <v>143</v>
      </c>
      <c r="C18" s="113">
        <f>C8</f>
        <v>6141.9123268409066</v>
      </c>
      <c r="D18" s="113">
        <f>(1/2700)*C18</f>
        <v>2.2747823432744099</v>
      </c>
    </row>
    <row r="19" spans="1:7" ht="27.75" customHeight="1" x14ac:dyDescent="0.25">
      <c r="A19" s="307" t="s">
        <v>158</v>
      </c>
      <c r="B19" s="307"/>
      <c r="C19" s="307"/>
      <c r="D19" s="137">
        <f>SUM(D18:D18)</f>
        <v>2.2747823432744099</v>
      </c>
      <c r="E19" s="138"/>
      <c r="F19" s="138"/>
      <c r="G19" s="138"/>
    </row>
  </sheetData>
  <mergeCells count="12">
    <mergeCell ref="A1:D1"/>
    <mergeCell ref="A2:D2"/>
    <mergeCell ref="A3:D3"/>
    <mergeCell ref="A4:A6"/>
    <mergeCell ref="A10:D10"/>
    <mergeCell ref="A19:C19"/>
    <mergeCell ref="A12:C12"/>
    <mergeCell ref="A13:D13"/>
    <mergeCell ref="A17:D17"/>
    <mergeCell ref="A7:D7"/>
    <mergeCell ref="A9:C9"/>
    <mergeCell ref="A14:A16"/>
  </mergeCells>
  <pageMargins left="0.511811024" right="0.511811024" top="1.3474015750000001" bottom="0.78740157499999996" header="0.31496062000000002" footer="0.31496062000000002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0C50-852B-4A78-8727-2AAEE931FA88}">
  <dimension ref="A1:O59"/>
  <sheetViews>
    <sheetView showGridLines="0" topLeftCell="A33" zoomScale="90" zoomScaleNormal="90" workbookViewId="0">
      <selection activeCell="O28" sqref="O28"/>
    </sheetView>
  </sheetViews>
  <sheetFormatPr defaultRowHeight="12" x14ac:dyDescent="0.2"/>
  <cols>
    <col min="1" max="2" width="4.42578125" style="187" customWidth="1"/>
    <col min="3" max="3" width="30.140625" style="188" customWidth="1"/>
    <col min="4" max="4" width="10.42578125" style="187" customWidth="1"/>
    <col min="5" max="5" width="9.140625" style="217" customWidth="1"/>
    <col min="6" max="6" width="8.7109375" style="217" customWidth="1"/>
    <col min="7" max="7" width="11.5703125" style="217" customWidth="1"/>
    <col min="8" max="8" width="11.140625" style="217" customWidth="1"/>
    <col min="9" max="9" width="11" style="217" customWidth="1"/>
    <col min="10" max="10" width="7.5703125" style="187" customWidth="1"/>
    <col min="11" max="11" width="13.140625" style="187" customWidth="1"/>
    <col min="12" max="12" width="15" style="187" customWidth="1"/>
    <col min="13" max="13" width="13.140625" style="187" customWidth="1"/>
    <col min="14" max="18" width="17.5703125" style="187" customWidth="1"/>
    <col min="19" max="260" width="9.140625" style="187"/>
    <col min="261" max="261" width="8.28515625" style="187" customWidth="1"/>
    <col min="262" max="262" width="55.7109375" style="187" customWidth="1"/>
    <col min="263" max="263" width="10.140625" style="187" bestFit="1" customWidth="1"/>
    <col min="264" max="264" width="10.28515625" style="187" bestFit="1" customWidth="1"/>
    <col min="265" max="265" width="12.140625" style="187" customWidth="1"/>
    <col min="266" max="266" width="9.140625" style="187"/>
    <col min="267" max="267" width="11.5703125" style="187" bestFit="1" customWidth="1"/>
    <col min="268" max="516" width="9.140625" style="187"/>
    <col min="517" max="517" width="8.28515625" style="187" customWidth="1"/>
    <col min="518" max="518" width="55.7109375" style="187" customWidth="1"/>
    <col min="519" max="519" width="10.140625" style="187" bestFit="1" customWidth="1"/>
    <col min="520" max="520" width="10.28515625" style="187" bestFit="1" customWidth="1"/>
    <col min="521" max="521" width="12.140625" style="187" customWidth="1"/>
    <col min="522" max="522" width="9.140625" style="187"/>
    <col min="523" max="523" width="11.5703125" style="187" bestFit="1" customWidth="1"/>
    <col min="524" max="772" width="9.140625" style="187"/>
    <col min="773" max="773" width="8.28515625" style="187" customWidth="1"/>
    <col min="774" max="774" width="55.7109375" style="187" customWidth="1"/>
    <col min="775" max="775" width="10.140625" style="187" bestFit="1" customWidth="1"/>
    <col min="776" max="776" width="10.28515625" style="187" bestFit="1" customWidth="1"/>
    <col min="777" max="777" width="12.140625" style="187" customWidth="1"/>
    <col min="778" max="778" width="9.140625" style="187"/>
    <col min="779" max="779" width="11.5703125" style="187" bestFit="1" customWidth="1"/>
    <col min="780" max="1028" width="9.140625" style="187"/>
    <col min="1029" max="1029" width="8.28515625" style="187" customWidth="1"/>
    <col min="1030" max="1030" width="55.7109375" style="187" customWidth="1"/>
    <col min="1031" max="1031" width="10.140625" style="187" bestFit="1" customWidth="1"/>
    <col min="1032" max="1032" width="10.28515625" style="187" bestFit="1" customWidth="1"/>
    <col min="1033" max="1033" width="12.140625" style="187" customWidth="1"/>
    <col min="1034" max="1034" width="9.140625" style="187"/>
    <col min="1035" max="1035" width="11.5703125" style="187" bestFit="1" customWidth="1"/>
    <col min="1036" max="1284" width="9.140625" style="187"/>
    <col min="1285" max="1285" width="8.28515625" style="187" customWidth="1"/>
    <col min="1286" max="1286" width="55.7109375" style="187" customWidth="1"/>
    <col min="1287" max="1287" width="10.140625" style="187" bestFit="1" customWidth="1"/>
    <col min="1288" max="1288" width="10.28515625" style="187" bestFit="1" customWidth="1"/>
    <col min="1289" max="1289" width="12.140625" style="187" customWidth="1"/>
    <col min="1290" max="1290" width="9.140625" style="187"/>
    <col min="1291" max="1291" width="11.5703125" style="187" bestFit="1" customWidth="1"/>
    <col min="1292" max="1540" width="9.140625" style="187"/>
    <col min="1541" max="1541" width="8.28515625" style="187" customWidth="1"/>
    <col min="1542" max="1542" width="55.7109375" style="187" customWidth="1"/>
    <col min="1543" max="1543" width="10.140625" style="187" bestFit="1" customWidth="1"/>
    <col min="1544" max="1544" width="10.28515625" style="187" bestFit="1" customWidth="1"/>
    <col min="1545" max="1545" width="12.140625" style="187" customWidth="1"/>
    <col min="1546" max="1546" width="9.140625" style="187"/>
    <col min="1547" max="1547" width="11.5703125" style="187" bestFit="1" customWidth="1"/>
    <col min="1548" max="1796" width="9.140625" style="187"/>
    <col min="1797" max="1797" width="8.28515625" style="187" customWidth="1"/>
    <col min="1798" max="1798" width="55.7109375" style="187" customWidth="1"/>
    <col min="1799" max="1799" width="10.140625" style="187" bestFit="1" customWidth="1"/>
    <col min="1800" max="1800" width="10.28515625" style="187" bestFit="1" customWidth="1"/>
    <col min="1801" max="1801" width="12.140625" style="187" customWidth="1"/>
    <col min="1802" max="1802" width="9.140625" style="187"/>
    <col min="1803" max="1803" width="11.5703125" style="187" bestFit="1" customWidth="1"/>
    <col min="1804" max="2052" width="9.140625" style="187"/>
    <col min="2053" max="2053" width="8.28515625" style="187" customWidth="1"/>
    <col min="2054" max="2054" width="55.7109375" style="187" customWidth="1"/>
    <col min="2055" max="2055" width="10.140625" style="187" bestFit="1" customWidth="1"/>
    <col min="2056" max="2056" width="10.28515625" style="187" bestFit="1" customWidth="1"/>
    <col min="2057" max="2057" width="12.140625" style="187" customWidth="1"/>
    <col min="2058" max="2058" width="9.140625" style="187"/>
    <col min="2059" max="2059" width="11.5703125" style="187" bestFit="1" customWidth="1"/>
    <col min="2060" max="2308" width="9.140625" style="187"/>
    <col min="2309" max="2309" width="8.28515625" style="187" customWidth="1"/>
    <col min="2310" max="2310" width="55.7109375" style="187" customWidth="1"/>
    <col min="2311" max="2311" width="10.140625" style="187" bestFit="1" customWidth="1"/>
    <col min="2312" max="2312" width="10.28515625" style="187" bestFit="1" customWidth="1"/>
    <col min="2313" max="2313" width="12.140625" style="187" customWidth="1"/>
    <col min="2314" max="2314" width="9.140625" style="187"/>
    <col min="2315" max="2315" width="11.5703125" style="187" bestFit="1" customWidth="1"/>
    <col min="2316" max="2564" width="9.140625" style="187"/>
    <col min="2565" max="2565" width="8.28515625" style="187" customWidth="1"/>
    <col min="2566" max="2566" width="55.7109375" style="187" customWidth="1"/>
    <col min="2567" max="2567" width="10.140625" style="187" bestFit="1" customWidth="1"/>
    <col min="2568" max="2568" width="10.28515625" style="187" bestFit="1" customWidth="1"/>
    <col min="2569" max="2569" width="12.140625" style="187" customWidth="1"/>
    <col min="2570" max="2570" width="9.140625" style="187"/>
    <col min="2571" max="2571" width="11.5703125" style="187" bestFit="1" customWidth="1"/>
    <col min="2572" max="2820" width="9.140625" style="187"/>
    <col min="2821" max="2821" width="8.28515625" style="187" customWidth="1"/>
    <col min="2822" max="2822" width="55.7109375" style="187" customWidth="1"/>
    <col min="2823" max="2823" width="10.140625" style="187" bestFit="1" customWidth="1"/>
    <col min="2824" max="2824" width="10.28515625" style="187" bestFit="1" customWidth="1"/>
    <col min="2825" max="2825" width="12.140625" style="187" customWidth="1"/>
    <col min="2826" max="2826" width="9.140625" style="187"/>
    <col min="2827" max="2827" width="11.5703125" style="187" bestFit="1" customWidth="1"/>
    <col min="2828" max="3076" width="9.140625" style="187"/>
    <col min="3077" max="3077" width="8.28515625" style="187" customWidth="1"/>
    <col min="3078" max="3078" width="55.7109375" style="187" customWidth="1"/>
    <col min="3079" max="3079" width="10.140625" style="187" bestFit="1" customWidth="1"/>
    <col min="3080" max="3080" width="10.28515625" style="187" bestFit="1" customWidth="1"/>
    <col min="3081" max="3081" width="12.140625" style="187" customWidth="1"/>
    <col min="3082" max="3082" width="9.140625" style="187"/>
    <col min="3083" max="3083" width="11.5703125" style="187" bestFit="1" customWidth="1"/>
    <col min="3084" max="3332" width="9.140625" style="187"/>
    <col min="3333" max="3333" width="8.28515625" style="187" customWidth="1"/>
    <col min="3334" max="3334" width="55.7109375" style="187" customWidth="1"/>
    <col min="3335" max="3335" width="10.140625" style="187" bestFit="1" customWidth="1"/>
    <col min="3336" max="3336" width="10.28515625" style="187" bestFit="1" customWidth="1"/>
    <col min="3337" max="3337" width="12.140625" style="187" customWidth="1"/>
    <col min="3338" max="3338" width="9.140625" style="187"/>
    <col min="3339" max="3339" width="11.5703125" style="187" bestFit="1" customWidth="1"/>
    <col min="3340" max="3588" width="9.140625" style="187"/>
    <col min="3589" max="3589" width="8.28515625" style="187" customWidth="1"/>
    <col min="3590" max="3590" width="55.7109375" style="187" customWidth="1"/>
    <col min="3591" max="3591" width="10.140625" style="187" bestFit="1" customWidth="1"/>
    <col min="3592" max="3592" width="10.28515625" style="187" bestFit="1" customWidth="1"/>
    <col min="3593" max="3593" width="12.140625" style="187" customWidth="1"/>
    <col min="3594" max="3594" width="9.140625" style="187"/>
    <col min="3595" max="3595" width="11.5703125" style="187" bestFit="1" customWidth="1"/>
    <col min="3596" max="3844" width="9.140625" style="187"/>
    <col min="3845" max="3845" width="8.28515625" style="187" customWidth="1"/>
    <col min="3846" max="3846" width="55.7109375" style="187" customWidth="1"/>
    <col min="3847" max="3847" width="10.140625" style="187" bestFit="1" customWidth="1"/>
    <col min="3848" max="3848" width="10.28515625" style="187" bestFit="1" customWidth="1"/>
    <col min="3849" max="3849" width="12.140625" style="187" customWidth="1"/>
    <col min="3850" max="3850" width="9.140625" style="187"/>
    <col min="3851" max="3851" width="11.5703125" style="187" bestFit="1" customWidth="1"/>
    <col min="3852" max="4100" width="9.140625" style="187"/>
    <col min="4101" max="4101" width="8.28515625" style="187" customWidth="1"/>
    <col min="4102" max="4102" width="55.7109375" style="187" customWidth="1"/>
    <col min="4103" max="4103" width="10.140625" style="187" bestFit="1" customWidth="1"/>
    <col min="4104" max="4104" width="10.28515625" style="187" bestFit="1" customWidth="1"/>
    <col min="4105" max="4105" width="12.140625" style="187" customWidth="1"/>
    <col min="4106" max="4106" width="9.140625" style="187"/>
    <col min="4107" max="4107" width="11.5703125" style="187" bestFit="1" customWidth="1"/>
    <col min="4108" max="4356" width="9.140625" style="187"/>
    <col min="4357" max="4357" width="8.28515625" style="187" customWidth="1"/>
    <col min="4358" max="4358" width="55.7109375" style="187" customWidth="1"/>
    <col min="4359" max="4359" width="10.140625" style="187" bestFit="1" customWidth="1"/>
    <col min="4360" max="4360" width="10.28515625" style="187" bestFit="1" customWidth="1"/>
    <col min="4361" max="4361" width="12.140625" style="187" customWidth="1"/>
    <col min="4362" max="4362" width="9.140625" style="187"/>
    <col min="4363" max="4363" width="11.5703125" style="187" bestFit="1" customWidth="1"/>
    <col min="4364" max="4612" width="9.140625" style="187"/>
    <col min="4613" max="4613" width="8.28515625" style="187" customWidth="1"/>
    <col min="4614" max="4614" width="55.7109375" style="187" customWidth="1"/>
    <col min="4615" max="4615" width="10.140625" style="187" bestFit="1" customWidth="1"/>
    <col min="4616" max="4616" width="10.28515625" style="187" bestFit="1" customWidth="1"/>
    <col min="4617" max="4617" width="12.140625" style="187" customWidth="1"/>
    <col min="4618" max="4618" width="9.140625" style="187"/>
    <col min="4619" max="4619" width="11.5703125" style="187" bestFit="1" customWidth="1"/>
    <col min="4620" max="4868" width="9.140625" style="187"/>
    <col min="4869" max="4869" width="8.28515625" style="187" customWidth="1"/>
    <col min="4870" max="4870" width="55.7109375" style="187" customWidth="1"/>
    <col min="4871" max="4871" width="10.140625" style="187" bestFit="1" customWidth="1"/>
    <col min="4872" max="4872" width="10.28515625" style="187" bestFit="1" customWidth="1"/>
    <col min="4873" max="4873" width="12.140625" style="187" customWidth="1"/>
    <col min="4874" max="4874" width="9.140625" style="187"/>
    <col min="4875" max="4875" width="11.5703125" style="187" bestFit="1" customWidth="1"/>
    <col min="4876" max="5124" width="9.140625" style="187"/>
    <col min="5125" max="5125" width="8.28515625" style="187" customWidth="1"/>
    <col min="5126" max="5126" width="55.7109375" style="187" customWidth="1"/>
    <col min="5127" max="5127" width="10.140625" style="187" bestFit="1" customWidth="1"/>
    <col min="5128" max="5128" width="10.28515625" style="187" bestFit="1" customWidth="1"/>
    <col min="5129" max="5129" width="12.140625" style="187" customWidth="1"/>
    <col min="5130" max="5130" width="9.140625" style="187"/>
    <col min="5131" max="5131" width="11.5703125" style="187" bestFit="1" customWidth="1"/>
    <col min="5132" max="5380" width="9.140625" style="187"/>
    <col min="5381" max="5381" width="8.28515625" style="187" customWidth="1"/>
    <col min="5382" max="5382" width="55.7109375" style="187" customWidth="1"/>
    <col min="5383" max="5383" width="10.140625" style="187" bestFit="1" customWidth="1"/>
    <col min="5384" max="5384" width="10.28515625" style="187" bestFit="1" customWidth="1"/>
    <col min="5385" max="5385" width="12.140625" style="187" customWidth="1"/>
    <col min="5386" max="5386" width="9.140625" style="187"/>
    <col min="5387" max="5387" width="11.5703125" style="187" bestFit="1" customWidth="1"/>
    <col min="5388" max="5636" width="9.140625" style="187"/>
    <col min="5637" max="5637" width="8.28515625" style="187" customWidth="1"/>
    <col min="5638" max="5638" width="55.7109375" style="187" customWidth="1"/>
    <col min="5639" max="5639" width="10.140625" style="187" bestFit="1" customWidth="1"/>
    <col min="5640" max="5640" width="10.28515625" style="187" bestFit="1" customWidth="1"/>
    <col min="5641" max="5641" width="12.140625" style="187" customWidth="1"/>
    <col min="5642" max="5642" width="9.140625" style="187"/>
    <col min="5643" max="5643" width="11.5703125" style="187" bestFit="1" customWidth="1"/>
    <col min="5644" max="5892" width="9.140625" style="187"/>
    <col min="5893" max="5893" width="8.28515625" style="187" customWidth="1"/>
    <col min="5894" max="5894" width="55.7109375" style="187" customWidth="1"/>
    <col min="5895" max="5895" width="10.140625" style="187" bestFit="1" customWidth="1"/>
    <col min="5896" max="5896" width="10.28515625" style="187" bestFit="1" customWidth="1"/>
    <col min="5897" max="5897" width="12.140625" style="187" customWidth="1"/>
    <col min="5898" max="5898" width="9.140625" style="187"/>
    <col min="5899" max="5899" width="11.5703125" style="187" bestFit="1" customWidth="1"/>
    <col min="5900" max="6148" width="9.140625" style="187"/>
    <col min="6149" max="6149" width="8.28515625" style="187" customWidth="1"/>
    <col min="6150" max="6150" width="55.7109375" style="187" customWidth="1"/>
    <col min="6151" max="6151" width="10.140625" style="187" bestFit="1" customWidth="1"/>
    <col min="6152" max="6152" width="10.28515625" style="187" bestFit="1" customWidth="1"/>
    <col min="6153" max="6153" width="12.140625" style="187" customWidth="1"/>
    <col min="6154" max="6154" width="9.140625" style="187"/>
    <col min="6155" max="6155" width="11.5703125" style="187" bestFit="1" customWidth="1"/>
    <col min="6156" max="6404" width="9.140625" style="187"/>
    <col min="6405" max="6405" width="8.28515625" style="187" customWidth="1"/>
    <col min="6406" max="6406" width="55.7109375" style="187" customWidth="1"/>
    <col min="6407" max="6407" width="10.140625" style="187" bestFit="1" customWidth="1"/>
    <col min="6408" max="6408" width="10.28515625" style="187" bestFit="1" customWidth="1"/>
    <col min="6409" max="6409" width="12.140625" style="187" customWidth="1"/>
    <col min="6410" max="6410" width="9.140625" style="187"/>
    <col min="6411" max="6411" width="11.5703125" style="187" bestFit="1" customWidth="1"/>
    <col min="6412" max="6660" width="9.140625" style="187"/>
    <col min="6661" max="6661" width="8.28515625" style="187" customWidth="1"/>
    <col min="6662" max="6662" width="55.7109375" style="187" customWidth="1"/>
    <col min="6663" max="6663" width="10.140625" style="187" bestFit="1" customWidth="1"/>
    <col min="6664" max="6664" width="10.28515625" style="187" bestFit="1" customWidth="1"/>
    <col min="6665" max="6665" width="12.140625" style="187" customWidth="1"/>
    <col min="6666" max="6666" width="9.140625" style="187"/>
    <col min="6667" max="6667" width="11.5703125" style="187" bestFit="1" customWidth="1"/>
    <col min="6668" max="6916" width="9.140625" style="187"/>
    <col min="6917" max="6917" width="8.28515625" style="187" customWidth="1"/>
    <col min="6918" max="6918" width="55.7109375" style="187" customWidth="1"/>
    <col min="6919" max="6919" width="10.140625" style="187" bestFit="1" customWidth="1"/>
    <col min="6920" max="6920" width="10.28515625" style="187" bestFit="1" customWidth="1"/>
    <col min="6921" max="6921" width="12.140625" style="187" customWidth="1"/>
    <col min="6922" max="6922" width="9.140625" style="187"/>
    <col min="6923" max="6923" width="11.5703125" style="187" bestFit="1" customWidth="1"/>
    <col min="6924" max="7172" width="9.140625" style="187"/>
    <col min="7173" max="7173" width="8.28515625" style="187" customWidth="1"/>
    <col min="7174" max="7174" width="55.7109375" style="187" customWidth="1"/>
    <col min="7175" max="7175" width="10.140625" style="187" bestFit="1" customWidth="1"/>
    <col min="7176" max="7176" width="10.28515625" style="187" bestFit="1" customWidth="1"/>
    <col min="7177" max="7177" width="12.140625" style="187" customWidth="1"/>
    <col min="7178" max="7178" width="9.140625" style="187"/>
    <col min="7179" max="7179" width="11.5703125" style="187" bestFit="1" customWidth="1"/>
    <col min="7180" max="7428" width="9.140625" style="187"/>
    <col min="7429" max="7429" width="8.28515625" style="187" customWidth="1"/>
    <col min="7430" max="7430" width="55.7109375" style="187" customWidth="1"/>
    <col min="7431" max="7431" width="10.140625" style="187" bestFit="1" customWidth="1"/>
    <col min="7432" max="7432" width="10.28515625" style="187" bestFit="1" customWidth="1"/>
    <col min="7433" max="7433" width="12.140625" style="187" customWidth="1"/>
    <col min="7434" max="7434" width="9.140625" style="187"/>
    <col min="7435" max="7435" width="11.5703125" style="187" bestFit="1" customWidth="1"/>
    <col min="7436" max="7684" width="9.140625" style="187"/>
    <col min="7685" max="7685" width="8.28515625" style="187" customWidth="1"/>
    <col min="7686" max="7686" width="55.7109375" style="187" customWidth="1"/>
    <col min="7687" max="7687" width="10.140625" style="187" bestFit="1" customWidth="1"/>
    <col min="7688" max="7688" width="10.28515625" style="187" bestFit="1" customWidth="1"/>
    <col min="7689" max="7689" width="12.140625" style="187" customWidth="1"/>
    <col min="7690" max="7690" width="9.140625" style="187"/>
    <col min="7691" max="7691" width="11.5703125" style="187" bestFit="1" customWidth="1"/>
    <col min="7692" max="7940" width="9.140625" style="187"/>
    <col min="7941" max="7941" width="8.28515625" style="187" customWidth="1"/>
    <col min="7942" max="7942" width="55.7109375" style="187" customWidth="1"/>
    <col min="7943" max="7943" width="10.140625" style="187" bestFit="1" customWidth="1"/>
    <col min="7944" max="7944" width="10.28515625" style="187" bestFit="1" customWidth="1"/>
    <col min="7945" max="7945" width="12.140625" style="187" customWidth="1"/>
    <col min="7946" max="7946" width="9.140625" style="187"/>
    <col min="7947" max="7947" width="11.5703125" style="187" bestFit="1" customWidth="1"/>
    <col min="7948" max="8196" width="9.140625" style="187"/>
    <col min="8197" max="8197" width="8.28515625" style="187" customWidth="1"/>
    <col min="8198" max="8198" width="55.7109375" style="187" customWidth="1"/>
    <col min="8199" max="8199" width="10.140625" style="187" bestFit="1" customWidth="1"/>
    <col min="8200" max="8200" width="10.28515625" style="187" bestFit="1" customWidth="1"/>
    <col min="8201" max="8201" width="12.140625" style="187" customWidth="1"/>
    <col min="8202" max="8202" width="9.140625" style="187"/>
    <col min="8203" max="8203" width="11.5703125" style="187" bestFit="1" customWidth="1"/>
    <col min="8204" max="8452" width="9.140625" style="187"/>
    <col min="8453" max="8453" width="8.28515625" style="187" customWidth="1"/>
    <col min="8454" max="8454" width="55.7109375" style="187" customWidth="1"/>
    <col min="8455" max="8455" width="10.140625" style="187" bestFit="1" customWidth="1"/>
    <col min="8456" max="8456" width="10.28515625" style="187" bestFit="1" customWidth="1"/>
    <col min="8457" max="8457" width="12.140625" style="187" customWidth="1"/>
    <col min="8458" max="8458" width="9.140625" style="187"/>
    <col min="8459" max="8459" width="11.5703125" style="187" bestFit="1" customWidth="1"/>
    <col min="8460" max="8708" width="9.140625" style="187"/>
    <col min="8709" max="8709" width="8.28515625" style="187" customWidth="1"/>
    <col min="8710" max="8710" width="55.7109375" style="187" customWidth="1"/>
    <col min="8711" max="8711" width="10.140625" style="187" bestFit="1" customWidth="1"/>
    <col min="8712" max="8712" width="10.28515625" style="187" bestFit="1" customWidth="1"/>
    <col min="8713" max="8713" width="12.140625" style="187" customWidth="1"/>
    <col min="8714" max="8714" width="9.140625" style="187"/>
    <col min="8715" max="8715" width="11.5703125" style="187" bestFit="1" customWidth="1"/>
    <col min="8716" max="8964" width="9.140625" style="187"/>
    <col min="8965" max="8965" width="8.28515625" style="187" customWidth="1"/>
    <col min="8966" max="8966" width="55.7109375" style="187" customWidth="1"/>
    <col min="8967" max="8967" width="10.140625" style="187" bestFit="1" customWidth="1"/>
    <col min="8968" max="8968" width="10.28515625" style="187" bestFit="1" customWidth="1"/>
    <col min="8969" max="8969" width="12.140625" style="187" customWidth="1"/>
    <col min="8970" max="8970" width="9.140625" style="187"/>
    <col min="8971" max="8971" width="11.5703125" style="187" bestFit="1" customWidth="1"/>
    <col min="8972" max="9220" width="9.140625" style="187"/>
    <col min="9221" max="9221" width="8.28515625" style="187" customWidth="1"/>
    <col min="9222" max="9222" width="55.7109375" style="187" customWidth="1"/>
    <col min="9223" max="9223" width="10.140625" style="187" bestFit="1" customWidth="1"/>
    <col min="9224" max="9224" width="10.28515625" style="187" bestFit="1" customWidth="1"/>
    <col min="9225" max="9225" width="12.140625" style="187" customWidth="1"/>
    <col min="9226" max="9226" width="9.140625" style="187"/>
    <col min="9227" max="9227" width="11.5703125" style="187" bestFit="1" customWidth="1"/>
    <col min="9228" max="9476" width="9.140625" style="187"/>
    <col min="9477" max="9477" width="8.28515625" style="187" customWidth="1"/>
    <col min="9478" max="9478" width="55.7109375" style="187" customWidth="1"/>
    <col min="9479" max="9479" width="10.140625" style="187" bestFit="1" customWidth="1"/>
    <col min="9480" max="9480" width="10.28515625" style="187" bestFit="1" customWidth="1"/>
    <col min="9481" max="9481" width="12.140625" style="187" customWidth="1"/>
    <col min="9482" max="9482" width="9.140625" style="187"/>
    <col min="9483" max="9483" width="11.5703125" style="187" bestFit="1" customWidth="1"/>
    <col min="9484" max="9732" width="9.140625" style="187"/>
    <col min="9733" max="9733" width="8.28515625" style="187" customWidth="1"/>
    <col min="9734" max="9734" width="55.7109375" style="187" customWidth="1"/>
    <col min="9735" max="9735" width="10.140625" style="187" bestFit="1" customWidth="1"/>
    <col min="9736" max="9736" width="10.28515625" style="187" bestFit="1" customWidth="1"/>
    <col min="9737" max="9737" width="12.140625" style="187" customWidth="1"/>
    <col min="9738" max="9738" width="9.140625" style="187"/>
    <col min="9739" max="9739" width="11.5703125" style="187" bestFit="1" customWidth="1"/>
    <col min="9740" max="9988" width="9.140625" style="187"/>
    <col min="9989" max="9989" width="8.28515625" style="187" customWidth="1"/>
    <col min="9990" max="9990" width="55.7109375" style="187" customWidth="1"/>
    <col min="9991" max="9991" width="10.140625" style="187" bestFit="1" customWidth="1"/>
    <col min="9992" max="9992" width="10.28515625" style="187" bestFit="1" customWidth="1"/>
    <col min="9993" max="9993" width="12.140625" style="187" customWidth="1"/>
    <col min="9994" max="9994" width="9.140625" style="187"/>
    <col min="9995" max="9995" width="11.5703125" style="187" bestFit="1" customWidth="1"/>
    <col min="9996" max="10244" width="9.140625" style="187"/>
    <col min="10245" max="10245" width="8.28515625" style="187" customWidth="1"/>
    <col min="10246" max="10246" width="55.7109375" style="187" customWidth="1"/>
    <col min="10247" max="10247" width="10.140625" style="187" bestFit="1" customWidth="1"/>
    <col min="10248" max="10248" width="10.28515625" style="187" bestFit="1" customWidth="1"/>
    <col min="10249" max="10249" width="12.140625" style="187" customWidth="1"/>
    <col min="10250" max="10250" width="9.140625" style="187"/>
    <col min="10251" max="10251" width="11.5703125" style="187" bestFit="1" customWidth="1"/>
    <col min="10252" max="10500" width="9.140625" style="187"/>
    <col min="10501" max="10501" width="8.28515625" style="187" customWidth="1"/>
    <col min="10502" max="10502" width="55.7109375" style="187" customWidth="1"/>
    <col min="10503" max="10503" width="10.140625" style="187" bestFit="1" customWidth="1"/>
    <col min="10504" max="10504" width="10.28515625" style="187" bestFit="1" customWidth="1"/>
    <col min="10505" max="10505" width="12.140625" style="187" customWidth="1"/>
    <col min="10506" max="10506" width="9.140625" style="187"/>
    <col min="10507" max="10507" width="11.5703125" style="187" bestFit="1" customWidth="1"/>
    <col min="10508" max="10756" width="9.140625" style="187"/>
    <col min="10757" max="10757" width="8.28515625" style="187" customWidth="1"/>
    <col min="10758" max="10758" width="55.7109375" style="187" customWidth="1"/>
    <col min="10759" max="10759" width="10.140625" style="187" bestFit="1" customWidth="1"/>
    <col min="10760" max="10760" width="10.28515625" style="187" bestFit="1" customWidth="1"/>
    <col min="10761" max="10761" width="12.140625" style="187" customWidth="1"/>
    <col min="10762" max="10762" width="9.140625" style="187"/>
    <col min="10763" max="10763" width="11.5703125" style="187" bestFit="1" customWidth="1"/>
    <col min="10764" max="11012" width="9.140625" style="187"/>
    <col min="11013" max="11013" width="8.28515625" style="187" customWidth="1"/>
    <col min="11014" max="11014" width="55.7109375" style="187" customWidth="1"/>
    <col min="11015" max="11015" width="10.140625" style="187" bestFit="1" customWidth="1"/>
    <col min="11016" max="11016" width="10.28515625" style="187" bestFit="1" customWidth="1"/>
    <col min="11017" max="11017" width="12.140625" style="187" customWidth="1"/>
    <col min="11018" max="11018" width="9.140625" style="187"/>
    <col min="11019" max="11019" width="11.5703125" style="187" bestFit="1" customWidth="1"/>
    <col min="11020" max="11268" width="9.140625" style="187"/>
    <col min="11269" max="11269" width="8.28515625" style="187" customWidth="1"/>
    <col min="11270" max="11270" width="55.7109375" style="187" customWidth="1"/>
    <col min="11271" max="11271" width="10.140625" style="187" bestFit="1" customWidth="1"/>
    <col min="11272" max="11272" width="10.28515625" style="187" bestFit="1" customWidth="1"/>
    <col min="11273" max="11273" width="12.140625" style="187" customWidth="1"/>
    <col min="11274" max="11274" width="9.140625" style="187"/>
    <col min="11275" max="11275" width="11.5703125" style="187" bestFit="1" customWidth="1"/>
    <col min="11276" max="11524" width="9.140625" style="187"/>
    <col min="11525" max="11525" width="8.28515625" style="187" customWidth="1"/>
    <col min="11526" max="11526" width="55.7109375" style="187" customWidth="1"/>
    <col min="11527" max="11527" width="10.140625" style="187" bestFit="1" customWidth="1"/>
    <col min="11528" max="11528" width="10.28515625" style="187" bestFit="1" customWidth="1"/>
    <col min="11529" max="11529" width="12.140625" style="187" customWidth="1"/>
    <col min="11530" max="11530" width="9.140625" style="187"/>
    <col min="11531" max="11531" width="11.5703125" style="187" bestFit="1" customWidth="1"/>
    <col min="11532" max="11780" width="9.140625" style="187"/>
    <col min="11781" max="11781" width="8.28515625" style="187" customWidth="1"/>
    <col min="11782" max="11782" width="55.7109375" style="187" customWidth="1"/>
    <col min="11783" max="11783" width="10.140625" style="187" bestFit="1" customWidth="1"/>
    <col min="11784" max="11784" width="10.28515625" style="187" bestFit="1" customWidth="1"/>
    <col min="11785" max="11785" width="12.140625" style="187" customWidth="1"/>
    <col min="11786" max="11786" width="9.140625" style="187"/>
    <col min="11787" max="11787" width="11.5703125" style="187" bestFit="1" customWidth="1"/>
    <col min="11788" max="12036" width="9.140625" style="187"/>
    <col min="12037" max="12037" width="8.28515625" style="187" customWidth="1"/>
    <col min="12038" max="12038" width="55.7109375" style="187" customWidth="1"/>
    <col min="12039" max="12039" width="10.140625" style="187" bestFit="1" customWidth="1"/>
    <col min="12040" max="12040" width="10.28515625" style="187" bestFit="1" customWidth="1"/>
    <col min="12041" max="12041" width="12.140625" style="187" customWidth="1"/>
    <col min="12042" max="12042" width="9.140625" style="187"/>
    <col min="12043" max="12043" width="11.5703125" style="187" bestFit="1" customWidth="1"/>
    <col min="12044" max="12292" width="9.140625" style="187"/>
    <col min="12293" max="12293" width="8.28515625" style="187" customWidth="1"/>
    <col min="12294" max="12294" width="55.7109375" style="187" customWidth="1"/>
    <col min="12295" max="12295" width="10.140625" style="187" bestFit="1" customWidth="1"/>
    <col min="12296" max="12296" width="10.28515625" style="187" bestFit="1" customWidth="1"/>
    <col min="12297" max="12297" width="12.140625" style="187" customWidth="1"/>
    <col min="12298" max="12298" width="9.140625" style="187"/>
    <col min="12299" max="12299" width="11.5703125" style="187" bestFit="1" customWidth="1"/>
    <col min="12300" max="12548" width="9.140625" style="187"/>
    <col min="12549" max="12549" width="8.28515625" style="187" customWidth="1"/>
    <col min="12550" max="12550" width="55.7109375" style="187" customWidth="1"/>
    <col min="12551" max="12551" width="10.140625" style="187" bestFit="1" customWidth="1"/>
    <col min="12552" max="12552" width="10.28515625" style="187" bestFit="1" customWidth="1"/>
    <col min="12553" max="12553" width="12.140625" style="187" customWidth="1"/>
    <col min="12554" max="12554" width="9.140625" style="187"/>
    <col min="12555" max="12555" width="11.5703125" style="187" bestFit="1" customWidth="1"/>
    <col min="12556" max="12804" width="9.140625" style="187"/>
    <col min="12805" max="12805" width="8.28515625" style="187" customWidth="1"/>
    <col min="12806" max="12806" width="55.7109375" style="187" customWidth="1"/>
    <col min="12807" max="12807" width="10.140625" style="187" bestFit="1" customWidth="1"/>
    <col min="12808" max="12808" width="10.28515625" style="187" bestFit="1" customWidth="1"/>
    <col min="12809" max="12809" width="12.140625" style="187" customWidth="1"/>
    <col min="12810" max="12810" width="9.140625" style="187"/>
    <col min="12811" max="12811" width="11.5703125" style="187" bestFit="1" customWidth="1"/>
    <col min="12812" max="13060" width="9.140625" style="187"/>
    <col min="13061" max="13061" width="8.28515625" style="187" customWidth="1"/>
    <col min="13062" max="13062" width="55.7109375" style="187" customWidth="1"/>
    <col min="13063" max="13063" width="10.140625" style="187" bestFit="1" customWidth="1"/>
    <col min="13064" max="13064" width="10.28515625" style="187" bestFit="1" customWidth="1"/>
    <col min="13065" max="13065" width="12.140625" style="187" customWidth="1"/>
    <col min="13066" max="13066" width="9.140625" style="187"/>
    <col min="13067" max="13067" width="11.5703125" style="187" bestFit="1" customWidth="1"/>
    <col min="13068" max="13316" width="9.140625" style="187"/>
    <col min="13317" max="13317" width="8.28515625" style="187" customWidth="1"/>
    <col min="13318" max="13318" width="55.7109375" style="187" customWidth="1"/>
    <col min="13319" max="13319" width="10.140625" style="187" bestFit="1" customWidth="1"/>
    <col min="13320" max="13320" width="10.28515625" style="187" bestFit="1" customWidth="1"/>
    <col min="13321" max="13321" width="12.140625" style="187" customWidth="1"/>
    <col min="13322" max="13322" width="9.140625" style="187"/>
    <col min="13323" max="13323" width="11.5703125" style="187" bestFit="1" customWidth="1"/>
    <col min="13324" max="13572" width="9.140625" style="187"/>
    <col min="13573" max="13573" width="8.28515625" style="187" customWidth="1"/>
    <col min="13574" max="13574" width="55.7109375" style="187" customWidth="1"/>
    <col min="13575" max="13575" width="10.140625" style="187" bestFit="1" customWidth="1"/>
    <col min="13576" max="13576" width="10.28515625" style="187" bestFit="1" customWidth="1"/>
    <col min="13577" max="13577" width="12.140625" style="187" customWidth="1"/>
    <col min="13578" max="13578" width="9.140625" style="187"/>
    <col min="13579" max="13579" width="11.5703125" style="187" bestFit="1" customWidth="1"/>
    <col min="13580" max="13828" width="9.140625" style="187"/>
    <col min="13829" max="13829" width="8.28515625" style="187" customWidth="1"/>
    <col min="13830" max="13830" width="55.7109375" style="187" customWidth="1"/>
    <col min="13831" max="13831" width="10.140625" style="187" bestFit="1" customWidth="1"/>
    <col min="13832" max="13832" width="10.28515625" style="187" bestFit="1" customWidth="1"/>
    <col min="13833" max="13833" width="12.140625" style="187" customWidth="1"/>
    <col min="13834" max="13834" width="9.140625" style="187"/>
    <col min="13835" max="13835" width="11.5703125" style="187" bestFit="1" customWidth="1"/>
    <col min="13836" max="14084" width="9.140625" style="187"/>
    <col min="14085" max="14085" width="8.28515625" style="187" customWidth="1"/>
    <col min="14086" max="14086" width="55.7109375" style="187" customWidth="1"/>
    <col min="14087" max="14087" width="10.140625" style="187" bestFit="1" customWidth="1"/>
    <col min="14088" max="14088" width="10.28515625" style="187" bestFit="1" customWidth="1"/>
    <col min="14089" max="14089" width="12.140625" style="187" customWidth="1"/>
    <col min="14090" max="14090" width="9.140625" style="187"/>
    <col min="14091" max="14091" width="11.5703125" style="187" bestFit="1" customWidth="1"/>
    <col min="14092" max="14340" width="9.140625" style="187"/>
    <col min="14341" max="14341" width="8.28515625" style="187" customWidth="1"/>
    <col min="14342" max="14342" width="55.7109375" style="187" customWidth="1"/>
    <col min="14343" max="14343" width="10.140625" style="187" bestFit="1" customWidth="1"/>
    <col min="14344" max="14344" width="10.28515625" style="187" bestFit="1" customWidth="1"/>
    <col min="14345" max="14345" width="12.140625" style="187" customWidth="1"/>
    <col min="14346" max="14346" width="9.140625" style="187"/>
    <col min="14347" max="14347" width="11.5703125" style="187" bestFit="1" customWidth="1"/>
    <col min="14348" max="14596" width="9.140625" style="187"/>
    <col min="14597" max="14597" width="8.28515625" style="187" customWidth="1"/>
    <col min="14598" max="14598" width="55.7109375" style="187" customWidth="1"/>
    <col min="14599" max="14599" width="10.140625" style="187" bestFit="1" customWidth="1"/>
    <col min="14600" max="14600" width="10.28515625" style="187" bestFit="1" customWidth="1"/>
    <col min="14601" max="14601" width="12.140625" style="187" customWidth="1"/>
    <col min="14602" max="14602" width="9.140625" style="187"/>
    <col min="14603" max="14603" width="11.5703125" style="187" bestFit="1" customWidth="1"/>
    <col min="14604" max="14852" width="9.140625" style="187"/>
    <col min="14853" max="14853" width="8.28515625" style="187" customWidth="1"/>
    <col min="14854" max="14854" width="55.7109375" style="187" customWidth="1"/>
    <col min="14855" max="14855" width="10.140625" style="187" bestFit="1" customWidth="1"/>
    <col min="14856" max="14856" width="10.28515625" style="187" bestFit="1" customWidth="1"/>
    <col min="14857" max="14857" width="12.140625" style="187" customWidth="1"/>
    <col min="14858" max="14858" width="9.140625" style="187"/>
    <col min="14859" max="14859" width="11.5703125" style="187" bestFit="1" customWidth="1"/>
    <col min="14860" max="15108" width="9.140625" style="187"/>
    <col min="15109" max="15109" width="8.28515625" style="187" customWidth="1"/>
    <col min="15110" max="15110" width="55.7109375" style="187" customWidth="1"/>
    <col min="15111" max="15111" width="10.140625" style="187" bestFit="1" customWidth="1"/>
    <col min="15112" max="15112" width="10.28515625" style="187" bestFit="1" customWidth="1"/>
    <col min="15113" max="15113" width="12.140625" style="187" customWidth="1"/>
    <col min="15114" max="15114" width="9.140625" style="187"/>
    <col min="15115" max="15115" width="11.5703125" style="187" bestFit="1" customWidth="1"/>
    <col min="15116" max="15364" width="9.140625" style="187"/>
    <col min="15365" max="15365" width="8.28515625" style="187" customWidth="1"/>
    <col min="15366" max="15366" width="55.7109375" style="187" customWidth="1"/>
    <col min="15367" max="15367" width="10.140625" style="187" bestFit="1" customWidth="1"/>
    <col min="15368" max="15368" width="10.28515625" style="187" bestFit="1" customWidth="1"/>
    <col min="15369" max="15369" width="12.140625" style="187" customWidth="1"/>
    <col min="15370" max="15370" width="9.140625" style="187"/>
    <col min="15371" max="15371" width="11.5703125" style="187" bestFit="1" customWidth="1"/>
    <col min="15372" max="15620" width="9.140625" style="187"/>
    <col min="15621" max="15621" width="8.28515625" style="187" customWidth="1"/>
    <col min="15622" max="15622" width="55.7109375" style="187" customWidth="1"/>
    <col min="15623" max="15623" width="10.140625" style="187" bestFit="1" customWidth="1"/>
    <col min="15624" max="15624" width="10.28515625" style="187" bestFit="1" customWidth="1"/>
    <col min="15625" max="15625" width="12.140625" style="187" customWidth="1"/>
    <col min="15626" max="15626" width="9.140625" style="187"/>
    <col min="15627" max="15627" width="11.5703125" style="187" bestFit="1" customWidth="1"/>
    <col min="15628" max="15876" width="9.140625" style="187"/>
    <col min="15877" max="15877" width="8.28515625" style="187" customWidth="1"/>
    <col min="15878" max="15878" width="55.7109375" style="187" customWidth="1"/>
    <col min="15879" max="15879" width="10.140625" style="187" bestFit="1" customWidth="1"/>
    <col min="15880" max="15880" width="10.28515625" style="187" bestFit="1" customWidth="1"/>
    <col min="15881" max="15881" width="12.140625" style="187" customWidth="1"/>
    <col min="15882" max="15882" width="9.140625" style="187"/>
    <col min="15883" max="15883" width="11.5703125" style="187" bestFit="1" customWidth="1"/>
    <col min="15884" max="16132" width="9.140625" style="187"/>
    <col min="16133" max="16133" width="8.28515625" style="187" customWidth="1"/>
    <col min="16134" max="16134" width="55.7109375" style="187" customWidth="1"/>
    <col min="16135" max="16135" width="10.140625" style="187" bestFit="1" customWidth="1"/>
    <col min="16136" max="16136" width="10.28515625" style="187" bestFit="1" customWidth="1"/>
    <col min="16137" max="16137" width="12.140625" style="187" customWidth="1"/>
    <col min="16138" max="16138" width="9.140625" style="187"/>
    <col min="16139" max="16139" width="11.5703125" style="187" bestFit="1" customWidth="1"/>
    <col min="16140" max="16384" width="9.140625" style="187"/>
  </cols>
  <sheetData>
    <row r="1" spans="1:15" ht="39.75" customHeight="1" x14ac:dyDescent="0.2">
      <c r="A1" s="342" t="s">
        <v>327</v>
      </c>
      <c r="B1" s="343"/>
      <c r="C1" s="343"/>
      <c r="D1" s="343"/>
      <c r="E1" s="343"/>
      <c r="F1" s="343"/>
      <c r="G1" s="343"/>
      <c r="H1" s="343"/>
      <c r="I1" s="344"/>
      <c r="K1" s="185"/>
      <c r="L1" s="185" t="s">
        <v>328</v>
      </c>
      <c r="M1" s="185" t="s">
        <v>329</v>
      </c>
      <c r="N1" s="185" t="s">
        <v>330</v>
      </c>
      <c r="O1" s="185" t="s">
        <v>331</v>
      </c>
    </row>
    <row r="2" spans="1:15" ht="42.75" customHeight="1" thickBot="1" x14ac:dyDescent="0.25">
      <c r="A2" s="308" t="s">
        <v>165</v>
      </c>
      <c r="B2" s="308"/>
      <c r="C2" s="195" t="s">
        <v>166</v>
      </c>
      <c r="D2" s="195" t="s">
        <v>167</v>
      </c>
      <c r="E2" s="195" t="s">
        <v>168</v>
      </c>
      <c r="F2" s="195" t="s">
        <v>332</v>
      </c>
      <c r="G2" s="195" t="s">
        <v>333</v>
      </c>
      <c r="H2" s="195" t="s">
        <v>334</v>
      </c>
      <c r="I2" s="195" t="s">
        <v>169</v>
      </c>
      <c r="K2" s="197" t="s">
        <v>335</v>
      </c>
      <c r="L2" s="197">
        <v>6</v>
      </c>
      <c r="M2" s="197">
        <v>22</v>
      </c>
      <c r="N2" s="197">
        <v>12</v>
      </c>
      <c r="O2" s="197">
        <v>264</v>
      </c>
    </row>
    <row r="3" spans="1:15" ht="30.75" customHeight="1" x14ac:dyDescent="0.2">
      <c r="A3" s="322" t="s">
        <v>336</v>
      </c>
      <c r="B3" s="325" t="s">
        <v>337</v>
      </c>
      <c r="C3" s="198" t="s">
        <v>338</v>
      </c>
      <c r="D3" s="199">
        <v>0</v>
      </c>
      <c r="E3" s="200">
        <v>1200</v>
      </c>
      <c r="F3" s="201">
        <v>1</v>
      </c>
      <c r="G3" s="201" t="s">
        <v>339</v>
      </c>
      <c r="H3" s="202">
        <f t="shared" ref="H3:H15" si="0">IF(G3="DIÁRIA",F3+0,IF(G3="SEMANAL",F3/$L$2,IF(G3="MENSAL",F3/$M$2,IF(G3="ANUAL",F3/$O$2,IF(G3="QUINZENAL",F3/$N$2)))))*D3</f>
        <v>0</v>
      </c>
      <c r="I3" s="203">
        <f>H3/E3</f>
        <v>0</v>
      </c>
      <c r="K3" s="346" t="s">
        <v>340</v>
      </c>
      <c r="L3" s="346"/>
      <c r="M3" s="346"/>
      <c r="N3" s="346"/>
      <c r="O3" s="346"/>
    </row>
    <row r="4" spans="1:15" ht="30.75" customHeight="1" x14ac:dyDescent="0.2">
      <c r="A4" s="345"/>
      <c r="B4" s="326"/>
      <c r="C4" s="204" t="s">
        <v>341</v>
      </c>
      <c r="D4" s="205">
        <v>4584.2700000000004</v>
      </c>
      <c r="E4" s="206">
        <v>1200</v>
      </c>
      <c r="F4" s="207">
        <v>1</v>
      </c>
      <c r="G4" s="207" t="s">
        <v>339</v>
      </c>
      <c r="H4" s="208">
        <f t="shared" si="0"/>
        <v>4584.2700000000004</v>
      </c>
      <c r="I4" s="209">
        <f t="shared" ref="I4:I9" si="1">H4/E4</f>
        <v>3.8202250000000002</v>
      </c>
      <c r="K4" s="336" t="s">
        <v>341</v>
      </c>
      <c r="L4" s="337"/>
      <c r="M4" s="338"/>
      <c r="N4" s="186">
        <v>800</v>
      </c>
      <c r="O4" s="186">
        <v>1200</v>
      </c>
    </row>
    <row r="5" spans="1:15" ht="30.75" customHeight="1" x14ac:dyDescent="0.2">
      <c r="A5" s="323"/>
      <c r="B5" s="326"/>
      <c r="C5" s="204" t="s">
        <v>342</v>
      </c>
      <c r="D5" s="210">
        <v>0</v>
      </c>
      <c r="E5" s="206">
        <v>2500</v>
      </c>
      <c r="F5" s="207">
        <v>1</v>
      </c>
      <c r="G5" s="207" t="s">
        <v>339</v>
      </c>
      <c r="H5" s="208">
        <f t="shared" si="0"/>
        <v>0</v>
      </c>
      <c r="I5" s="209">
        <f t="shared" si="1"/>
        <v>0</v>
      </c>
      <c r="K5" s="336" t="s">
        <v>342</v>
      </c>
      <c r="L5" s="337"/>
      <c r="M5" s="338"/>
      <c r="N5" s="186">
        <v>1500</v>
      </c>
      <c r="O5" s="186">
        <v>2500</v>
      </c>
    </row>
    <row r="6" spans="1:15" ht="30.75" customHeight="1" x14ac:dyDescent="0.2">
      <c r="A6" s="323"/>
      <c r="B6" s="326"/>
      <c r="C6" s="204" t="s">
        <v>343</v>
      </c>
      <c r="D6" s="210">
        <v>3482.15</v>
      </c>
      <c r="E6" s="206">
        <v>1500</v>
      </c>
      <c r="F6" s="207">
        <v>1</v>
      </c>
      <c r="G6" s="207" t="s">
        <v>339</v>
      </c>
      <c r="H6" s="208">
        <f t="shared" si="0"/>
        <v>3482.15</v>
      </c>
      <c r="I6" s="209">
        <f t="shared" si="1"/>
        <v>2.3214333333333332</v>
      </c>
      <c r="K6" s="336" t="s">
        <v>344</v>
      </c>
      <c r="L6" s="337"/>
      <c r="M6" s="338"/>
      <c r="N6" s="186">
        <v>1200</v>
      </c>
      <c r="O6" s="186">
        <v>1800</v>
      </c>
    </row>
    <row r="7" spans="1:15" ht="30.75" customHeight="1" x14ac:dyDescent="0.2">
      <c r="A7" s="323"/>
      <c r="B7" s="326"/>
      <c r="C7" s="204" t="s">
        <v>345</v>
      </c>
      <c r="D7" s="210">
        <v>141.6</v>
      </c>
      <c r="E7" s="206">
        <v>300</v>
      </c>
      <c r="F7" s="207">
        <v>1</v>
      </c>
      <c r="G7" s="207" t="s">
        <v>339</v>
      </c>
      <c r="H7" s="208">
        <f t="shared" si="0"/>
        <v>141.6</v>
      </c>
      <c r="I7" s="209">
        <f t="shared" si="1"/>
        <v>0.47199999999999998</v>
      </c>
      <c r="K7" s="336" t="s">
        <v>346</v>
      </c>
      <c r="L7" s="337"/>
      <c r="M7" s="338"/>
      <c r="N7" s="186">
        <v>1000</v>
      </c>
      <c r="O7" s="186">
        <v>1500</v>
      </c>
    </row>
    <row r="8" spans="1:15" ht="30.75" customHeight="1" x14ac:dyDescent="0.2">
      <c r="A8" s="323"/>
      <c r="B8" s="327" t="s">
        <v>347</v>
      </c>
      <c r="C8" s="204" t="s">
        <v>348</v>
      </c>
      <c r="D8" s="210">
        <v>2911.72</v>
      </c>
      <c r="E8" s="206">
        <v>2700</v>
      </c>
      <c r="F8" s="207">
        <v>1</v>
      </c>
      <c r="G8" s="207" t="s">
        <v>339</v>
      </c>
      <c r="H8" s="208">
        <f t="shared" si="0"/>
        <v>2911.72</v>
      </c>
      <c r="I8" s="209">
        <f t="shared" si="1"/>
        <v>1.0784148148148147</v>
      </c>
      <c r="K8" s="336" t="s">
        <v>345</v>
      </c>
      <c r="L8" s="337"/>
      <c r="M8" s="338"/>
      <c r="N8" s="186">
        <v>200</v>
      </c>
      <c r="O8" s="186">
        <v>300</v>
      </c>
    </row>
    <row r="9" spans="1:15" ht="30.75" customHeight="1" x14ac:dyDescent="0.2">
      <c r="A9" s="323"/>
      <c r="B9" s="328"/>
      <c r="C9" s="204" t="s">
        <v>349</v>
      </c>
      <c r="D9" s="210">
        <v>0</v>
      </c>
      <c r="E9" s="206">
        <v>9000</v>
      </c>
      <c r="F9" s="207">
        <v>1</v>
      </c>
      <c r="G9" s="207" t="s">
        <v>339</v>
      </c>
      <c r="H9" s="208">
        <f t="shared" si="0"/>
        <v>0</v>
      </c>
      <c r="I9" s="209">
        <f t="shared" si="1"/>
        <v>0</v>
      </c>
      <c r="K9" s="336" t="s">
        <v>350</v>
      </c>
      <c r="L9" s="337"/>
      <c r="M9" s="338"/>
      <c r="N9" s="186">
        <v>1800</v>
      </c>
      <c r="O9" s="186">
        <v>2700</v>
      </c>
    </row>
    <row r="10" spans="1:15" ht="30.75" customHeight="1" x14ac:dyDescent="0.2">
      <c r="A10" s="323"/>
      <c r="B10" s="328"/>
      <c r="C10" s="204" t="s">
        <v>351</v>
      </c>
      <c r="D10" s="210">
        <v>700</v>
      </c>
      <c r="E10" s="206">
        <v>2700</v>
      </c>
      <c r="F10" s="207">
        <v>1</v>
      </c>
      <c r="G10" s="207" t="s">
        <v>339</v>
      </c>
      <c r="H10" s="208">
        <f t="shared" si="0"/>
        <v>700</v>
      </c>
      <c r="I10" s="209">
        <f>H10/E10</f>
        <v>0.25925925925925924</v>
      </c>
      <c r="K10" s="336" t="s">
        <v>349</v>
      </c>
      <c r="L10" s="337"/>
      <c r="M10" s="338"/>
      <c r="N10" s="186">
        <v>6000</v>
      </c>
      <c r="O10" s="186">
        <v>9000</v>
      </c>
    </row>
    <row r="11" spans="1:15" ht="30.75" customHeight="1" x14ac:dyDescent="0.2">
      <c r="A11" s="323"/>
      <c r="B11" s="328"/>
      <c r="C11" s="204" t="s">
        <v>352</v>
      </c>
      <c r="D11" s="210"/>
      <c r="E11" s="206">
        <v>100000</v>
      </c>
      <c r="F11" s="207">
        <v>1</v>
      </c>
      <c r="G11" s="207" t="s">
        <v>339</v>
      </c>
      <c r="H11" s="208">
        <f t="shared" si="0"/>
        <v>0</v>
      </c>
      <c r="I11" s="209">
        <f t="shared" ref="I11:I15" si="2">H11/E11</f>
        <v>0</v>
      </c>
      <c r="K11" s="336" t="s">
        <v>353</v>
      </c>
      <c r="L11" s="337"/>
      <c r="M11" s="338"/>
      <c r="N11" s="186">
        <v>1800</v>
      </c>
      <c r="O11" s="186">
        <v>2700</v>
      </c>
    </row>
    <row r="12" spans="1:15" ht="30.75" customHeight="1" x14ac:dyDescent="0.2">
      <c r="A12" s="323"/>
      <c r="B12" s="327" t="s">
        <v>354</v>
      </c>
      <c r="C12" s="204" t="s">
        <v>355</v>
      </c>
      <c r="D12" s="210">
        <v>0</v>
      </c>
      <c r="E12" s="206">
        <v>160</v>
      </c>
      <c r="F12" s="207">
        <v>1</v>
      </c>
      <c r="G12" s="207" t="s">
        <v>356</v>
      </c>
      <c r="H12" s="208">
        <f t="shared" si="0"/>
        <v>0</v>
      </c>
      <c r="I12" s="209">
        <f t="shared" si="2"/>
        <v>0</v>
      </c>
      <c r="K12" s="336" t="s">
        <v>357</v>
      </c>
      <c r="L12" s="337"/>
      <c r="M12" s="338"/>
      <c r="N12" s="186">
        <v>1800</v>
      </c>
      <c r="O12" s="186">
        <v>2700</v>
      </c>
    </row>
    <row r="13" spans="1:15" ht="30.75" customHeight="1" x14ac:dyDescent="0.2">
      <c r="A13" s="323"/>
      <c r="B13" s="328"/>
      <c r="C13" s="204" t="s">
        <v>358</v>
      </c>
      <c r="D13" s="210">
        <v>792</v>
      </c>
      <c r="E13" s="206">
        <v>380</v>
      </c>
      <c r="F13" s="207">
        <v>1</v>
      </c>
      <c r="G13" s="207" t="s">
        <v>356</v>
      </c>
      <c r="H13" s="208">
        <f t="shared" si="0"/>
        <v>66</v>
      </c>
      <c r="I13" s="209">
        <f t="shared" si="2"/>
        <v>0.1736842105263158</v>
      </c>
      <c r="K13" s="336" t="s">
        <v>359</v>
      </c>
      <c r="L13" s="337"/>
      <c r="M13" s="338"/>
      <c r="N13" s="186">
        <v>1800</v>
      </c>
      <c r="O13" s="186">
        <v>2700</v>
      </c>
    </row>
    <row r="14" spans="1:15" ht="30.75" customHeight="1" x14ac:dyDescent="0.2">
      <c r="A14" s="323"/>
      <c r="B14" s="328"/>
      <c r="C14" s="204" t="s">
        <v>360</v>
      </c>
      <c r="D14" s="210">
        <v>792</v>
      </c>
      <c r="E14" s="206">
        <v>380</v>
      </c>
      <c r="F14" s="207">
        <v>1</v>
      </c>
      <c r="G14" s="207" t="s">
        <v>356</v>
      </c>
      <c r="H14" s="208">
        <f t="shared" si="0"/>
        <v>66</v>
      </c>
      <c r="I14" s="209">
        <f t="shared" si="2"/>
        <v>0.1736842105263158</v>
      </c>
      <c r="K14" s="336" t="s">
        <v>361</v>
      </c>
      <c r="L14" s="337"/>
      <c r="M14" s="338"/>
      <c r="N14" s="186">
        <v>100000</v>
      </c>
      <c r="O14" s="186">
        <v>100000</v>
      </c>
    </row>
    <row r="15" spans="1:15" ht="30.75" customHeight="1" x14ac:dyDescent="0.2">
      <c r="A15" s="323"/>
      <c r="B15" s="329"/>
      <c r="C15" s="204" t="s">
        <v>362</v>
      </c>
      <c r="D15" s="210">
        <v>0</v>
      </c>
      <c r="E15" s="206">
        <v>160</v>
      </c>
      <c r="F15" s="207">
        <v>1</v>
      </c>
      <c r="G15" s="207" t="s">
        <v>356</v>
      </c>
      <c r="H15" s="208">
        <f t="shared" si="0"/>
        <v>0</v>
      </c>
      <c r="I15" s="209">
        <f t="shared" si="2"/>
        <v>0</v>
      </c>
      <c r="K15" s="336" t="s">
        <v>355</v>
      </c>
      <c r="L15" s="337"/>
      <c r="M15" s="338"/>
      <c r="N15" s="186">
        <v>130</v>
      </c>
      <c r="O15" s="186">
        <v>160</v>
      </c>
    </row>
    <row r="16" spans="1:15" ht="30.75" customHeight="1" thickBot="1" x14ac:dyDescent="0.25">
      <c r="A16" s="324"/>
      <c r="B16" s="330" t="s">
        <v>363</v>
      </c>
      <c r="C16" s="331"/>
      <c r="D16" s="331"/>
      <c r="E16" s="331"/>
      <c r="F16" s="331"/>
      <c r="G16" s="331"/>
      <c r="H16" s="332"/>
      <c r="I16" s="211">
        <f>SUM(I3:I15)</f>
        <v>8.2987008284600403</v>
      </c>
      <c r="K16" s="336" t="s">
        <v>358</v>
      </c>
      <c r="L16" s="337"/>
      <c r="M16" s="338"/>
      <c r="N16" s="186">
        <v>300</v>
      </c>
      <c r="O16" s="186">
        <v>380</v>
      </c>
    </row>
    <row r="17" spans="1:15" ht="30.75" customHeight="1" x14ac:dyDescent="0.2">
      <c r="A17" s="322" t="s">
        <v>364</v>
      </c>
      <c r="B17" s="325" t="s">
        <v>337</v>
      </c>
      <c r="C17" s="198" t="s">
        <v>338</v>
      </c>
      <c r="D17" s="212">
        <v>0</v>
      </c>
      <c r="E17" s="200">
        <v>1200</v>
      </c>
      <c r="F17" s="201">
        <v>1</v>
      </c>
      <c r="G17" s="201" t="s">
        <v>339</v>
      </c>
      <c r="H17" s="202">
        <f t="shared" ref="H17:H29" si="3">IF(G17="DIÁRIA",F17+0,IF(G17="SEMANAL",F17/$L$2,IF(G17="MENSAL",F17/$M$2,IF(G17="ANUAL",F17/$O$2,IF(G17="QUINZENAL",F17/$N$2)))))*D17</f>
        <v>0</v>
      </c>
      <c r="I17" s="203">
        <f>H17/E17</f>
        <v>0</v>
      </c>
      <c r="K17" s="336" t="s">
        <v>360</v>
      </c>
      <c r="L17" s="337"/>
      <c r="M17" s="338"/>
      <c r="N17" s="186">
        <v>300</v>
      </c>
      <c r="O17" s="186">
        <v>380</v>
      </c>
    </row>
    <row r="18" spans="1:15" ht="30.75" customHeight="1" x14ac:dyDescent="0.2">
      <c r="A18" s="323"/>
      <c r="B18" s="326"/>
      <c r="C18" s="204" t="s">
        <v>341</v>
      </c>
      <c r="D18" s="205">
        <v>1200</v>
      </c>
      <c r="E18" s="206">
        <v>1200</v>
      </c>
      <c r="F18" s="207">
        <v>1</v>
      </c>
      <c r="G18" s="207" t="s">
        <v>339</v>
      </c>
      <c r="H18" s="208">
        <f t="shared" si="3"/>
        <v>1200</v>
      </c>
      <c r="I18" s="209">
        <f t="shared" ref="I18:I23" si="4">H18/E18</f>
        <v>1</v>
      </c>
      <c r="K18" s="336" t="s">
        <v>362</v>
      </c>
      <c r="L18" s="337"/>
      <c r="M18" s="338"/>
      <c r="N18" s="186">
        <v>130</v>
      </c>
      <c r="O18" s="186">
        <v>160</v>
      </c>
    </row>
    <row r="19" spans="1:15" ht="30.75" customHeight="1" x14ac:dyDescent="0.2">
      <c r="A19" s="323"/>
      <c r="B19" s="326"/>
      <c r="C19" s="204" t="s">
        <v>342</v>
      </c>
      <c r="D19" s="213">
        <v>0</v>
      </c>
      <c r="E19" s="206">
        <v>2500</v>
      </c>
      <c r="F19" s="207">
        <v>1</v>
      </c>
      <c r="G19" s="207" t="s">
        <v>339</v>
      </c>
      <c r="H19" s="208">
        <f t="shared" si="3"/>
        <v>0</v>
      </c>
      <c r="I19" s="209">
        <f t="shared" si="4"/>
        <v>0</v>
      </c>
    </row>
    <row r="20" spans="1:15" ht="30.75" customHeight="1" x14ac:dyDescent="0.2">
      <c r="A20" s="323"/>
      <c r="B20" s="326"/>
      <c r="C20" s="204" t="s">
        <v>343</v>
      </c>
      <c r="D20" s="213">
        <v>0</v>
      </c>
      <c r="E20" s="206">
        <v>1500</v>
      </c>
      <c r="F20" s="207">
        <v>1</v>
      </c>
      <c r="G20" s="207" t="s">
        <v>339</v>
      </c>
      <c r="H20" s="208">
        <f t="shared" si="3"/>
        <v>0</v>
      </c>
      <c r="I20" s="209">
        <f t="shared" si="4"/>
        <v>0</v>
      </c>
      <c r="K20" s="339" t="s">
        <v>365</v>
      </c>
      <c r="L20" s="340"/>
      <c r="M20" s="340"/>
      <c r="N20" s="340"/>
      <c r="O20" s="341"/>
    </row>
    <row r="21" spans="1:15" ht="30.75" customHeight="1" x14ac:dyDescent="0.2">
      <c r="A21" s="323"/>
      <c r="B21" s="326"/>
      <c r="C21" s="204" t="s">
        <v>345</v>
      </c>
      <c r="D21" s="213">
        <v>0</v>
      </c>
      <c r="E21" s="206">
        <v>300</v>
      </c>
      <c r="F21" s="207">
        <v>1</v>
      </c>
      <c r="G21" s="207" t="s">
        <v>339</v>
      </c>
      <c r="H21" s="208">
        <f t="shared" si="3"/>
        <v>0</v>
      </c>
      <c r="I21" s="209">
        <f t="shared" si="4"/>
        <v>0</v>
      </c>
      <c r="K21" s="214"/>
      <c r="L21" s="215" t="s">
        <v>134</v>
      </c>
      <c r="M21" s="215" t="s">
        <v>135</v>
      </c>
      <c r="N21" s="215" t="s">
        <v>325</v>
      </c>
      <c r="O21" s="215" t="s">
        <v>207</v>
      </c>
    </row>
    <row r="22" spans="1:15" ht="30.75" customHeight="1" x14ac:dyDescent="0.2">
      <c r="A22" s="323"/>
      <c r="B22" s="327" t="s">
        <v>347</v>
      </c>
      <c r="C22" s="204" t="s">
        <v>348</v>
      </c>
      <c r="D22" s="213">
        <v>0</v>
      </c>
      <c r="E22" s="206">
        <v>2700</v>
      </c>
      <c r="F22" s="207">
        <v>1</v>
      </c>
      <c r="G22" s="207" t="s">
        <v>339</v>
      </c>
      <c r="H22" s="208">
        <f t="shared" si="3"/>
        <v>0</v>
      </c>
      <c r="I22" s="209">
        <f t="shared" si="4"/>
        <v>0</v>
      </c>
      <c r="K22" s="214" t="s">
        <v>336</v>
      </c>
      <c r="L22" s="214">
        <v>1</v>
      </c>
      <c r="M22" s="214">
        <v>6</v>
      </c>
      <c r="N22" s="214">
        <v>1</v>
      </c>
      <c r="O22" s="214">
        <v>1</v>
      </c>
    </row>
    <row r="23" spans="1:15" ht="30.75" customHeight="1" x14ac:dyDescent="0.2">
      <c r="A23" s="323"/>
      <c r="B23" s="328"/>
      <c r="C23" s="204" t="s">
        <v>349</v>
      </c>
      <c r="D23" s="213">
        <v>0</v>
      </c>
      <c r="E23" s="206">
        <v>9000</v>
      </c>
      <c r="F23" s="207">
        <v>1</v>
      </c>
      <c r="G23" s="207" t="s">
        <v>339</v>
      </c>
      <c r="H23" s="208">
        <f t="shared" si="3"/>
        <v>0</v>
      </c>
      <c r="I23" s="209">
        <f t="shared" si="4"/>
        <v>0</v>
      </c>
      <c r="K23" s="214" t="s">
        <v>364</v>
      </c>
      <c r="L23" s="214"/>
      <c r="M23" s="214"/>
      <c r="N23" s="214">
        <v>1</v>
      </c>
      <c r="O23" s="214"/>
    </row>
    <row r="24" spans="1:15" ht="30.75" customHeight="1" x14ac:dyDescent="0.2">
      <c r="A24" s="323"/>
      <c r="B24" s="328"/>
      <c r="C24" s="204" t="s">
        <v>351</v>
      </c>
      <c r="D24" s="210"/>
      <c r="E24" s="206">
        <v>2700</v>
      </c>
      <c r="F24" s="207">
        <v>1</v>
      </c>
      <c r="G24" s="207" t="s">
        <v>339</v>
      </c>
      <c r="H24" s="208">
        <f t="shared" si="3"/>
        <v>0</v>
      </c>
      <c r="I24" s="209">
        <f>H24/E24</f>
        <v>0</v>
      </c>
      <c r="K24" s="214" t="s">
        <v>366</v>
      </c>
      <c r="L24" s="214"/>
      <c r="M24" s="214"/>
      <c r="N24" s="214">
        <v>1</v>
      </c>
      <c r="O24" s="214"/>
    </row>
    <row r="25" spans="1:15" ht="30.75" customHeight="1" x14ac:dyDescent="0.2">
      <c r="A25" s="323"/>
      <c r="B25" s="328"/>
      <c r="C25" s="204" t="s">
        <v>352</v>
      </c>
      <c r="D25" s="210"/>
      <c r="E25" s="206">
        <v>100000</v>
      </c>
      <c r="F25" s="207">
        <v>1</v>
      </c>
      <c r="G25" s="207" t="s">
        <v>339</v>
      </c>
      <c r="H25" s="208">
        <f t="shared" si="3"/>
        <v>0</v>
      </c>
      <c r="I25" s="209">
        <f t="shared" ref="I25:I29" si="5">H25/E25</f>
        <v>0</v>
      </c>
      <c r="K25" s="214" t="s">
        <v>367</v>
      </c>
      <c r="L25" s="214"/>
      <c r="M25" s="214"/>
      <c r="N25" s="214">
        <v>1</v>
      </c>
      <c r="O25" s="214"/>
    </row>
    <row r="26" spans="1:15" ht="30.75" customHeight="1" x14ac:dyDescent="0.2">
      <c r="A26" s="323"/>
      <c r="B26" s="327" t="s">
        <v>354</v>
      </c>
      <c r="C26" s="204" t="s">
        <v>355</v>
      </c>
      <c r="D26" s="210">
        <v>50</v>
      </c>
      <c r="E26" s="206">
        <v>160</v>
      </c>
      <c r="F26" s="207">
        <v>1</v>
      </c>
      <c r="G26" s="207" t="s">
        <v>356</v>
      </c>
      <c r="H26" s="208">
        <f t="shared" si="3"/>
        <v>4.1666666666666661</v>
      </c>
      <c r="I26" s="209">
        <f t="shared" si="5"/>
        <v>2.6041666666666664E-2</v>
      </c>
    </row>
    <row r="27" spans="1:15" ht="30.75" customHeight="1" x14ac:dyDescent="0.2">
      <c r="A27" s="323"/>
      <c r="B27" s="328"/>
      <c r="C27" s="204" t="s">
        <v>358</v>
      </c>
      <c r="D27" s="210"/>
      <c r="E27" s="206">
        <v>380</v>
      </c>
      <c r="F27" s="207">
        <v>1</v>
      </c>
      <c r="G27" s="207" t="s">
        <v>356</v>
      </c>
      <c r="H27" s="208">
        <f t="shared" si="3"/>
        <v>0</v>
      </c>
      <c r="I27" s="216">
        <f>H27/E27</f>
        <v>0</v>
      </c>
    </row>
    <row r="28" spans="1:15" ht="30.75" customHeight="1" x14ac:dyDescent="0.2">
      <c r="A28" s="323"/>
      <c r="B28" s="328"/>
      <c r="C28" s="204" t="s">
        <v>360</v>
      </c>
      <c r="D28" s="210"/>
      <c r="E28" s="206">
        <v>380</v>
      </c>
      <c r="F28" s="207">
        <v>1</v>
      </c>
      <c r="G28" s="207" t="s">
        <v>356</v>
      </c>
      <c r="H28" s="208">
        <f t="shared" si="3"/>
        <v>0</v>
      </c>
      <c r="I28" s="216">
        <f t="shared" si="5"/>
        <v>0</v>
      </c>
    </row>
    <row r="29" spans="1:15" ht="30.75" customHeight="1" x14ac:dyDescent="0.2">
      <c r="A29" s="323"/>
      <c r="B29" s="329"/>
      <c r="C29" s="204" t="s">
        <v>362</v>
      </c>
      <c r="D29" s="213">
        <v>0</v>
      </c>
      <c r="E29" s="206">
        <v>160</v>
      </c>
      <c r="F29" s="207">
        <v>1</v>
      </c>
      <c r="G29" s="207" t="s">
        <v>356</v>
      </c>
      <c r="H29" s="208">
        <f t="shared" si="3"/>
        <v>0</v>
      </c>
      <c r="I29" s="209">
        <f t="shared" si="5"/>
        <v>0</v>
      </c>
    </row>
    <row r="30" spans="1:15" ht="30.75" customHeight="1" thickBot="1" x14ac:dyDescent="0.25">
      <c r="A30" s="324"/>
      <c r="B30" s="330" t="s">
        <v>363</v>
      </c>
      <c r="C30" s="331"/>
      <c r="D30" s="331"/>
      <c r="E30" s="331"/>
      <c r="F30" s="331"/>
      <c r="G30" s="331"/>
      <c r="H30" s="332"/>
      <c r="I30" s="211">
        <f>SUM(I17:I29)</f>
        <v>1.0260416666666667</v>
      </c>
    </row>
    <row r="31" spans="1:15" ht="30.75" customHeight="1" x14ac:dyDescent="0.2">
      <c r="A31" s="322" t="s">
        <v>366</v>
      </c>
      <c r="B31" s="325" t="s">
        <v>337</v>
      </c>
      <c r="C31" s="198" t="s">
        <v>338</v>
      </c>
      <c r="D31" s="199">
        <v>0</v>
      </c>
      <c r="E31" s="200">
        <v>1200</v>
      </c>
      <c r="F31" s="201">
        <v>1</v>
      </c>
      <c r="G31" s="201" t="s">
        <v>339</v>
      </c>
      <c r="H31" s="202">
        <f t="shared" ref="H31:H43" si="6">IF(G31="DIÁRIA",F31+0,IF(G31="SEMANAL",F31/$L$2,IF(G31="MENSAL",F31/$M$2,IF(G31="ANUAL",F31/$O$2,IF(G31="QUINZENAL",F31/$N$2)))))*D31</f>
        <v>0</v>
      </c>
      <c r="I31" s="203">
        <f>H31/E31</f>
        <v>0</v>
      </c>
    </row>
    <row r="32" spans="1:15" ht="30.75" customHeight="1" x14ac:dyDescent="0.2">
      <c r="A32" s="323"/>
      <c r="B32" s="326"/>
      <c r="C32" s="204" t="s">
        <v>341</v>
      </c>
      <c r="D32" s="205">
        <v>925.56</v>
      </c>
      <c r="E32" s="206">
        <v>1200</v>
      </c>
      <c r="F32" s="207">
        <v>1</v>
      </c>
      <c r="G32" s="207" t="s">
        <v>339</v>
      </c>
      <c r="H32" s="208">
        <f t="shared" si="6"/>
        <v>925.56</v>
      </c>
      <c r="I32" s="209">
        <f t="shared" ref="I32:I37" si="7">H32/E32</f>
        <v>0.77129999999999999</v>
      </c>
    </row>
    <row r="33" spans="1:9" ht="30.75" customHeight="1" x14ac:dyDescent="0.2">
      <c r="A33" s="323"/>
      <c r="B33" s="326"/>
      <c r="C33" s="204" t="s">
        <v>342</v>
      </c>
      <c r="D33" s="210">
        <v>0</v>
      </c>
      <c r="E33" s="206">
        <v>2500</v>
      </c>
      <c r="F33" s="207">
        <v>1</v>
      </c>
      <c r="G33" s="207" t="s">
        <v>339</v>
      </c>
      <c r="H33" s="208">
        <f t="shared" si="6"/>
        <v>0</v>
      </c>
      <c r="I33" s="209">
        <f t="shared" si="7"/>
        <v>0</v>
      </c>
    </row>
    <row r="34" spans="1:9" ht="30.75" customHeight="1" x14ac:dyDescent="0.2">
      <c r="A34" s="323"/>
      <c r="B34" s="326"/>
      <c r="C34" s="204" t="s">
        <v>343</v>
      </c>
      <c r="D34" s="210">
        <v>0</v>
      </c>
      <c r="E34" s="206">
        <v>1500</v>
      </c>
      <c r="F34" s="207">
        <v>1</v>
      </c>
      <c r="G34" s="207" t="s">
        <v>339</v>
      </c>
      <c r="H34" s="208">
        <f t="shared" si="6"/>
        <v>0</v>
      </c>
      <c r="I34" s="209">
        <f t="shared" si="7"/>
        <v>0</v>
      </c>
    </row>
    <row r="35" spans="1:9" ht="30.75" customHeight="1" x14ac:dyDescent="0.2">
      <c r="A35" s="323"/>
      <c r="B35" s="326"/>
      <c r="C35" s="204" t="s">
        <v>345</v>
      </c>
      <c r="D35" s="210">
        <v>17.559999999999999</v>
      </c>
      <c r="E35" s="206">
        <v>300</v>
      </c>
      <c r="F35" s="207">
        <v>1</v>
      </c>
      <c r="G35" s="207" t="s">
        <v>339</v>
      </c>
      <c r="H35" s="208">
        <f t="shared" si="6"/>
        <v>17.559999999999999</v>
      </c>
      <c r="I35" s="209">
        <f t="shared" si="7"/>
        <v>5.8533333333333326E-2</v>
      </c>
    </row>
    <row r="36" spans="1:9" ht="30.75" customHeight="1" x14ac:dyDescent="0.2">
      <c r="A36" s="323"/>
      <c r="B36" s="327" t="s">
        <v>347</v>
      </c>
      <c r="C36" s="204" t="s">
        <v>348</v>
      </c>
      <c r="D36" s="210"/>
      <c r="E36" s="206">
        <v>2700</v>
      </c>
      <c r="F36" s="207">
        <v>1</v>
      </c>
      <c r="G36" s="207" t="s">
        <v>339</v>
      </c>
      <c r="H36" s="208">
        <f t="shared" si="6"/>
        <v>0</v>
      </c>
      <c r="I36" s="209">
        <f t="shared" si="7"/>
        <v>0</v>
      </c>
    </row>
    <row r="37" spans="1:9" ht="30.75" customHeight="1" x14ac:dyDescent="0.2">
      <c r="A37" s="323"/>
      <c r="B37" s="328"/>
      <c r="C37" s="204" t="s">
        <v>349</v>
      </c>
      <c r="D37" s="210">
        <v>0</v>
      </c>
      <c r="E37" s="206">
        <v>9000</v>
      </c>
      <c r="F37" s="207">
        <v>1</v>
      </c>
      <c r="G37" s="207" t="s">
        <v>339</v>
      </c>
      <c r="H37" s="208">
        <f t="shared" si="6"/>
        <v>0</v>
      </c>
      <c r="I37" s="209">
        <f t="shared" si="7"/>
        <v>0</v>
      </c>
    </row>
    <row r="38" spans="1:9" ht="30.75" customHeight="1" x14ac:dyDescent="0.2">
      <c r="A38" s="323"/>
      <c r="B38" s="328"/>
      <c r="C38" s="204" t="s">
        <v>351</v>
      </c>
      <c r="D38" s="210">
        <v>460.15</v>
      </c>
      <c r="E38" s="206">
        <v>2700</v>
      </c>
      <c r="F38" s="207">
        <v>1</v>
      </c>
      <c r="G38" s="207" t="s">
        <v>339</v>
      </c>
      <c r="H38" s="208">
        <f t="shared" si="6"/>
        <v>460.15</v>
      </c>
      <c r="I38" s="209">
        <f>H38/E38</f>
        <v>0.17042592592592593</v>
      </c>
    </row>
    <row r="39" spans="1:9" ht="30.75" customHeight="1" x14ac:dyDescent="0.2">
      <c r="A39" s="323"/>
      <c r="B39" s="328"/>
      <c r="C39" s="204" t="s">
        <v>359</v>
      </c>
      <c r="D39" s="210">
        <v>0</v>
      </c>
      <c r="E39" s="206">
        <v>100000</v>
      </c>
      <c r="F39" s="207">
        <v>1</v>
      </c>
      <c r="G39" s="207" t="s">
        <v>339</v>
      </c>
      <c r="H39" s="208">
        <f t="shared" si="6"/>
        <v>0</v>
      </c>
      <c r="I39" s="209">
        <f t="shared" ref="I39:I43" si="8">H39/E39</f>
        <v>0</v>
      </c>
    </row>
    <row r="40" spans="1:9" ht="30.75" customHeight="1" x14ac:dyDescent="0.2">
      <c r="A40" s="323"/>
      <c r="B40" s="327" t="s">
        <v>354</v>
      </c>
      <c r="C40" s="204" t="s">
        <v>355</v>
      </c>
      <c r="D40" s="210">
        <v>0</v>
      </c>
      <c r="E40" s="206">
        <v>160</v>
      </c>
      <c r="F40" s="207">
        <v>1</v>
      </c>
      <c r="G40" s="207" t="s">
        <v>356</v>
      </c>
      <c r="H40" s="208">
        <f t="shared" si="6"/>
        <v>0</v>
      </c>
      <c r="I40" s="209">
        <f t="shared" si="8"/>
        <v>0</v>
      </c>
    </row>
    <row r="41" spans="1:9" ht="30.75" customHeight="1" x14ac:dyDescent="0.2">
      <c r="A41" s="323"/>
      <c r="B41" s="328"/>
      <c r="C41" s="204" t="s">
        <v>358</v>
      </c>
      <c r="D41" s="210"/>
      <c r="E41" s="206">
        <v>380</v>
      </c>
      <c r="F41" s="207">
        <v>1</v>
      </c>
      <c r="G41" s="207" t="s">
        <v>356</v>
      </c>
      <c r="H41" s="208">
        <f t="shared" si="6"/>
        <v>0</v>
      </c>
      <c r="I41" s="209">
        <f t="shared" si="8"/>
        <v>0</v>
      </c>
    </row>
    <row r="42" spans="1:9" ht="30.75" customHeight="1" x14ac:dyDescent="0.2">
      <c r="A42" s="323"/>
      <c r="B42" s="328"/>
      <c r="C42" s="204" t="s">
        <v>360</v>
      </c>
      <c r="D42" s="210"/>
      <c r="E42" s="206">
        <v>300</v>
      </c>
      <c r="F42" s="207">
        <v>1</v>
      </c>
      <c r="G42" s="207" t="s">
        <v>356</v>
      </c>
      <c r="H42" s="208">
        <f t="shared" si="6"/>
        <v>0</v>
      </c>
      <c r="I42" s="209">
        <f t="shared" si="8"/>
        <v>0</v>
      </c>
    </row>
    <row r="43" spans="1:9" ht="30.75" customHeight="1" x14ac:dyDescent="0.2">
      <c r="A43" s="323"/>
      <c r="B43" s="329"/>
      <c r="C43" s="204" t="s">
        <v>362</v>
      </c>
      <c r="D43" s="210">
        <v>0</v>
      </c>
      <c r="E43" s="206">
        <v>160</v>
      </c>
      <c r="F43" s="207">
        <v>1</v>
      </c>
      <c r="G43" s="207" t="s">
        <v>356</v>
      </c>
      <c r="H43" s="208">
        <f t="shared" si="6"/>
        <v>0</v>
      </c>
      <c r="I43" s="209">
        <f t="shared" si="8"/>
        <v>0</v>
      </c>
    </row>
    <row r="44" spans="1:9" ht="30.75" customHeight="1" thickBot="1" x14ac:dyDescent="0.25">
      <c r="A44" s="324"/>
      <c r="B44" s="330" t="s">
        <v>363</v>
      </c>
      <c r="C44" s="331"/>
      <c r="D44" s="331"/>
      <c r="E44" s="331"/>
      <c r="F44" s="331"/>
      <c r="G44" s="331"/>
      <c r="H44" s="332"/>
      <c r="I44" s="211">
        <f>SUM(I31:I43)</f>
        <v>1.0002592592592592</v>
      </c>
    </row>
    <row r="45" spans="1:9" ht="30.75" customHeight="1" x14ac:dyDescent="0.2">
      <c r="A45" s="333" t="s">
        <v>367</v>
      </c>
      <c r="B45" s="325" t="s">
        <v>337</v>
      </c>
      <c r="C45" s="198" t="s">
        <v>338</v>
      </c>
      <c r="D45" s="199">
        <v>0</v>
      </c>
      <c r="E45" s="200">
        <v>1200</v>
      </c>
      <c r="F45" s="201">
        <v>1</v>
      </c>
      <c r="G45" s="201" t="s">
        <v>339</v>
      </c>
      <c r="H45" s="202">
        <f t="shared" ref="H45:H58" si="9">IF(G45="DIÁRIA",F45+0,IF(G45="SEMANAL",F45/$L$2,IF(G45="MENSAL",F45/$M$2,IF(G45="ANUAL",F45/$O$2,IF(G45="QUINZENAL",F45/$N$2)))))*D45</f>
        <v>0</v>
      </c>
      <c r="I45" s="203">
        <f>H45/E45</f>
        <v>0</v>
      </c>
    </row>
    <row r="46" spans="1:9" ht="30.75" customHeight="1" x14ac:dyDescent="0.2">
      <c r="A46" s="334"/>
      <c r="B46" s="326"/>
      <c r="C46" s="204" t="s">
        <v>341</v>
      </c>
      <c r="D46" s="205">
        <v>1051.8399999999999</v>
      </c>
      <c r="E46" s="206">
        <v>1200</v>
      </c>
      <c r="F46" s="207">
        <v>1</v>
      </c>
      <c r="G46" s="207" t="s">
        <v>339</v>
      </c>
      <c r="H46" s="208">
        <f t="shared" si="9"/>
        <v>1051.8399999999999</v>
      </c>
      <c r="I46" s="209">
        <f t="shared" ref="I46:I52" si="10">H46/E46</f>
        <v>0.87653333333333328</v>
      </c>
    </row>
    <row r="47" spans="1:9" ht="30.75" customHeight="1" x14ac:dyDescent="0.2">
      <c r="A47" s="334"/>
      <c r="B47" s="326"/>
      <c r="C47" s="204" t="s">
        <v>342</v>
      </c>
      <c r="D47" s="210">
        <v>0</v>
      </c>
      <c r="E47" s="206">
        <v>2500</v>
      </c>
      <c r="F47" s="207">
        <v>1</v>
      </c>
      <c r="G47" s="207" t="s">
        <v>339</v>
      </c>
      <c r="H47" s="208">
        <f t="shared" si="9"/>
        <v>0</v>
      </c>
      <c r="I47" s="209">
        <f t="shared" si="10"/>
        <v>0</v>
      </c>
    </row>
    <row r="48" spans="1:9" ht="30.75" customHeight="1" x14ac:dyDescent="0.2">
      <c r="A48" s="334"/>
      <c r="B48" s="326"/>
      <c r="C48" s="204" t="s">
        <v>343</v>
      </c>
      <c r="D48" s="210">
        <v>0</v>
      </c>
      <c r="E48" s="206">
        <v>1500</v>
      </c>
      <c r="F48" s="207">
        <v>1</v>
      </c>
      <c r="G48" s="207" t="s">
        <v>339</v>
      </c>
      <c r="H48" s="208">
        <f t="shared" si="9"/>
        <v>0</v>
      </c>
      <c r="I48" s="209">
        <f t="shared" si="10"/>
        <v>0</v>
      </c>
    </row>
    <row r="49" spans="1:9" ht="30.75" customHeight="1" x14ac:dyDescent="0.2">
      <c r="A49" s="334"/>
      <c r="B49" s="326"/>
      <c r="C49" s="204" t="s">
        <v>368</v>
      </c>
      <c r="D49" s="210">
        <v>0</v>
      </c>
      <c r="E49" s="206">
        <v>300</v>
      </c>
      <c r="F49" s="207">
        <v>1</v>
      </c>
      <c r="G49" s="207" t="s">
        <v>339</v>
      </c>
      <c r="H49" s="208">
        <f t="shared" si="9"/>
        <v>0</v>
      </c>
      <c r="I49" s="209">
        <f t="shared" si="10"/>
        <v>0</v>
      </c>
    </row>
    <row r="50" spans="1:9" ht="30.75" customHeight="1" x14ac:dyDescent="0.2">
      <c r="A50" s="334"/>
      <c r="B50" s="326"/>
      <c r="C50" s="204" t="s">
        <v>345</v>
      </c>
      <c r="D50" s="210">
        <v>3.36</v>
      </c>
      <c r="E50" s="206">
        <v>300</v>
      </c>
      <c r="F50" s="207">
        <v>1</v>
      </c>
      <c r="G50" s="207" t="s">
        <v>339</v>
      </c>
      <c r="H50" s="208">
        <f t="shared" si="9"/>
        <v>3.36</v>
      </c>
      <c r="I50" s="209">
        <f t="shared" si="10"/>
        <v>1.12E-2</v>
      </c>
    </row>
    <row r="51" spans="1:9" ht="30.75" customHeight="1" x14ac:dyDescent="0.2">
      <c r="A51" s="334"/>
      <c r="B51" s="327" t="s">
        <v>347</v>
      </c>
      <c r="C51" s="204" t="s">
        <v>348</v>
      </c>
      <c r="D51" s="210">
        <v>289.92</v>
      </c>
      <c r="E51" s="206">
        <v>2700</v>
      </c>
      <c r="F51" s="207">
        <v>1</v>
      </c>
      <c r="G51" s="207" t="s">
        <v>339</v>
      </c>
      <c r="H51" s="208">
        <f t="shared" si="9"/>
        <v>289.92</v>
      </c>
      <c r="I51" s="209">
        <f t="shared" si="10"/>
        <v>0.10737777777777778</v>
      </c>
    </row>
    <row r="52" spans="1:9" ht="30.75" customHeight="1" x14ac:dyDescent="0.2">
      <c r="A52" s="334"/>
      <c r="B52" s="328"/>
      <c r="C52" s="204" t="s">
        <v>349</v>
      </c>
      <c r="D52" s="210">
        <v>0</v>
      </c>
      <c r="E52" s="206">
        <v>9000</v>
      </c>
      <c r="F52" s="207">
        <v>1</v>
      </c>
      <c r="G52" s="207" t="s">
        <v>339</v>
      </c>
      <c r="H52" s="208">
        <f t="shared" si="9"/>
        <v>0</v>
      </c>
      <c r="I52" s="209">
        <f t="shared" si="10"/>
        <v>0</v>
      </c>
    </row>
    <row r="53" spans="1:9" ht="30.75" customHeight="1" x14ac:dyDescent="0.2">
      <c r="A53" s="334"/>
      <c r="B53" s="328"/>
      <c r="C53" s="204" t="s">
        <v>351</v>
      </c>
      <c r="D53" s="210">
        <v>0</v>
      </c>
      <c r="E53" s="206">
        <v>2700</v>
      </c>
      <c r="F53" s="207">
        <v>1</v>
      </c>
      <c r="G53" s="207" t="s">
        <v>339</v>
      </c>
      <c r="H53" s="208">
        <f t="shared" si="9"/>
        <v>0</v>
      </c>
      <c r="I53" s="209">
        <f>H53/E53</f>
        <v>0</v>
      </c>
    </row>
    <row r="54" spans="1:9" ht="30.75" customHeight="1" x14ac:dyDescent="0.2">
      <c r="A54" s="334"/>
      <c r="B54" s="328"/>
      <c r="C54" s="204" t="s">
        <v>352</v>
      </c>
      <c r="D54" s="210">
        <v>0</v>
      </c>
      <c r="E54" s="206">
        <v>100000</v>
      </c>
      <c r="F54" s="207">
        <v>1</v>
      </c>
      <c r="G54" s="207" t="s">
        <v>339</v>
      </c>
      <c r="H54" s="208">
        <f t="shared" si="9"/>
        <v>0</v>
      </c>
      <c r="I54" s="216">
        <f t="shared" ref="I54:I58" si="11">H54/E54</f>
        <v>0</v>
      </c>
    </row>
    <row r="55" spans="1:9" ht="30.75" customHeight="1" x14ac:dyDescent="0.2">
      <c r="A55" s="334"/>
      <c r="B55" s="327" t="s">
        <v>354</v>
      </c>
      <c r="C55" s="204" t="s">
        <v>355</v>
      </c>
      <c r="D55" s="210">
        <v>0</v>
      </c>
      <c r="E55" s="206">
        <v>160</v>
      </c>
      <c r="F55" s="207">
        <v>1</v>
      </c>
      <c r="G55" s="207" t="s">
        <v>356</v>
      </c>
      <c r="H55" s="208">
        <f t="shared" si="9"/>
        <v>0</v>
      </c>
      <c r="I55" s="209">
        <f t="shared" si="11"/>
        <v>0</v>
      </c>
    </row>
    <row r="56" spans="1:9" ht="30.75" customHeight="1" x14ac:dyDescent="0.2">
      <c r="A56" s="334"/>
      <c r="B56" s="328"/>
      <c r="C56" s="204" t="s">
        <v>358</v>
      </c>
      <c r="D56" s="210">
        <v>0</v>
      </c>
      <c r="E56" s="206">
        <v>380</v>
      </c>
      <c r="F56" s="207">
        <v>1</v>
      </c>
      <c r="G56" s="207" t="s">
        <v>356</v>
      </c>
      <c r="H56" s="208">
        <f t="shared" si="9"/>
        <v>0</v>
      </c>
      <c r="I56" s="209">
        <f t="shared" si="11"/>
        <v>0</v>
      </c>
    </row>
    <row r="57" spans="1:9" ht="30.75" customHeight="1" x14ac:dyDescent="0.2">
      <c r="A57" s="334"/>
      <c r="B57" s="328"/>
      <c r="C57" s="204" t="s">
        <v>360</v>
      </c>
      <c r="D57" s="210">
        <v>0</v>
      </c>
      <c r="E57" s="206">
        <v>380</v>
      </c>
      <c r="F57" s="207">
        <v>1</v>
      </c>
      <c r="G57" s="207" t="s">
        <v>356</v>
      </c>
      <c r="H57" s="208">
        <f t="shared" si="9"/>
        <v>0</v>
      </c>
      <c r="I57" s="209">
        <f t="shared" si="11"/>
        <v>0</v>
      </c>
    </row>
    <row r="58" spans="1:9" ht="30.75" customHeight="1" x14ac:dyDescent="0.2">
      <c r="A58" s="334"/>
      <c r="B58" s="329"/>
      <c r="C58" s="204" t="s">
        <v>369</v>
      </c>
      <c r="D58" s="210">
        <v>0</v>
      </c>
      <c r="E58" s="206">
        <v>160</v>
      </c>
      <c r="F58" s="207">
        <v>2</v>
      </c>
      <c r="G58" s="207" t="s">
        <v>370</v>
      </c>
      <c r="H58" s="208">
        <f t="shared" si="9"/>
        <v>0</v>
      </c>
      <c r="I58" s="209">
        <f t="shared" si="11"/>
        <v>0</v>
      </c>
    </row>
    <row r="59" spans="1:9" ht="30.75" customHeight="1" thickBot="1" x14ac:dyDescent="0.25">
      <c r="A59" s="335"/>
      <c r="B59" s="330" t="s">
        <v>363</v>
      </c>
      <c r="C59" s="331"/>
      <c r="D59" s="331"/>
      <c r="E59" s="331"/>
      <c r="F59" s="331"/>
      <c r="G59" s="331"/>
      <c r="H59" s="332"/>
      <c r="I59" s="211">
        <f>SUM(I45:I58)</f>
        <v>0.99511111111111106</v>
      </c>
    </row>
  </sheetData>
  <mergeCells count="39">
    <mergeCell ref="A1:I1"/>
    <mergeCell ref="A2:B2"/>
    <mergeCell ref="A3:A16"/>
    <mergeCell ref="B3:B7"/>
    <mergeCell ref="K3:O3"/>
    <mergeCell ref="K4:M4"/>
    <mergeCell ref="K5:M5"/>
    <mergeCell ref="K6:M6"/>
    <mergeCell ref="K7:M7"/>
    <mergeCell ref="B8:B11"/>
    <mergeCell ref="K8:M8"/>
    <mergeCell ref="K9:M9"/>
    <mergeCell ref="K10:M10"/>
    <mergeCell ref="K11:M11"/>
    <mergeCell ref="B12:B15"/>
    <mergeCell ref="K12:M12"/>
    <mergeCell ref="K13:M13"/>
    <mergeCell ref="K14:M14"/>
    <mergeCell ref="K15:M15"/>
    <mergeCell ref="B16:H16"/>
    <mergeCell ref="K16:M16"/>
    <mergeCell ref="A17:A30"/>
    <mergeCell ref="B17:B21"/>
    <mergeCell ref="K17:M17"/>
    <mergeCell ref="K18:M18"/>
    <mergeCell ref="B22:B25"/>
    <mergeCell ref="B26:B29"/>
    <mergeCell ref="B30:H30"/>
    <mergeCell ref="K20:O20"/>
    <mergeCell ref="A45:A59"/>
    <mergeCell ref="B45:B50"/>
    <mergeCell ref="B51:B54"/>
    <mergeCell ref="B55:B58"/>
    <mergeCell ref="B59:H59"/>
    <mergeCell ref="A31:A44"/>
    <mergeCell ref="B31:B35"/>
    <mergeCell ref="B36:B39"/>
    <mergeCell ref="B40:B43"/>
    <mergeCell ref="B44:H44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66BA5-BFFD-45CC-91D3-DC4B9AE130A5}">
  <dimension ref="A1:T138"/>
  <sheetViews>
    <sheetView showGridLines="0" topLeftCell="A83" zoomScale="90" zoomScaleNormal="90" workbookViewId="0">
      <selection activeCell="B97" sqref="B97:F97"/>
    </sheetView>
  </sheetViews>
  <sheetFormatPr defaultColWidth="10.140625" defaultRowHeight="12.75" x14ac:dyDescent="0.2"/>
  <cols>
    <col min="1" max="1" width="5.140625" style="99" customWidth="1"/>
    <col min="2" max="2" width="43" style="99" customWidth="1"/>
    <col min="3" max="3" width="13.42578125" style="99" customWidth="1"/>
    <col min="4" max="7" width="9.28515625" style="99" customWidth="1"/>
    <col min="8" max="9" width="15.28515625" style="99" customWidth="1"/>
    <col min="10" max="14" width="16.5703125" style="99" customWidth="1"/>
    <col min="15" max="15" width="12.140625" style="99" customWidth="1"/>
    <col min="16" max="16" width="13.5703125" style="99" customWidth="1"/>
    <col min="17" max="18" width="12.42578125" style="99" customWidth="1"/>
    <col min="19" max="19" width="14.28515625" style="99" customWidth="1"/>
    <col min="20" max="20" width="14.5703125" style="99" customWidth="1"/>
    <col min="21" max="21" width="13.42578125" style="99" customWidth="1"/>
    <col min="22" max="24" width="10.140625" style="99"/>
    <col min="25" max="25" width="12.85546875" style="99" customWidth="1"/>
    <col min="26" max="26" width="13.28515625" style="99" customWidth="1"/>
    <col min="27" max="16384" width="10.140625" style="99"/>
  </cols>
  <sheetData>
    <row r="1" spans="1:14" ht="19.5" customHeight="1" x14ac:dyDescent="0.2">
      <c r="A1" s="349" t="s">
        <v>210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1"/>
    </row>
    <row r="2" spans="1:14" ht="9.7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85"/>
    </row>
    <row r="3" spans="1:14" ht="19.5" customHeight="1" x14ac:dyDescent="0.2">
      <c r="D3" s="352" t="s">
        <v>214</v>
      </c>
      <c r="E3" s="353"/>
      <c r="F3" s="353"/>
      <c r="G3" s="353"/>
      <c r="H3" s="353"/>
      <c r="I3" s="354"/>
      <c r="J3" s="355" t="s">
        <v>215</v>
      </c>
      <c r="K3" s="356"/>
      <c r="L3" s="356"/>
      <c r="M3" s="356"/>
      <c r="N3" s="356"/>
    </row>
    <row r="4" spans="1:14" ht="30" customHeight="1" x14ac:dyDescent="0.2">
      <c r="A4" s="177" t="s">
        <v>211</v>
      </c>
      <c r="B4" s="177" t="s">
        <v>212</v>
      </c>
      <c r="C4" s="178" t="s">
        <v>213</v>
      </c>
      <c r="D4" s="179" t="s">
        <v>216</v>
      </c>
      <c r="E4" s="179" t="s">
        <v>217</v>
      </c>
      <c r="F4" s="179" t="s">
        <v>218</v>
      </c>
      <c r="G4" s="179" t="s">
        <v>219</v>
      </c>
      <c r="H4" s="181" t="s">
        <v>326</v>
      </c>
      <c r="I4" s="164" t="s">
        <v>220</v>
      </c>
      <c r="J4" s="162" t="s">
        <v>216</v>
      </c>
      <c r="K4" s="162" t="s">
        <v>217</v>
      </c>
      <c r="L4" s="162" t="s">
        <v>218</v>
      </c>
      <c r="M4" s="162" t="s">
        <v>219</v>
      </c>
      <c r="N4" s="163"/>
    </row>
    <row r="5" spans="1:14" ht="19.5" customHeight="1" x14ac:dyDescent="0.2">
      <c r="A5" s="155">
        <v>1</v>
      </c>
      <c r="B5" s="156" t="s">
        <v>221</v>
      </c>
      <c r="C5" s="86" t="s">
        <v>222</v>
      </c>
      <c r="D5" s="153">
        <v>100</v>
      </c>
      <c r="E5" s="153">
        <v>30</v>
      </c>
      <c r="F5" s="153">
        <v>30</v>
      </c>
      <c r="G5" s="153">
        <v>30</v>
      </c>
      <c r="H5" s="87">
        <f t="shared" ref="H5:H44" si="0">SUM(D5:G5)</f>
        <v>190</v>
      </c>
      <c r="I5" s="88">
        <v>7.98</v>
      </c>
      <c r="J5" s="89">
        <f>ROUND(I5*D5,2)</f>
        <v>798</v>
      </c>
      <c r="K5" s="89">
        <f>ROUND(I5*E5,2)</f>
        <v>239.4</v>
      </c>
      <c r="L5" s="89">
        <f>ROUND(I5*F5,2)</f>
        <v>239.4</v>
      </c>
      <c r="M5" s="89">
        <f>ROUND(I5*G5,2)</f>
        <v>239.4</v>
      </c>
      <c r="N5" s="161">
        <f t="shared" ref="N5:N21" si="1">SUM(J5:M5)</f>
        <v>1516.2000000000003</v>
      </c>
    </row>
    <row r="6" spans="1:14" ht="19.5" customHeight="1" x14ac:dyDescent="0.2">
      <c r="A6" s="155">
        <v>2</v>
      </c>
      <c r="B6" s="156" t="s">
        <v>223</v>
      </c>
      <c r="C6" s="86" t="s">
        <v>224</v>
      </c>
      <c r="D6" s="153">
        <v>250</v>
      </c>
      <c r="E6" s="153">
        <v>120</v>
      </c>
      <c r="F6" s="153">
        <v>120</v>
      </c>
      <c r="G6" s="153">
        <v>150</v>
      </c>
      <c r="H6" s="87">
        <f t="shared" si="0"/>
        <v>640</v>
      </c>
      <c r="I6" s="88">
        <v>6.4</v>
      </c>
      <c r="J6" s="89">
        <f t="shared" ref="J6:J47" si="2">ROUND(I6*D6,2)</f>
        <v>1600</v>
      </c>
      <c r="K6" s="89">
        <f t="shared" ref="K6:K47" si="3">ROUND(I6*E6,2)</f>
        <v>768</v>
      </c>
      <c r="L6" s="89">
        <f t="shared" ref="L6:L47" si="4">ROUND(I6*F6,2)</f>
        <v>768</v>
      </c>
      <c r="M6" s="89">
        <f t="shared" ref="M6:M47" si="5">ROUND(I6*G6,2)</f>
        <v>960</v>
      </c>
      <c r="N6" s="161">
        <f t="shared" si="1"/>
        <v>4096</v>
      </c>
    </row>
    <row r="7" spans="1:14" ht="19.5" customHeight="1" x14ac:dyDescent="0.2">
      <c r="A7" s="155">
        <v>3</v>
      </c>
      <c r="B7" s="156" t="s">
        <v>226</v>
      </c>
      <c r="C7" s="86" t="s">
        <v>213</v>
      </c>
      <c r="D7" s="153">
        <v>8</v>
      </c>
      <c r="E7" s="153">
        <v>3</v>
      </c>
      <c r="F7" s="153">
        <v>3</v>
      </c>
      <c r="G7" s="153">
        <v>3</v>
      </c>
      <c r="H7" s="87">
        <f t="shared" si="0"/>
        <v>17</v>
      </c>
      <c r="I7" s="88">
        <v>21.81</v>
      </c>
      <c r="J7" s="89">
        <f t="shared" si="2"/>
        <v>174.48</v>
      </c>
      <c r="K7" s="89">
        <f t="shared" si="3"/>
        <v>65.430000000000007</v>
      </c>
      <c r="L7" s="89">
        <f t="shared" si="4"/>
        <v>65.430000000000007</v>
      </c>
      <c r="M7" s="89">
        <f>ROUND(I7*G7,2)</f>
        <v>65.430000000000007</v>
      </c>
      <c r="N7" s="161">
        <f t="shared" si="1"/>
        <v>370.77000000000004</v>
      </c>
    </row>
    <row r="8" spans="1:14" ht="19.5" customHeight="1" x14ac:dyDescent="0.2">
      <c r="A8" s="155">
        <v>4</v>
      </c>
      <c r="B8" s="156" t="s">
        <v>227</v>
      </c>
      <c r="C8" s="86" t="s">
        <v>213</v>
      </c>
      <c r="D8" s="153">
        <v>2</v>
      </c>
      <c r="E8" s="153">
        <v>1</v>
      </c>
      <c r="F8" s="153">
        <v>1</v>
      </c>
      <c r="G8" s="153">
        <v>1</v>
      </c>
      <c r="H8" s="87">
        <f t="shared" si="0"/>
        <v>5</v>
      </c>
      <c r="I8" s="88">
        <v>49.48</v>
      </c>
      <c r="J8" s="89">
        <f t="shared" si="2"/>
        <v>98.96</v>
      </c>
      <c r="K8" s="89">
        <f t="shared" si="3"/>
        <v>49.48</v>
      </c>
      <c r="L8" s="89">
        <f t="shared" si="4"/>
        <v>49.48</v>
      </c>
      <c r="M8" s="89">
        <f t="shared" si="5"/>
        <v>49.48</v>
      </c>
      <c r="N8" s="161">
        <f t="shared" si="1"/>
        <v>247.39999999999998</v>
      </c>
    </row>
    <row r="9" spans="1:14" ht="19.5" customHeight="1" x14ac:dyDescent="0.2">
      <c r="A9" s="155">
        <v>5</v>
      </c>
      <c r="B9" s="156" t="s">
        <v>228</v>
      </c>
      <c r="C9" s="86" t="s">
        <v>222</v>
      </c>
      <c r="D9" s="153">
        <v>80</v>
      </c>
      <c r="E9" s="153">
        <v>30</v>
      </c>
      <c r="F9" s="153">
        <v>20</v>
      </c>
      <c r="G9" s="153">
        <v>20</v>
      </c>
      <c r="H9" s="87">
        <f t="shared" si="0"/>
        <v>150</v>
      </c>
      <c r="I9" s="88">
        <v>10.9</v>
      </c>
      <c r="J9" s="89">
        <f t="shared" si="2"/>
        <v>872</v>
      </c>
      <c r="K9" s="89">
        <f t="shared" si="3"/>
        <v>327</v>
      </c>
      <c r="L9" s="89">
        <f t="shared" si="4"/>
        <v>218</v>
      </c>
      <c r="M9" s="89">
        <f>ROUND(I9*G9,2)</f>
        <v>218</v>
      </c>
      <c r="N9" s="161">
        <f t="shared" si="1"/>
        <v>1635</v>
      </c>
    </row>
    <row r="10" spans="1:14" ht="19.5" customHeight="1" x14ac:dyDescent="0.2">
      <c r="A10" s="155">
        <v>6</v>
      </c>
      <c r="B10" s="156" t="s">
        <v>229</v>
      </c>
      <c r="C10" s="86" t="s">
        <v>213</v>
      </c>
      <c r="D10" s="153">
        <v>1920</v>
      </c>
      <c r="E10" s="153">
        <v>240</v>
      </c>
      <c r="F10" s="153">
        <v>240</v>
      </c>
      <c r="G10" s="153">
        <v>240</v>
      </c>
      <c r="H10" s="87">
        <f t="shared" si="0"/>
        <v>2640</v>
      </c>
      <c r="I10" s="88">
        <v>1.425</v>
      </c>
      <c r="J10" s="89">
        <f t="shared" si="2"/>
        <v>2736</v>
      </c>
      <c r="K10" s="89">
        <f t="shared" si="3"/>
        <v>342</v>
      </c>
      <c r="L10" s="89">
        <f t="shared" si="4"/>
        <v>342</v>
      </c>
      <c r="M10" s="89">
        <f t="shared" si="5"/>
        <v>342</v>
      </c>
      <c r="N10" s="161">
        <f t="shared" si="1"/>
        <v>3762</v>
      </c>
    </row>
    <row r="11" spans="1:14" ht="19.5" customHeight="1" x14ac:dyDescent="0.2">
      <c r="A11" s="155">
        <v>7</v>
      </c>
      <c r="B11" s="156" t="s">
        <v>312</v>
      </c>
      <c r="C11" s="86" t="s">
        <v>213</v>
      </c>
      <c r="D11" s="153">
        <v>200</v>
      </c>
      <c r="E11" s="153">
        <v>55</v>
      </c>
      <c r="F11" s="153">
        <v>55</v>
      </c>
      <c r="G11" s="153">
        <v>50</v>
      </c>
      <c r="H11" s="87">
        <f t="shared" si="0"/>
        <v>360</v>
      </c>
      <c r="I11" s="88">
        <v>8.6</v>
      </c>
      <c r="J11" s="89">
        <f t="shared" si="2"/>
        <v>1720</v>
      </c>
      <c r="K11" s="89">
        <f t="shared" si="3"/>
        <v>473</v>
      </c>
      <c r="L11" s="89">
        <f t="shared" si="4"/>
        <v>473</v>
      </c>
      <c r="M11" s="89">
        <f t="shared" si="5"/>
        <v>430</v>
      </c>
      <c r="N11" s="161">
        <f t="shared" si="1"/>
        <v>3096</v>
      </c>
    </row>
    <row r="12" spans="1:14" ht="19.5" customHeight="1" x14ac:dyDescent="0.2">
      <c r="A12" s="155">
        <v>8</v>
      </c>
      <c r="B12" s="157" t="s">
        <v>230</v>
      </c>
      <c r="C12" s="86" t="s">
        <v>225</v>
      </c>
      <c r="D12" s="153">
        <f>10*20</f>
        <v>200</v>
      </c>
      <c r="E12" s="153">
        <v>120</v>
      </c>
      <c r="F12" s="153">
        <v>120</v>
      </c>
      <c r="G12" s="153">
        <v>150</v>
      </c>
      <c r="H12" s="87">
        <f t="shared" si="0"/>
        <v>590</v>
      </c>
      <c r="I12" s="88">
        <v>1.9041999999999999</v>
      </c>
      <c r="J12" s="89">
        <f t="shared" si="2"/>
        <v>380.84</v>
      </c>
      <c r="K12" s="89">
        <f t="shared" si="3"/>
        <v>228.5</v>
      </c>
      <c r="L12" s="89">
        <f t="shared" si="4"/>
        <v>228.5</v>
      </c>
      <c r="M12" s="89">
        <f t="shared" si="5"/>
        <v>285.63</v>
      </c>
      <c r="N12" s="161">
        <f t="shared" si="1"/>
        <v>1123.4699999999998</v>
      </c>
    </row>
    <row r="13" spans="1:14" ht="19.5" customHeight="1" x14ac:dyDescent="0.2">
      <c r="A13" s="155">
        <v>9</v>
      </c>
      <c r="B13" s="156" t="s">
        <v>231</v>
      </c>
      <c r="C13" s="86" t="s">
        <v>222</v>
      </c>
      <c r="D13" s="153">
        <v>110</v>
      </c>
      <c r="E13" s="153">
        <v>20</v>
      </c>
      <c r="F13" s="153">
        <v>20</v>
      </c>
      <c r="G13" s="153">
        <v>0</v>
      </c>
      <c r="H13" s="87">
        <f t="shared" si="0"/>
        <v>150</v>
      </c>
      <c r="I13" s="88">
        <v>52.8</v>
      </c>
      <c r="J13" s="89">
        <f t="shared" si="2"/>
        <v>5808</v>
      </c>
      <c r="K13" s="89">
        <f t="shared" si="3"/>
        <v>1056</v>
      </c>
      <c r="L13" s="89">
        <f t="shared" si="4"/>
        <v>1056</v>
      </c>
      <c r="M13" s="89">
        <f t="shared" si="5"/>
        <v>0</v>
      </c>
      <c r="N13" s="161">
        <f t="shared" si="1"/>
        <v>7920</v>
      </c>
    </row>
    <row r="14" spans="1:14" ht="19.5" customHeight="1" x14ac:dyDescent="0.2">
      <c r="A14" s="155">
        <v>10</v>
      </c>
      <c r="B14" s="156" t="s">
        <v>232</v>
      </c>
      <c r="C14" s="86" t="s">
        <v>213</v>
      </c>
      <c r="D14" s="153">
        <v>60</v>
      </c>
      <c r="E14" s="153">
        <v>15</v>
      </c>
      <c r="F14" s="153">
        <v>15</v>
      </c>
      <c r="G14" s="153">
        <v>15</v>
      </c>
      <c r="H14" s="87">
        <f t="shared" si="0"/>
        <v>105</v>
      </c>
      <c r="I14" s="88">
        <v>2.33</v>
      </c>
      <c r="J14" s="89">
        <f t="shared" si="2"/>
        <v>139.80000000000001</v>
      </c>
      <c r="K14" s="89">
        <f t="shared" si="3"/>
        <v>34.950000000000003</v>
      </c>
      <c r="L14" s="89">
        <f t="shared" si="4"/>
        <v>34.950000000000003</v>
      </c>
      <c r="M14" s="89">
        <f t="shared" si="5"/>
        <v>34.950000000000003</v>
      </c>
      <c r="N14" s="161">
        <f t="shared" si="1"/>
        <v>244.64999999999998</v>
      </c>
    </row>
    <row r="15" spans="1:14" ht="19.5" customHeight="1" x14ac:dyDescent="0.2">
      <c r="A15" s="155">
        <v>11</v>
      </c>
      <c r="B15" s="156" t="s">
        <v>233</v>
      </c>
      <c r="C15" s="86" t="s">
        <v>213</v>
      </c>
      <c r="D15" s="153">
        <v>0</v>
      </c>
      <c r="E15" s="153">
        <v>0</v>
      </c>
      <c r="F15" s="153">
        <v>3</v>
      </c>
      <c r="G15" s="153">
        <v>0</v>
      </c>
      <c r="H15" s="87">
        <f t="shared" si="0"/>
        <v>3</v>
      </c>
      <c r="I15" s="88">
        <v>17</v>
      </c>
      <c r="J15" s="89">
        <f t="shared" si="2"/>
        <v>0</v>
      </c>
      <c r="K15" s="89">
        <f t="shared" si="3"/>
        <v>0</v>
      </c>
      <c r="L15" s="89">
        <f t="shared" si="4"/>
        <v>51</v>
      </c>
      <c r="M15" s="89">
        <f t="shared" si="5"/>
        <v>0</v>
      </c>
      <c r="N15" s="161">
        <f t="shared" si="1"/>
        <v>51</v>
      </c>
    </row>
    <row r="16" spans="1:14" ht="19.5" customHeight="1" x14ac:dyDescent="0.2">
      <c r="A16" s="155">
        <v>12</v>
      </c>
      <c r="B16" s="156" t="s">
        <v>313</v>
      </c>
      <c r="C16" s="86" t="s">
        <v>234</v>
      </c>
      <c r="D16" s="153">
        <f>3*20</f>
        <v>60</v>
      </c>
      <c r="E16" s="153">
        <v>20</v>
      </c>
      <c r="F16" s="153">
        <v>20</v>
      </c>
      <c r="G16" s="153">
        <v>20</v>
      </c>
      <c r="H16" s="87">
        <f t="shared" si="0"/>
        <v>120</v>
      </c>
      <c r="I16" s="88">
        <v>1.97</v>
      </c>
      <c r="J16" s="89">
        <f>ROUND(I16*D16,2)</f>
        <v>118.2</v>
      </c>
      <c r="K16" s="89">
        <f t="shared" si="3"/>
        <v>39.4</v>
      </c>
      <c r="L16" s="89">
        <f>ROUND(I16*F16,2)</f>
        <v>39.4</v>
      </c>
      <c r="M16" s="89">
        <f t="shared" si="5"/>
        <v>39.4</v>
      </c>
      <c r="N16" s="161">
        <f t="shared" si="1"/>
        <v>236.4</v>
      </c>
    </row>
    <row r="17" spans="1:15" ht="19.5" customHeight="1" x14ac:dyDescent="0.2">
      <c r="A17" s="155">
        <v>13</v>
      </c>
      <c r="B17" s="156" t="s">
        <v>235</v>
      </c>
      <c r="C17" s="86" t="s">
        <v>213</v>
      </c>
      <c r="D17" s="153">
        <v>300</v>
      </c>
      <c r="E17" s="153">
        <f>4*20</f>
        <v>80</v>
      </c>
      <c r="F17" s="153">
        <f>4*20</f>
        <v>80</v>
      </c>
      <c r="G17" s="153">
        <v>80</v>
      </c>
      <c r="H17" s="87">
        <f t="shared" si="0"/>
        <v>540</v>
      </c>
      <c r="I17" s="88">
        <v>0.6</v>
      </c>
      <c r="J17" s="89">
        <f t="shared" si="2"/>
        <v>180</v>
      </c>
      <c r="K17" s="89">
        <f t="shared" si="3"/>
        <v>48</v>
      </c>
      <c r="L17" s="89">
        <f t="shared" si="4"/>
        <v>48</v>
      </c>
      <c r="M17" s="89">
        <f t="shared" si="5"/>
        <v>48</v>
      </c>
      <c r="N17" s="161">
        <f t="shared" si="1"/>
        <v>324</v>
      </c>
    </row>
    <row r="18" spans="1:15" ht="19.5" customHeight="1" x14ac:dyDescent="0.2">
      <c r="A18" s="155">
        <v>14</v>
      </c>
      <c r="B18" s="156" t="s">
        <v>236</v>
      </c>
      <c r="C18" s="86" t="s">
        <v>213</v>
      </c>
      <c r="D18" s="153">
        <v>400</v>
      </c>
      <c r="E18" s="153">
        <v>70</v>
      </c>
      <c r="F18" s="153">
        <v>60</v>
      </c>
      <c r="G18" s="153">
        <v>60</v>
      </c>
      <c r="H18" s="87">
        <f t="shared" si="0"/>
        <v>590</v>
      </c>
      <c r="I18" s="88">
        <v>2.14</v>
      </c>
      <c r="J18" s="89">
        <f t="shared" si="2"/>
        <v>856</v>
      </c>
      <c r="K18" s="89">
        <f t="shared" si="3"/>
        <v>149.80000000000001</v>
      </c>
      <c r="L18" s="89">
        <f t="shared" si="4"/>
        <v>128.4</v>
      </c>
      <c r="M18" s="89">
        <f t="shared" si="5"/>
        <v>128.4</v>
      </c>
      <c r="N18" s="161">
        <f t="shared" si="1"/>
        <v>1262.6000000000001</v>
      </c>
    </row>
    <row r="19" spans="1:15" ht="19.5" customHeight="1" x14ac:dyDescent="0.2">
      <c r="A19" s="155">
        <v>15</v>
      </c>
      <c r="B19" s="157" t="s">
        <v>237</v>
      </c>
      <c r="C19" s="86" t="s">
        <v>225</v>
      </c>
      <c r="D19" s="153">
        <f>8*20</f>
        <v>160</v>
      </c>
      <c r="E19" s="153">
        <v>40</v>
      </c>
      <c r="F19" s="153">
        <v>40</v>
      </c>
      <c r="G19" s="153">
        <v>20</v>
      </c>
      <c r="H19" s="87">
        <f t="shared" si="0"/>
        <v>260</v>
      </c>
      <c r="I19" s="88">
        <v>3.3167</v>
      </c>
      <c r="J19" s="89">
        <f t="shared" si="2"/>
        <v>530.66999999999996</v>
      </c>
      <c r="K19" s="89">
        <f t="shared" si="3"/>
        <v>132.66999999999999</v>
      </c>
      <c r="L19" s="89">
        <f t="shared" si="4"/>
        <v>132.66999999999999</v>
      </c>
      <c r="M19" s="89">
        <f t="shared" si="5"/>
        <v>66.33</v>
      </c>
      <c r="N19" s="161">
        <f t="shared" si="1"/>
        <v>862.33999999999992</v>
      </c>
      <c r="O19" s="100"/>
    </row>
    <row r="20" spans="1:15" ht="19.5" customHeight="1" x14ac:dyDescent="0.2">
      <c r="A20" s="155">
        <v>16</v>
      </c>
      <c r="B20" s="156" t="s">
        <v>238</v>
      </c>
      <c r="C20" s="86" t="s">
        <v>225</v>
      </c>
      <c r="D20" s="153">
        <v>180</v>
      </c>
      <c r="E20" s="153">
        <v>50</v>
      </c>
      <c r="F20" s="153">
        <v>50</v>
      </c>
      <c r="G20" s="153">
        <v>70</v>
      </c>
      <c r="H20" s="87">
        <f t="shared" si="0"/>
        <v>350</v>
      </c>
      <c r="I20" s="88">
        <v>2.29</v>
      </c>
      <c r="J20" s="89">
        <f t="shared" si="2"/>
        <v>412.2</v>
      </c>
      <c r="K20" s="89">
        <f t="shared" si="3"/>
        <v>114.5</v>
      </c>
      <c r="L20" s="89">
        <f t="shared" si="4"/>
        <v>114.5</v>
      </c>
      <c r="M20" s="89">
        <f t="shared" si="5"/>
        <v>160.30000000000001</v>
      </c>
      <c r="N20" s="161">
        <f t="shared" si="1"/>
        <v>801.5</v>
      </c>
    </row>
    <row r="21" spans="1:15" ht="19.5" customHeight="1" x14ac:dyDescent="0.2">
      <c r="A21" s="155">
        <v>17</v>
      </c>
      <c r="B21" s="157" t="s">
        <v>239</v>
      </c>
      <c r="C21" s="86" t="s">
        <v>213</v>
      </c>
      <c r="D21" s="153">
        <v>50</v>
      </c>
      <c r="E21" s="153">
        <v>0</v>
      </c>
      <c r="F21" s="153">
        <v>0</v>
      </c>
      <c r="G21" s="153">
        <v>0</v>
      </c>
      <c r="H21" s="87">
        <f t="shared" si="0"/>
        <v>50</v>
      </c>
      <c r="I21" s="88">
        <v>3.3</v>
      </c>
      <c r="J21" s="89">
        <f t="shared" si="2"/>
        <v>165</v>
      </c>
      <c r="K21" s="89">
        <f t="shared" si="3"/>
        <v>0</v>
      </c>
      <c r="L21" s="89">
        <f t="shared" si="4"/>
        <v>0</v>
      </c>
      <c r="M21" s="89">
        <f t="shared" si="5"/>
        <v>0</v>
      </c>
      <c r="N21" s="161">
        <f t="shared" si="1"/>
        <v>165</v>
      </c>
    </row>
    <row r="22" spans="1:15" ht="19.5" customHeight="1" x14ac:dyDescent="0.2">
      <c r="A22" s="155">
        <v>18</v>
      </c>
      <c r="B22" s="157" t="s">
        <v>240</v>
      </c>
      <c r="C22" s="86" t="s">
        <v>213</v>
      </c>
      <c r="D22" s="153">
        <f>30*20</f>
        <v>600</v>
      </c>
      <c r="E22" s="153">
        <f>3*20</f>
        <v>60</v>
      </c>
      <c r="F22" s="153">
        <f>3*20</f>
        <v>60</v>
      </c>
      <c r="G22" s="153">
        <v>20</v>
      </c>
      <c r="H22" s="87">
        <f t="shared" si="0"/>
        <v>740</v>
      </c>
      <c r="I22" s="88">
        <v>3.3149999999999999</v>
      </c>
      <c r="J22" s="89">
        <f t="shared" si="2"/>
        <v>1989</v>
      </c>
      <c r="K22" s="89">
        <f t="shared" si="3"/>
        <v>198.9</v>
      </c>
      <c r="L22" s="89">
        <f t="shared" si="4"/>
        <v>198.9</v>
      </c>
      <c r="M22" s="89">
        <f t="shared" si="5"/>
        <v>66.3</v>
      </c>
      <c r="N22" s="161">
        <f t="shared" ref="N22:N47" si="6">SUM(J22:M22)</f>
        <v>2453.1000000000004</v>
      </c>
    </row>
    <row r="23" spans="1:15" ht="19.5" customHeight="1" x14ac:dyDescent="0.2">
      <c r="A23" s="155">
        <v>19</v>
      </c>
      <c r="B23" s="157" t="s">
        <v>241</v>
      </c>
      <c r="C23" s="86" t="s">
        <v>213</v>
      </c>
      <c r="D23" s="153">
        <v>3</v>
      </c>
      <c r="E23" s="153">
        <v>1</v>
      </c>
      <c r="F23" s="153">
        <v>1</v>
      </c>
      <c r="G23" s="153">
        <v>2</v>
      </c>
      <c r="H23" s="87">
        <f t="shared" si="0"/>
        <v>7</v>
      </c>
      <c r="I23" s="88">
        <v>159</v>
      </c>
      <c r="J23" s="89">
        <f t="shared" si="2"/>
        <v>477</v>
      </c>
      <c r="K23" s="89">
        <f t="shared" si="3"/>
        <v>159</v>
      </c>
      <c r="L23" s="89">
        <f t="shared" si="4"/>
        <v>159</v>
      </c>
      <c r="M23" s="89">
        <f t="shared" si="5"/>
        <v>318</v>
      </c>
      <c r="N23" s="161">
        <f t="shared" si="6"/>
        <v>1113</v>
      </c>
    </row>
    <row r="24" spans="1:15" ht="19.5" customHeight="1" x14ac:dyDescent="0.2">
      <c r="A24" s="155">
        <v>20</v>
      </c>
      <c r="B24" s="157" t="s">
        <v>242</v>
      </c>
      <c r="C24" s="86" t="s">
        <v>213</v>
      </c>
      <c r="D24" s="153">
        <v>12</v>
      </c>
      <c r="E24" s="153">
        <v>4</v>
      </c>
      <c r="F24" s="153">
        <v>4</v>
      </c>
      <c r="G24" s="153">
        <v>4</v>
      </c>
      <c r="H24" s="87">
        <f t="shared" si="0"/>
        <v>24</v>
      </c>
      <c r="I24" s="88">
        <v>5.88</v>
      </c>
      <c r="J24" s="89">
        <f t="shared" si="2"/>
        <v>70.56</v>
      </c>
      <c r="K24" s="89">
        <f t="shared" si="3"/>
        <v>23.52</v>
      </c>
      <c r="L24" s="89">
        <f t="shared" si="4"/>
        <v>23.52</v>
      </c>
      <c r="M24" s="89">
        <f t="shared" si="5"/>
        <v>23.52</v>
      </c>
      <c r="N24" s="161">
        <f t="shared" si="6"/>
        <v>141.12</v>
      </c>
    </row>
    <row r="25" spans="1:15" ht="19.5" customHeight="1" x14ac:dyDescent="0.2">
      <c r="A25" s="155">
        <v>21</v>
      </c>
      <c r="B25" s="157" t="s">
        <v>243</v>
      </c>
      <c r="C25" s="86" t="s">
        <v>213</v>
      </c>
      <c r="D25" s="153">
        <v>4</v>
      </c>
      <c r="E25" s="153">
        <v>1</v>
      </c>
      <c r="F25" s="153">
        <v>1</v>
      </c>
      <c r="G25" s="153">
        <v>0</v>
      </c>
      <c r="H25" s="87">
        <f t="shared" si="0"/>
        <v>6</v>
      </c>
      <c r="I25" s="88">
        <v>4.9649999999999999</v>
      </c>
      <c r="J25" s="89">
        <f t="shared" si="2"/>
        <v>19.86</v>
      </c>
      <c r="K25" s="89">
        <f t="shared" si="3"/>
        <v>4.97</v>
      </c>
      <c r="L25" s="89">
        <f t="shared" si="4"/>
        <v>4.97</v>
      </c>
      <c r="M25" s="89">
        <f t="shared" si="5"/>
        <v>0</v>
      </c>
      <c r="N25" s="161">
        <f t="shared" si="6"/>
        <v>29.799999999999997</v>
      </c>
    </row>
    <row r="26" spans="1:15" ht="19.5" customHeight="1" x14ac:dyDescent="0.2">
      <c r="A26" s="155">
        <v>22</v>
      </c>
      <c r="B26" s="157" t="s">
        <v>244</v>
      </c>
      <c r="C26" s="86" t="s">
        <v>213</v>
      </c>
      <c r="D26" s="153">
        <v>400</v>
      </c>
      <c r="E26" s="153">
        <v>40</v>
      </c>
      <c r="F26" s="153">
        <v>40</v>
      </c>
      <c r="G26" s="153">
        <v>40</v>
      </c>
      <c r="H26" s="87">
        <f t="shared" si="0"/>
        <v>520</v>
      </c>
      <c r="I26" s="88">
        <v>4.45</v>
      </c>
      <c r="J26" s="89">
        <f t="shared" si="2"/>
        <v>1780</v>
      </c>
      <c r="K26" s="89">
        <f t="shared" si="3"/>
        <v>178</v>
      </c>
      <c r="L26" s="89">
        <f t="shared" si="4"/>
        <v>178</v>
      </c>
      <c r="M26" s="89">
        <f t="shared" si="5"/>
        <v>178</v>
      </c>
      <c r="N26" s="161">
        <f t="shared" si="6"/>
        <v>2314</v>
      </c>
    </row>
    <row r="27" spans="1:15" ht="19.5" customHeight="1" x14ac:dyDescent="0.2">
      <c r="A27" s="155">
        <v>23</v>
      </c>
      <c r="B27" s="157" t="s">
        <v>245</v>
      </c>
      <c r="C27" s="86" t="s">
        <v>213</v>
      </c>
      <c r="D27" s="153">
        <v>40</v>
      </c>
      <c r="E27" s="153">
        <v>15</v>
      </c>
      <c r="F27" s="153">
        <v>15</v>
      </c>
      <c r="G27" s="153">
        <v>15</v>
      </c>
      <c r="H27" s="87">
        <f t="shared" si="0"/>
        <v>85</v>
      </c>
      <c r="I27" s="88">
        <v>3.2349999999999999</v>
      </c>
      <c r="J27" s="89">
        <f t="shared" si="2"/>
        <v>129.4</v>
      </c>
      <c r="K27" s="89">
        <f t="shared" si="3"/>
        <v>48.53</v>
      </c>
      <c r="L27" s="89">
        <f t="shared" si="4"/>
        <v>48.53</v>
      </c>
      <c r="M27" s="89">
        <f t="shared" si="5"/>
        <v>48.53</v>
      </c>
      <c r="N27" s="161">
        <f t="shared" si="6"/>
        <v>274.99</v>
      </c>
    </row>
    <row r="28" spans="1:15" ht="41.25" customHeight="1" x14ac:dyDescent="0.2">
      <c r="A28" s="155">
        <v>24</v>
      </c>
      <c r="B28" s="156" t="s">
        <v>314</v>
      </c>
      <c r="C28" s="86" t="s">
        <v>246</v>
      </c>
      <c r="D28" s="153">
        <v>0</v>
      </c>
      <c r="E28" s="153">
        <v>40</v>
      </c>
      <c r="F28" s="153">
        <v>40</v>
      </c>
      <c r="G28" s="153">
        <v>10</v>
      </c>
      <c r="H28" s="87">
        <f t="shared" si="0"/>
        <v>90</v>
      </c>
      <c r="I28" s="88">
        <v>69.099999999999994</v>
      </c>
      <c r="J28" s="89">
        <f t="shared" si="2"/>
        <v>0</v>
      </c>
      <c r="K28" s="89">
        <f t="shared" si="3"/>
        <v>2764</v>
      </c>
      <c r="L28" s="89">
        <f t="shared" si="4"/>
        <v>2764</v>
      </c>
      <c r="M28" s="89">
        <f t="shared" si="5"/>
        <v>691</v>
      </c>
      <c r="N28" s="161">
        <f t="shared" si="6"/>
        <v>6219</v>
      </c>
    </row>
    <row r="29" spans="1:15" ht="30" customHeight="1" x14ac:dyDescent="0.2">
      <c r="A29" s="155">
        <v>25</v>
      </c>
      <c r="B29" s="156" t="s">
        <v>247</v>
      </c>
      <c r="C29" s="90" t="s">
        <v>248</v>
      </c>
      <c r="D29" s="153">
        <f>20*20</f>
        <v>400</v>
      </c>
      <c r="E29" s="153">
        <v>60</v>
      </c>
      <c r="F29" s="153">
        <v>60</v>
      </c>
      <c r="G29" s="153">
        <v>70</v>
      </c>
      <c r="H29" s="87">
        <f t="shared" si="0"/>
        <v>590</v>
      </c>
      <c r="I29" s="88">
        <v>10.99</v>
      </c>
      <c r="J29" s="89">
        <f t="shared" si="2"/>
        <v>4396</v>
      </c>
      <c r="K29" s="89">
        <f t="shared" si="3"/>
        <v>659.4</v>
      </c>
      <c r="L29" s="89">
        <f t="shared" si="4"/>
        <v>659.4</v>
      </c>
      <c r="M29" s="89">
        <f t="shared" si="5"/>
        <v>769.3</v>
      </c>
      <c r="N29" s="161">
        <f t="shared" si="6"/>
        <v>6484.0999999999995</v>
      </c>
    </row>
    <row r="30" spans="1:15" ht="19.5" customHeight="1" x14ac:dyDescent="0.2">
      <c r="A30" s="155">
        <v>26</v>
      </c>
      <c r="B30" s="156" t="s">
        <v>249</v>
      </c>
      <c r="C30" s="86" t="s">
        <v>213</v>
      </c>
      <c r="D30" s="153">
        <v>16</v>
      </c>
      <c r="E30" s="153">
        <v>3</v>
      </c>
      <c r="F30" s="153">
        <v>3</v>
      </c>
      <c r="G30" s="153">
        <v>8</v>
      </c>
      <c r="H30" s="87">
        <f t="shared" si="0"/>
        <v>30</v>
      </c>
      <c r="I30" s="88">
        <v>6.9</v>
      </c>
      <c r="J30" s="89">
        <f t="shared" si="2"/>
        <v>110.4</v>
      </c>
      <c r="K30" s="89">
        <f t="shared" si="3"/>
        <v>20.7</v>
      </c>
      <c r="L30" s="89">
        <f t="shared" si="4"/>
        <v>20.7</v>
      </c>
      <c r="M30" s="89">
        <f t="shared" si="5"/>
        <v>55.2</v>
      </c>
      <c r="N30" s="161">
        <f t="shared" si="6"/>
        <v>207</v>
      </c>
    </row>
    <row r="31" spans="1:15" ht="19.5" customHeight="1" x14ac:dyDescent="0.2">
      <c r="A31" s="155">
        <v>27</v>
      </c>
      <c r="B31" s="157" t="s">
        <v>315</v>
      </c>
      <c r="C31" s="86" t="s">
        <v>213</v>
      </c>
      <c r="D31" s="153">
        <v>16</v>
      </c>
      <c r="E31" s="153">
        <v>6</v>
      </c>
      <c r="F31" s="153">
        <v>6</v>
      </c>
      <c r="G31" s="153">
        <v>6</v>
      </c>
      <c r="H31" s="87">
        <f t="shared" si="0"/>
        <v>34</v>
      </c>
      <c r="I31" s="88">
        <v>8.8379999999999992</v>
      </c>
      <c r="J31" s="89">
        <f t="shared" si="2"/>
        <v>141.41</v>
      </c>
      <c r="K31" s="89">
        <f t="shared" si="3"/>
        <v>53.03</v>
      </c>
      <c r="L31" s="89">
        <f t="shared" si="4"/>
        <v>53.03</v>
      </c>
      <c r="M31" s="89">
        <f t="shared" si="5"/>
        <v>53.03</v>
      </c>
      <c r="N31" s="161">
        <f t="shared" si="6"/>
        <v>300.5</v>
      </c>
    </row>
    <row r="32" spans="1:15" ht="19.5" customHeight="1" x14ac:dyDescent="0.2">
      <c r="A32" s="155">
        <v>28</v>
      </c>
      <c r="B32" s="157" t="s">
        <v>316</v>
      </c>
      <c r="C32" s="86" t="s">
        <v>213</v>
      </c>
      <c r="D32" s="153">
        <v>4</v>
      </c>
      <c r="E32" s="153">
        <v>2</v>
      </c>
      <c r="F32" s="153">
        <v>2</v>
      </c>
      <c r="G32" s="153">
        <v>2</v>
      </c>
      <c r="H32" s="87">
        <f t="shared" si="0"/>
        <v>10</v>
      </c>
      <c r="I32" s="88">
        <v>6.75</v>
      </c>
      <c r="J32" s="89">
        <f t="shared" si="2"/>
        <v>27</v>
      </c>
      <c r="K32" s="89">
        <f t="shared" si="3"/>
        <v>13.5</v>
      </c>
      <c r="L32" s="89">
        <f t="shared" si="4"/>
        <v>13.5</v>
      </c>
      <c r="M32" s="89">
        <f t="shared" si="5"/>
        <v>13.5</v>
      </c>
      <c r="N32" s="161">
        <f t="shared" si="6"/>
        <v>67.5</v>
      </c>
    </row>
    <row r="33" spans="1:14" ht="19.5" customHeight="1" x14ac:dyDescent="0.2">
      <c r="A33" s="155">
        <v>29</v>
      </c>
      <c r="B33" s="157" t="s">
        <v>250</v>
      </c>
      <c r="C33" s="86" t="s">
        <v>213</v>
      </c>
      <c r="D33" s="153">
        <v>160</v>
      </c>
      <c r="E33" s="153">
        <v>60</v>
      </c>
      <c r="F33" s="153">
        <v>60</v>
      </c>
      <c r="G33" s="153">
        <v>60</v>
      </c>
      <c r="H33" s="87">
        <f t="shared" si="0"/>
        <v>340</v>
      </c>
      <c r="I33" s="88">
        <v>2.52</v>
      </c>
      <c r="J33" s="89">
        <f t="shared" si="2"/>
        <v>403.2</v>
      </c>
      <c r="K33" s="89">
        <f t="shared" si="3"/>
        <v>151.19999999999999</v>
      </c>
      <c r="L33" s="89">
        <f t="shared" si="4"/>
        <v>151.19999999999999</v>
      </c>
      <c r="M33" s="89">
        <f t="shared" si="5"/>
        <v>151.19999999999999</v>
      </c>
      <c r="N33" s="161">
        <f t="shared" si="6"/>
        <v>856.8</v>
      </c>
    </row>
    <row r="34" spans="1:14" ht="19.5" customHeight="1" x14ac:dyDescent="0.2">
      <c r="A34" s="155">
        <v>30</v>
      </c>
      <c r="B34" s="156" t="s">
        <v>251</v>
      </c>
      <c r="C34" s="86" t="s">
        <v>213</v>
      </c>
      <c r="D34" s="153">
        <v>80</v>
      </c>
      <c r="E34" s="153">
        <v>20</v>
      </c>
      <c r="F34" s="153">
        <v>20</v>
      </c>
      <c r="G34" s="153">
        <v>20</v>
      </c>
      <c r="H34" s="87">
        <f t="shared" si="0"/>
        <v>140</v>
      </c>
      <c r="I34" s="88">
        <v>5.125</v>
      </c>
      <c r="J34" s="89">
        <f t="shared" si="2"/>
        <v>410</v>
      </c>
      <c r="K34" s="89">
        <f t="shared" si="3"/>
        <v>102.5</v>
      </c>
      <c r="L34" s="89">
        <f t="shared" si="4"/>
        <v>102.5</v>
      </c>
      <c r="M34" s="89">
        <f t="shared" si="5"/>
        <v>102.5</v>
      </c>
      <c r="N34" s="161">
        <f t="shared" si="6"/>
        <v>717.5</v>
      </c>
    </row>
    <row r="35" spans="1:14" ht="19.5" customHeight="1" x14ac:dyDescent="0.2">
      <c r="A35" s="155">
        <v>31</v>
      </c>
      <c r="B35" s="156" t="s">
        <v>252</v>
      </c>
      <c r="C35" s="86" t="s">
        <v>222</v>
      </c>
      <c r="D35" s="153">
        <v>80</v>
      </c>
      <c r="E35" s="153">
        <v>12</v>
      </c>
      <c r="F35" s="153">
        <v>12</v>
      </c>
      <c r="G35" s="153">
        <v>3</v>
      </c>
      <c r="H35" s="87">
        <f t="shared" si="0"/>
        <v>107</v>
      </c>
      <c r="I35" s="88">
        <v>21.31</v>
      </c>
      <c r="J35" s="89">
        <f t="shared" si="2"/>
        <v>1704.8</v>
      </c>
      <c r="K35" s="89">
        <f t="shared" si="3"/>
        <v>255.72</v>
      </c>
      <c r="L35" s="89">
        <f t="shared" si="4"/>
        <v>255.72</v>
      </c>
      <c r="M35" s="89">
        <f t="shared" si="5"/>
        <v>63.93</v>
      </c>
      <c r="N35" s="161">
        <f t="shared" si="6"/>
        <v>2280.1699999999996</v>
      </c>
    </row>
    <row r="36" spans="1:14" ht="19.5" customHeight="1" x14ac:dyDescent="0.2">
      <c r="A36" s="155">
        <v>32</v>
      </c>
      <c r="B36" s="156" t="s">
        <v>253</v>
      </c>
      <c r="C36" s="86" t="s">
        <v>234</v>
      </c>
      <c r="D36" s="153">
        <v>100</v>
      </c>
      <c r="E36" s="153">
        <v>40</v>
      </c>
      <c r="F36" s="153">
        <v>40</v>
      </c>
      <c r="G36" s="153">
        <v>0</v>
      </c>
      <c r="H36" s="87">
        <f t="shared" si="0"/>
        <v>180</v>
      </c>
      <c r="I36" s="88">
        <v>15.5</v>
      </c>
      <c r="J36" s="89">
        <f t="shared" si="2"/>
        <v>1550</v>
      </c>
      <c r="K36" s="89">
        <f t="shared" si="3"/>
        <v>620</v>
      </c>
      <c r="L36" s="89">
        <f t="shared" si="4"/>
        <v>620</v>
      </c>
      <c r="M36" s="89">
        <f t="shared" si="5"/>
        <v>0</v>
      </c>
      <c r="N36" s="161">
        <f t="shared" si="6"/>
        <v>2790</v>
      </c>
    </row>
    <row r="37" spans="1:14" ht="19.5" customHeight="1" x14ac:dyDescent="0.2">
      <c r="A37" s="155">
        <v>33</v>
      </c>
      <c r="B37" s="156" t="s">
        <v>254</v>
      </c>
      <c r="C37" s="86" t="s">
        <v>234</v>
      </c>
      <c r="D37" s="153">
        <v>120</v>
      </c>
      <c r="E37" s="153">
        <v>40</v>
      </c>
      <c r="F37" s="153">
        <v>40</v>
      </c>
      <c r="G37" s="153">
        <v>32</v>
      </c>
      <c r="H37" s="87">
        <f t="shared" si="0"/>
        <v>232</v>
      </c>
      <c r="I37" s="88">
        <v>13</v>
      </c>
      <c r="J37" s="89">
        <f t="shared" si="2"/>
        <v>1560</v>
      </c>
      <c r="K37" s="89">
        <f t="shared" si="3"/>
        <v>520</v>
      </c>
      <c r="L37" s="89">
        <f t="shared" si="4"/>
        <v>520</v>
      </c>
      <c r="M37" s="89">
        <f t="shared" si="5"/>
        <v>416</v>
      </c>
      <c r="N37" s="161">
        <f t="shared" si="6"/>
        <v>3016</v>
      </c>
    </row>
    <row r="38" spans="1:14" ht="19.5" customHeight="1" x14ac:dyDescent="0.2">
      <c r="A38" s="155">
        <v>34</v>
      </c>
      <c r="B38" s="156" t="s">
        <v>255</v>
      </c>
      <c r="C38" s="86" t="s">
        <v>234</v>
      </c>
      <c r="D38" s="153">
        <v>160</v>
      </c>
      <c r="E38" s="153">
        <v>40</v>
      </c>
      <c r="F38" s="153">
        <v>40</v>
      </c>
      <c r="G38" s="153">
        <v>10</v>
      </c>
      <c r="H38" s="87">
        <f t="shared" si="0"/>
        <v>250</v>
      </c>
      <c r="I38" s="88">
        <v>27.64</v>
      </c>
      <c r="J38" s="89">
        <f t="shared" si="2"/>
        <v>4422.3999999999996</v>
      </c>
      <c r="K38" s="89">
        <f t="shared" si="3"/>
        <v>1105.5999999999999</v>
      </c>
      <c r="L38" s="89">
        <f t="shared" si="4"/>
        <v>1105.5999999999999</v>
      </c>
      <c r="M38" s="89">
        <f t="shared" si="5"/>
        <v>276.39999999999998</v>
      </c>
      <c r="N38" s="161">
        <f t="shared" si="6"/>
        <v>6910</v>
      </c>
    </row>
    <row r="39" spans="1:14" ht="19.5" customHeight="1" x14ac:dyDescent="0.2">
      <c r="A39" s="155">
        <v>35</v>
      </c>
      <c r="B39" s="156" t="s">
        <v>256</v>
      </c>
      <c r="C39" s="86" t="s">
        <v>257</v>
      </c>
      <c r="D39" s="153">
        <v>400</v>
      </c>
      <c r="E39" s="153">
        <v>100</v>
      </c>
      <c r="F39" s="153">
        <v>100</v>
      </c>
      <c r="G39" s="153">
        <v>5</v>
      </c>
      <c r="H39" s="87">
        <f t="shared" si="0"/>
        <v>605</v>
      </c>
      <c r="I39" s="88">
        <v>3.7250000000000001</v>
      </c>
      <c r="J39" s="89">
        <f t="shared" si="2"/>
        <v>1490</v>
      </c>
      <c r="K39" s="89">
        <f t="shared" si="3"/>
        <v>372.5</v>
      </c>
      <c r="L39" s="89">
        <f t="shared" si="4"/>
        <v>372.5</v>
      </c>
      <c r="M39" s="89">
        <f t="shared" si="5"/>
        <v>18.63</v>
      </c>
      <c r="N39" s="161">
        <f t="shared" si="6"/>
        <v>2253.63</v>
      </c>
    </row>
    <row r="40" spans="1:14" ht="19.5" customHeight="1" x14ac:dyDescent="0.2">
      <c r="A40" s="155">
        <v>36</v>
      </c>
      <c r="B40" s="156" t="s">
        <v>258</v>
      </c>
      <c r="C40" s="86" t="s">
        <v>213</v>
      </c>
      <c r="D40" s="153">
        <v>40</v>
      </c>
      <c r="E40" s="153">
        <v>5</v>
      </c>
      <c r="F40" s="153">
        <v>7</v>
      </c>
      <c r="G40" s="153">
        <v>5</v>
      </c>
      <c r="H40" s="87">
        <f t="shared" si="0"/>
        <v>57</v>
      </c>
      <c r="I40" s="88">
        <v>13.15</v>
      </c>
      <c r="J40" s="89">
        <f t="shared" si="2"/>
        <v>526</v>
      </c>
      <c r="K40" s="89">
        <f t="shared" si="3"/>
        <v>65.75</v>
      </c>
      <c r="L40" s="89">
        <f t="shared" si="4"/>
        <v>92.05</v>
      </c>
      <c r="M40" s="89">
        <f t="shared" si="5"/>
        <v>65.75</v>
      </c>
      <c r="N40" s="161">
        <f t="shared" si="6"/>
        <v>749.55</v>
      </c>
    </row>
    <row r="41" spans="1:14" ht="19.5" customHeight="1" x14ac:dyDescent="0.2">
      <c r="A41" s="155">
        <v>37</v>
      </c>
      <c r="B41" s="156" t="s">
        <v>259</v>
      </c>
      <c r="C41" s="86" t="s">
        <v>213</v>
      </c>
      <c r="D41" s="153">
        <v>20</v>
      </c>
      <c r="E41" s="153">
        <v>3</v>
      </c>
      <c r="F41" s="153">
        <v>3</v>
      </c>
      <c r="G41" s="153">
        <v>6</v>
      </c>
      <c r="H41" s="87">
        <f t="shared" si="0"/>
        <v>32</v>
      </c>
      <c r="I41" s="88">
        <v>23.55</v>
      </c>
      <c r="J41" s="89">
        <f t="shared" si="2"/>
        <v>471</v>
      </c>
      <c r="K41" s="89">
        <f t="shared" si="3"/>
        <v>70.650000000000006</v>
      </c>
      <c r="L41" s="89">
        <f t="shared" si="4"/>
        <v>70.650000000000006</v>
      </c>
      <c r="M41" s="89">
        <f t="shared" si="5"/>
        <v>141.30000000000001</v>
      </c>
      <c r="N41" s="161">
        <f t="shared" si="6"/>
        <v>753.59999999999991</v>
      </c>
    </row>
    <row r="42" spans="1:14" ht="19.5" customHeight="1" x14ac:dyDescent="0.2">
      <c r="A42" s="155">
        <v>38</v>
      </c>
      <c r="B42" s="156" t="s">
        <v>260</v>
      </c>
      <c r="C42" s="86" t="s">
        <v>213</v>
      </c>
      <c r="D42" s="153">
        <v>15</v>
      </c>
      <c r="E42" s="153">
        <v>8</v>
      </c>
      <c r="F42" s="153">
        <v>8</v>
      </c>
      <c r="G42" s="153">
        <v>12</v>
      </c>
      <c r="H42" s="87">
        <f t="shared" si="0"/>
        <v>43</v>
      </c>
      <c r="I42" s="88">
        <v>4.75</v>
      </c>
      <c r="J42" s="89">
        <f t="shared" si="2"/>
        <v>71.25</v>
      </c>
      <c r="K42" s="89">
        <f t="shared" si="3"/>
        <v>38</v>
      </c>
      <c r="L42" s="89">
        <f t="shared" si="4"/>
        <v>38</v>
      </c>
      <c r="M42" s="89">
        <f t="shared" si="5"/>
        <v>57</v>
      </c>
      <c r="N42" s="161">
        <f t="shared" si="6"/>
        <v>204.25</v>
      </c>
    </row>
    <row r="43" spans="1:14" ht="19.5" customHeight="1" x14ac:dyDescent="0.2">
      <c r="A43" s="155">
        <v>39</v>
      </c>
      <c r="B43" s="156" t="s">
        <v>261</v>
      </c>
      <c r="C43" s="86" t="s">
        <v>213</v>
      </c>
      <c r="D43" s="153">
        <v>2</v>
      </c>
      <c r="E43" s="153">
        <v>1</v>
      </c>
      <c r="F43" s="153">
        <v>1</v>
      </c>
      <c r="G43" s="153">
        <v>1</v>
      </c>
      <c r="H43" s="87">
        <f t="shared" si="0"/>
        <v>5</v>
      </c>
      <c r="I43" s="88">
        <v>4.0549999999999997</v>
      </c>
      <c r="J43" s="89">
        <f t="shared" si="2"/>
        <v>8.11</v>
      </c>
      <c r="K43" s="89">
        <f t="shared" si="3"/>
        <v>4.0599999999999996</v>
      </c>
      <c r="L43" s="89">
        <f t="shared" si="4"/>
        <v>4.0599999999999996</v>
      </c>
      <c r="M43" s="89">
        <f t="shared" si="5"/>
        <v>4.0599999999999996</v>
      </c>
      <c r="N43" s="161">
        <f t="shared" si="6"/>
        <v>20.289999999999996</v>
      </c>
    </row>
    <row r="44" spans="1:14" ht="19.5" customHeight="1" x14ac:dyDescent="0.2">
      <c r="A44" s="155">
        <v>40</v>
      </c>
      <c r="B44" s="156" t="s">
        <v>262</v>
      </c>
      <c r="C44" s="86" t="s">
        <v>213</v>
      </c>
      <c r="D44" s="153">
        <v>2</v>
      </c>
      <c r="E44" s="153">
        <v>1</v>
      </c>
      <c r="F44" s="153">
        <v>1</v>
      </c>
      <c r="G44" s="153">
        <v>1</v>
      </c>
      <c r="H44" s="87">
        <f t="shared" si="0"/>
        <v>5</v>
      </c>
      <c r="I44" s="88">
        <v>5.835</v>
      </c>
      <c r="J44" s="89">
        <f t="shared" si="2"/>
        <v>11.67</v>
      </c>
      <c r="K44" s="89">
        <f t="shared" si="3"/>
        <v>5.84</v>
      </c>
      <c r="L44" s="89">
        <f t="shared" si="4"/>
        <v>5.84</v>
      </c>
      <c r="M44" s="89">
        <f t="shared" si="5"/>
        <v>5.84</v>
      </c>
      <c r="N44" s="161">
        <f t="shared" si="6"/>
        <v>29.189999999999998</v>
      </c>
    </row>
    <row r="45" spans="1:14" ht="19.5" customHeight="1" x14ac:dyDescent="0.2">
      <c r="A45" s="155">
        <v>41</v>
      </c>
      <c r="B45" s="156" t="s">
        <v>263</v>
      </c>
      <c r="C45" s="86" t="s">
        <v>213</v>
      </c>
      <c r="D45" s="153">
        <f>4*20</f>
        <v>80</v>
      </c>
      <c r="E45" s="153">
        <f>1*20</f>
        <v>20</v>
      </c>
      <c r="F45" s="153">
        <f>1*20</f>
        <v>20</v>
      </c>
      <c r="G45" s="153">
        <v>5</v>
      </c>
      <c r="H45" s="87">
        <f t="shared" ref="H45:H47" si="7">SUM(D45:G45)</f>
        <v>125</v>
      </c>
      <c r="I45" s="88">
        <v>3.4950000000000001</v>
      </c>
      <c r="J45" s="89">
        <f t="shared" si="2"/>
        <v>279.60000000000002</v>
      </c>
      <c r="K45" s="89">
        <f t="shared" si="3"/>
        <v>69.900000000000006</v>
      </c>
      <c r="L45" s="89">
        <f t="shared" si="4"/>
        <v>69.900000000000006</v>
      </c>
      <c r="M45" s="89">
        <f t="shared" si="5"/>
        <v>17.48</v>
      </c>
      <c r="N45" s="161">
        <f t="shared" si="6"/>
        <v>436.88</v>
      </c>
    </row>
    <row r="46" spans="1:14" ht="19.5" customHeight="1" x14ac:dyDescent="0.2">
      <c r="A46" s="155">
        <v>42</v>
      </c>
      <c r="B46" s="158" t="s">
        <v>264</v>
      </c>
      <c r="C46" s="91" t="s">
        <v>213</v>
      </c>
      <c r="D46" s="153">
        <v>106</v>
      </c>
      <c r="E46" s="153">
        <v>20</v>
      </c>
      <c r="F46" s="153">
        <v>12</v>
      </c>
      <c r="G46" s="153">
        <v>12</v>
      </c>
      <c r="H46" s="87">
        <f t="shared" si="7"/>
        <v>150</v>
      </c>
      <c r="I46" s="88">
        <v>15.95</v>
      </c>
      <c r="J46" s="89">
        <f t="shared" si="2"/>
        <v>1690.7</v>
      </c>
      <c r="K46" s="89">
        <f t="shared" si="3"/>
        <v>319</v>
      </c>
      <c r="L46" s="89">
        <f t="shared" si="4"/>
        <v>191.4</v>
      </c>
      <c r="M46" s="89">
        <f t="shared" si="5"/>
        <v>191.4</v>
      </c>
      <c r="N46" s="161">
        <f t="shared" si="6"/>
        <v>2392.5</v>
      </c>
    </row>
    <row r="47" spans="1:14" ht="48" customHeight="1" x14ac:dyDescent="0.2">
      <c r="A47" s="155">
        <v>43</v>
      </c>
      <c r="B47" s="159" t="s">
        <v>323</v>
      </c>
      <c r="C47" s="154" t="s">
        <v>246</v>
      </c>
      <c r="D47" s="153">
        <v>550</v>
      </c>
      <c r="E47" s="153">
        <v>0</v>
      </c>
      <c r="F47" s="153">
        <v>0</v>
      </c>
      <c r="G47" s="153">
        <v>0</v>
      </c>
      <c r="H47" s="87">
        <f t="shared" si="7"/>
        <v>550</v>
      </c>
      <c r="I47" s="88">
        <v>38.465000000000003</v>
      </c>
      <c r="J47" s="150">
        <f t="shared" si="2"/>
        <v>21155.75</v>
      </c>
      <c r="K47" s="150">
        <f t="shared" si="3"/>
        <v>0</v>
      </c>
      <c r="L47" s="150">
        <f t="shared" si="4"/>
        <v>0</v>
      </c>
      <c r="M47" s="150">
        <f t="shared" si="5"/>
        <v>0</v>
      </c>
      <c r="N47" s="161">
        <f t="shared" si="6"/>
        <v>21155.75</v>
      </c>
    </row>
    <row r="48" spans="1:14" ht="19.5" customHeight="1" x14ac:dyDescent="0.2">
      <c r="A48" s="347" t="s">
        <v>265</v>
      </c>
      <c r="B48" s="348"/>
      <c r="C48" s="348"/>
      <c r="D48" s="348"/>
      <c r="E48" s="348"/>
      <c r="F48" s="348"/>
      <c r="G48" s="348"/>
      <c r="H48" s="348"/>
      <c r="I48" s="348"/>
      <c r="J48" s="160">
        <f>SUM(J5:J47)</f>
        <v>61485.26</v>
      </c>
      <c r="K48" s="160">
        <f t="shared" ref="K48:M48" si="8">SUM(K5:K47)</f>
        <v>11892.399999999998</v>
      </c>
      <c r="L48" s="160">
        <f t="shared" si="8"/>
        <v>11711.699999999997</v>
      </c>
      <c r="M48" s="160">
        <f t="shared" si="8"/>
        <v>6795.1900000000005</v>
      </c>
      <c r="N48" s="161">
        <f>SUM(J48:M48)</f>
        <v>91884.55</v>
      </c>
    </row>
    <row r="49" spans="1:20" ht="19.5" customHeight="1" x14ac:dyDescent="0.2">
      <c r="A49" s="357" t="s">
        <v>266</v>
      </c>
      <c r="B49" s="358"/>
      <c r="C49" s="358"/>
      <c r="D49" s="358"/>
      <c r="E49" s="358"/>
      <c r="F49" s="358"/>
      <c r="G49" s="358"/>
      <c r="H49" s="358"/>
      <c r="I49" s="358"/>
      <c r="J49" s="92">
        <f>ROUND(J48/20,0)</f>
        <v>3074</v>
      </c>
      <c r="K49" s="92">
        <f t="shared" ref="K49:M49" si="9">ROUND(K48/20,0)</f>
        <v>595</v>
      </c>
      <c r="L49" s="92">
        <f t="shared" si="9"/>
        <v>586</v>
      </c>
      <c r="M49" s="92">
        <f t="shared" si="9"/>
        <v>340</v>
      </c>
    </row>
    <row r="50" spans="1:20" ht="19.5" customHeight="1" x14ac:dyDescent="0.2">
      <c r="A50" s="357" t="s">
        <v>267</v>
      </c>
      <c r="B50" s="358"/>
      <c r="C50" s="358"/>
      <c r="D50" s="358"/>
      <c r="E50" s="358"/>
      <c r="F50" s="358"/>
      <c r="G50" s="358"/>
      <c r="H50" s="358"/>
      <c r="I50" s="358"/>
      <c r="J50" s="93">
        <v>8</v>
      </c>
      <c r="K50" s="93">
        <v>1</v>
      </c>
      <c r="L50" s="93">
        <v>1</v>
      </c>
      <c r="M50" s="93">
        <v>1</v>
      </c>
    </row>
    <row r="51" spans="1:20" ht="19.5" customHeight="1" x14ac:dyDescent="0.2">
      <c r="A51" s="347" t="s">
        <v>268</v>
      </c>
      <c r="B51" s="348"/>
      <c r="C51" s="348"/>
      <c r="D51" s="348"/>
      <c r="E51" s="348"/>
      <c r="F51" s="348"/>
      <c r="G51" s="348"/>
      <c r="H51" s="348"/>
      <c r="I51" s="348"/>
      <c r="J51" s="160">
        <f t="shared" ref="J51:M51" si="10">ROUND(J49/J50,0)</f>
        <v>384</v>
      </c>
      <c r="K51" s="160">
        <f t="shared" si="10"/>
        <v>595</v>
      </c>
      <c r="L51" s="160">
        <f t="shared" si="10"/>
        <v>586</v>
      </c>
      <c r="M51" s="160">
        <f t="shared" si="10"/>
        <v>340</v>
      </c>
    </row>
    <row r="52" spans="1:20" ht="19.5" customHeight="1" x14ac:dyDescent="0.2">
      <c r="A52" s="357" t="s">
        <v>213</v>
      </c>
      <c r="B52" s="358"/>
      <c r="C52" s="358"/>
      <c r="D52" s="358"/>
      <c r="E52" s="358"/>
      <c r="F52" s="358"/>
      <c r="G52" s="358"/>
      <c r="H52" s="358"/>
      <c r="I52" s="359"/>
      <c r="J52" s="165" t="s">
        <v>216</v>
      </c>
      <c r="K52" s="165" t="s">
        <v>217</v>
      </c>
      <c r="L52" s="165" t="s">
        <v>218</v>
      </c>
      <c r="M52" s="165" t="s">
        <v>219</v>
      </c>
    </row>
    <row r="53" spans="1:20" ht="19.5" customHeight="1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5"/>
      <c r="O53" s="95"/>
      <c r="P53" s="95"/>
      <c r="Q53" s="95"/>
      <c r="R53" s="95"/>
      <c r="S53" s="95"/>
      <c r="T53" s="96"/>
    </row>
    <row r="54" spans="1:20" ht="19.5" customHeight="1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5"/>
      <c r="N54" s="95"/>
      <c r="O54" s="95"/>
      <c r="P54" s="95"/>
      <c r="Q54" s="95"/>
      <c r="R54" s="95"/>
      <c r="S54" s="96"/>
    </row>
    <row r="55" spans="1:20" ht="19.5" customHeight="1" x14ac:dyDescent="0.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5"/>
      <c r="N55" s="95"/>
    </row>
    <row r="56" spans="1:20" ht="19.5" customHeight="1" x14ac:dyDescent="0.2">
      <c r="A56" s="360" t="s">
        <v>269</v>
      </c>
      <c r="B56" s="361"/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2"/>
    </row>
    <row r="57" spans="1:20" ht="9.75" customHeight="1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5"/>
      <c r="N57" s="85"/>
    </row>
    <row r="58" spans="1:20" ht="31.5" customHeight="1" x14ac:dyDescent="0.2">
      <c r="D58" s="352" t="s">
        <v>272</v>
      </c>
      <c r="E58" s="353"/>
      <c r="F58" s="353"/>
      <c r="G58" s="353"/>
      <c r="H58" s="353"/>
      <c r="I58" s="354"/>
      <c r="J58" s="355" t="s">
        <v>273</v>
      </c>
      <c r="K58" s="356"/>
      <c r="L58" s="356"/>
      <c r="M58" s="356"/>
      <c r="N58" s="356"/>
    </row>
    <row r="59" spans="1:20" ht="30.75" customHeight="1" x14ac:dyDescent="0.2">
      <c r="A59" s="182" t="s">
        <v>211</v>
      </c>
      <c r="B59" s="182" t="s">
        <v>270</v>
      </c>
      <c r="C59" s="183" t="s">
        <v>271</v>
      </c>
      <c r="D59" s="162" t="s">
        <v>216</v>
      </c>
      <c r="E59" s="162" t="s">
        <v>217</v>
      </c>
      <c r="F59" s="162" t="s">
        <v>218</v>
      </c>
      <c r="G59" s="162" t="s">
        <v>219</v>
      </c>
      <c r="H59" s="166" t="s">
        <v>326</v>
      </c>
      <c r="I59" s="168" t="s">
        <v>274</v>
      </c>
      <c r="J59" s="162" t="s">
        <v>216</v>
      </c>
      <c r="K59" s="162" t="s">
        <v>217</v>
      </c>
      <c r="L59" s="162" t="s">
        <v>218</v>
      </c>
      <c r="M59" s="162" t="s">
        <v>219</v>
      </c>
      <c r="N59" s="167"/>
    </row>
    <row r="60" spans="1:20" ht="43.5" customHeight="1" x14ac:dyDescent="0.2">
      <c r="A60" s="169">
        <v>1</v>
      </c>
      <c r="B60" s="170" t="s">
        <v>275</v>
      </c>
      <c r="C60" s="86">
        <v>40</v>
      </c>
      <c r="D60" s="97">
        <v>1</v>
      </c>
      <c r="E60" s="97">
        <v>1</v>
      </c>
      <c r="F60" s="97">
        <v>1</v>
      </c>
      <c r="G60" s="97">
        <v>1</v>
      </c>
      <c r="H60" s="87">
        <f t="shared" ref="H60:H81" si="11">SUM(D60:G60)</f>
        <v>4</v>
      </c>
      <c r="I60" s="88">
        <v>161.44999999999999</v>
      </c>
      <c r="J60" s="98">
        <f t="shared" ref="J60:J81" si="12">ROUND((I60/$C60)*D60,2)</f>
        <v>4.04</v>
      </c>
      <c r="K60" s="98">
        <f t="shared" ref="K60:K81" si="13">ROUND((I60/$C60)*E60,2)</f>
        <v>4.04</v>
      </c>
      <c r="L60" s="98">
        <f t="shared" ref="L60:L81" si="14">ROUND((I60/$C60)*F60,2)</f>
        <v>4.04</v>
      </c>
      <c r="M60" s="98">
        <f t="shared" ref="M60:M81" si="15">ROUND((I60/$C60)*G60,2)</f>
        <v>4.04</v>
      </c>
      <c r="N60" s="161">
        <f t="shared" ref="N60:N81" si="16">SUM(J60:M60)</f>
        <v>16.16</v>
      </c>
    </row>
    <row r="61" spans="1:20" ht="43.5" customHeight="1" x14ac:dyDescent="0.2">
      <c r="A61" s="169">
        <v>2</v>
      </c>
      <c r="B61" s="171" t="s">
        <v>276</v>
      </c>
      <c r="C61" s="86">
        <v>20</v>
      </c>
      <c r="D61" s="97">
        <v>4</v>
      </c>
      <c r="E61" s="97">
        <v>1</v>
      </c>
      <c r="F61" s="97">
        <v>1</v>
      </c>
      <c r="G61" s="97">
        <v>1</v>
      </c>
      <c r="H61" s="87">
        <f t="shared" si="11"/>
        <v>7</v>
      </c>
      <c r="I61" s="88">
        <v>404</v>
      </c>
      <c r="J61" s="98">
        <f t="shared" si="12"/>
        <v>80.8</v>
      </c>
      <c r="K61" s="98">
        <f t="shared" si="13"/>
        <v>20.2</v>
      </c>
      <c r="L61" s="98">
        <f t="shared" si="14"/>
        <v>20.2</v>
      </c>
      <c r="M61" s="98">
        <f t="shared" si="15"/>
        <v>20.2</v>
      </c>
      <c r="N61" s="161">
        <f t="shared" si="16"/>
        <v>141.4</v>
      </c>
    </row>
    <row r="62" spans="1:20" ht="43.5" customHeight="1" x14ac:dyDescent="0.2">
      <c r="A62" s="169">
        <v>3</v>
      </c>
      <c r="B62" s="170" t="s">
        <v>277</v>
      </c>
      <c r="C62" s="86">
        <v>40</v>
      </c>
      <c r="D62" s="97">
        <v>1</v>
      </c>
      <c r="E62" s="97">
        <v>1</v>
      </c>
      <c r="F62" s="97">
        <v>1</v>
      </c>
      <c r="G62" s="97">
        <v>1</v>
      </c>
      <c r="H62" s="87">
        <f t="shared" si="11"/>
        <v>4</v>
      </c>
      <c r="I62" s="88">
        <v>620.4</v>
      </c>
      <c r="J62" s="98">
        <f t="shared" si="12"/>
        <v>15.51</v>
      </c>
      <c r="K62" s="98">
        <f t="shared" si="13"/>
        <v>15.51</v>
      </c>
      <c r="L62" s="98">
        <f t="shared" si="14"/>
        <v>15.51</v>
      </c>
      <c r="M62" s="98">
        <f t="shared" si="15"/>
        <v>15.51</v>
      </c>
      <c r="N62" s="161">
        <f t="shared" si="16"/>
        <v>62.04</v>
      </c>
    </row>
    <row r="63" spans="1:20" ht="43.5" customHeight="1" x14ac:dyDescent="0.2">
      <c r="A63" s="169">
        <v>4</v>
      </c>
      <c r="B63" s="171" t="s">
        <v>278</v>
      </c>
      <c r="C63" s="86">
        <v>60</v>
      </c>
      <c r="D63" s="97">
        <v>1</v>
      </c>
      <c r="E63" s="97">
        <v>0</v>
      </c>
      <c r="F63" s="97">
        <v>0</v>
      </c>
      <c r="G63" s="97">
        <v>0</v>
      </c>
      <c r="H63" s="87">
        <f t="shared" si="11"/>
        <v>1</v>
      </c>
      <c r="I63" s="88">
        <v>224</v>
      </c>
      <c r="J63" s="98">
        <f t="shared" si="12"/>
        <v>3.73</v>
      </c>
      <c r="K63" s="98">
        <f t="shared" si="13"/>
        <v>0</v>
      </c>
      <c r="L63" s="98">
        <f t="shared" si="14"/>
        <v>0</v>
      </c>
      <c r="M63" s="98">
        <f t="shared" si="15"/>
        <v>0</v>
      </c>
      <c r="N63" s="161">
        <f t="shared" si="16"/>
        <v>3.73</v>
      </c>
    </row>
    <row r="64" spans="1:20" ht="43.5" customHeight="1" x14ac:dyDescent="0.2">
      <c r="A64" s="169">
        <v>5</v>
      </c>
      <c r="B64" s="171" t="s">
        <v>279</v>
      </c>
      <c r="C64" s="86">
        <v>60</v>
      </c>
      <c r="D64" s="97">
        <v>1</v>
      </c>
      <c r="E64" s="97">
        <v>1</v>
      </c>
      <c r="F64" s="97">
        <v>1</v>
      </c>
      <c r="G64" s="97">
        <v>1</v>
      </c>
      <c r="H64" s="87">
        <f t="shared" si="11"/>
        <v>4</v>
      </c>
      <c r="I64" s="88">
        <v>649</v>
      </c>
      <c r="J64" s="98">
        <f t="shared" si="12"/>
        <v>10.82</v>
      </c>
      <c r="K64" s="98">
        <f t="shared" si="13"/>
        <v>10.82</v>
      </c>
      <c r="L64" s="98">
        <f t="shared" si="14"/>
        <v>10.82</v>
      </c>
      <c r="M64" s="98">
        <f t="shared" si="15"/>
        <v>10.82</v>
      </c>
      <c r="N64" s="161">
        <f t="shared" si="16"/>
        <v>43.28</v>
      </c>
    </row>
    <row r="65" spans="1:14" ht="43.5" customHeight="1" x14ac:dyDescent="0.2">
      <c r="A65" s="169">
        <v>6</v>
      </c>
      <c r="B65" s="171" t="s">
        <v>280</v>
      </c>
      <c r="C65" s="86">
        <v>60</v>
      </c>
      <c r="D65" s="97">
        <v>1</v>
      </c>
      <c r="E65" s="97">
        <v>1</v>
      </c>
      <c r="F65" s="97">
        <v>1</v>
      </c>
      <c r="G65" s="97">
        <v>1</v>
      </c>
      <c r="H65" s="87">
        <f t="shared" si="11"/>
        <v>4</v>
      </c>
      <c r="I65" s="88">
        <v>998</v>
      </c>
      <c r="J65" s="98">
        <f t="shared" si="12"/>
        <v>16.63</v>
      </c>
      <c r="K65" s="98">
        <f t="shared" si="13"/>
        <v>16.63</v>
      </c>
      <c r="L65" s="98">
        <f t="shared" si="14"/>
        <v>16.63</v>
      </c>
      <c r="M65" s="98">
        <f t="shared" si="15"/>
        <v>16.63</v>
      </c>
      <c r="N65" s="161">
        <f t="shared" si="16"/>
        <v>66.52</v>
      </c>
    </row>
    <row r="66" spans="1:14" ht="43.5" customHeight="1" x14ac:dyDescent="0.2">
      <c r="A66" s="169">
        <v>7</v>
      </c>
      <c r="B66" s="171" t="s">
        <v>281</v>
      </c>
      <c r="C66" s="86">
        <v>60</v>
      </c>
      <c r="D66" s="97">
        <v>53</v>
      </c>
      <c r="E66" s="97">
        <v>10</v>
      </c>
      <c r="F66" s="97">
        <v>6</v>
      </c>
      <c r="G66" s="97">
        <v>6</v>
      </c>
      <c r="H66" s="87">
        <f t="shared" si="11"/>
        <v>75</v>
      </c>
      <c r="I66" s="88">
        <v>32.5</v>
      </c>
      <c r="J66" s="98">
        <f t="shared" si="12"/>
        <v>28.71</v>
      </c>
      <c r="K66" s="98">
        <f t="shared" si="13"/>
        <v>5.42</v>
      </c>
      <c r="L66" s="98">
        <f t="shared" si="14"/>
        <v>3.25</v>
      </c>
      <c r="M66" s="98">
        <f t="shared" si="15"/>
        <v>3.25</v>
      </c>
      <c r="N66" s="161">
        <f t="shared" si="16"/>
        <v>40.630000000000003</v>
      </c>
    </row>
    <row r="67" spans="1:14" ht="43.5" customHeight="1" x14ac:dyDescent="0.2">
      <c r="A67" s="169">
        <v>8</v>
      </c>
      <c r="B67" s="171" t="s">
        <v>282</v>
      </c>
      <c r="C67" s="86">
        <v>60</v>
      </c>
      <c r="D67" s="97">
        <v>21</v>
      </c>
      <c r="E67" s="97">
        <v>4</v>
      </c>
      <c r="F67" s="97">
        <v>3</v>
      </c>
      <c r="G67" s="97">
        <v>3</v>
      </c>
      <c r="H67" s="87">
        <f t="shared" si="11"/>
        <v>31</v>
      </c>
      <c r="I67" s="88">
        <v>27.95</v>
      </c>
      <c r="J67" s="98">
        <f t="shared" si="12"/>
        <v>9.7799999999999994</v>
      </c>
      <c r="K67" s="98">
        <f t="shared" si="13"/>
        <v>1.86</v>
      </c>
      <c r="L67" s="98">
        <f t="shared" si="14"/>
        <v>1.4</v>
      </c>
      <c r="M67" s="98">
        <f t="shared" si="15"/>
        <v>1.4</v>
      </c>
      <c r="N67" s="161">
        <f t="shared" si="16"/>
        <v>14.44</v>
      </c>
    </row>
    <row r="68" spans="1:14" ht="43.5" customHeight="1" x14ac:dyDescent="0.2">
      <c r="A68" s="169">
        <v>9</v>
      </c>
      <c r="B68" s="171" t="s">
        <v>283</v>
      </c>
      <c r="C68" s="86">
        <v>60</v>
      </c>
      <c r="D68" s="97">
        <v>21</v>
      </c>
      <c r="E68" s="97">
        <v>4</v>
      </c>
      <c r="F68" s="97">
        <v>3</v>
      </c>
      <c r="G68" s="97">
        <v>3</v>
      </c>
      <c r="H68" s="87">
        <f t="shared" si="11"/>
        <v>31</v>
      </c>
      <c r="I68" s="88">
        <v>23.89</v>
      </c>
      <c r="J68" s="98">
        <f t="shared" si="12"/>
        <v>8.36</v>
      </c>
      <c r="K68" s="98">
        <f t="shared" si="13"/>
        <v>1.59</v>
      </c>
      <c r="L68" s="98">
        <f t="shared" si="14"/>
        <v>1.19</v>
      </c>
      <c r="M68" s="98">
        <f t="shared" si="15"/>
        <v>1.19</v>
      </c>
      <c r="N68" s="161">
        <f t="shared" si="16"/>
        <v>12.329999999999998</v>
      </c>
    </row>
    <row r="69" spans="1:14" ht="43.5" customHeight="1" x14ac:dyDescent="0.2">
      <c r="A69" s="169">
        <v>10</v>
      </c>
      <c r="B69" s="171" t="s">
        <v>284</v>
      </c>
      <c r="C69" s="86">
        <v>60</v>
      </c>
      <c r="D69" s="97">
        <v>1</v>
      </c>
      <c r="E69" s="97">
        <v>0</v>
      </c>
      <c r="F69" s="97">
        <v>0</v>
      </c>
      <c r="G69" s="97">
        <v>0</v>
      </c>
      <c r="H69" s="87">
        <f t="shared" si="11"/>
        <v>1</v>
      </c>
      <c r="I69" s="88">
        <v>149</v>
      </c>
      <c r="J69" s="98">
        <f t="shared" si="12"/>
        <v>2.48</v>
      </c>
      <c r="K69" s="98">
        <f t="shared" si="13"/>
        <v>0</v>
      </c>
      <c r="L69" s="98">
        <f t="shared" si="14"/>
        <v>0</v>
      </c>
      <c r="M69" s="98">
        <f t="shared" si="15"/>
        <v>0</v>
      </c>
      <c r="N69" s="161">
        <f t="shared" si="16"/>
        <v>2.48</v>
      </c>
    </row>
    <row r="70" spans="1:14" ht="43.5" customHeight="1" x14ac:dyDescent="0.2">
      <c r="A70" s="169">
        <v>11</v>
      </c>
      <c r="B70" s="171" t="s">
        <v>285</v>
      </c>
      <c r="C70" s="86">
        <v>12</v>
      </c>
      <c r="D70" s="97">
        <v>1</v>
      </c>
      <c r="E70" s="97">
        <v>1</v>
      </c>
      <c r="F70" s="97">
        <v>1</v>
      </c>
      <c r="G70" s="97">
        <v>1</v>
      </c>
      <c r="H70" s="87">
        <f t="shared" si="11"/>
        <v>4</v>
      </c>
      <c r="I70" s="88">
        <v>323.99</v>
      </c>
      <c r="J70" s="98">
        <f t="shared" si="12"/>
        <v>27</v>
      </c>
      <c r="K70" s="98">
        <f t="shared" si="13"/>
        <v>27</v>
      </c>
      <c r="L70" s="98">
        <f t="shared" si="14"/>
        <v>27</v>
      </c>
      <c r="M70" s="98">
        <f t="shared" si="15"/>
        <v>27</v>
      </c>
      <c r="N70" s="161">
        <f t="shared" si="16"/>
        <v>108</v>
      </c>
    </row>
    <row r="71" spans="1:14" ht="43.5" customHeight="1" x14ac:dyDescent="0.2">
      <c r="A71" s="169">
        <v>12</v>
      </c>
      <c r="B71" s="171" t="s">
        <v>286</v>
      </c>
      <c r="C71" s="86">
        <v>12</v>
      </c>
      <c r="D71" s="97">
        <v>1</v>
      </c>
      <c r="E71" s="97">
        <v>0</v>
      </c>
      <c r="F71" s="97">
        <v>0</v>
      </c>
      <c r="G71" s="97">
        <v>0</v>
      </c>
      <c r="H71" s="87">
        <f t="shared" si="11"/>
        <v>1</v>
      </c>
      <c r="I71" s="88">
        <v>1245.27</v>
      </c>
      <c r="J71" s="98">
        <f t="shared" si="12"/>
        <v>103.77</v>
      </c>
      <c r="K71" s="98">
        <f t="shared" si="13"/>
        <v>0</v>
      </c>
      <c r="L71" s="98">
        <f t="shared" si="14"/>
        <v>0</v>
      </c>
      <c r="M71" s="98">
        <f t="shared" si="15"/>
        <v>0</v>
      </c>
      <c r="N71" s="161">
        <f t="shared" si="16"/>
        <v>103.77</v>
      </c>
    </row>
    <row r="72" spans="1:14" ht="43.5" customHeight="1" x14ac:dyDescent="0.2">
      <c r="A72" s="169">
        <v>13</v>
      </c>
      <c r="B72" s="171" t="s">
        <v>287</v>
      </c>
      <c r="C72" s="86">
        <v>60</v>
      </c>
      <c r="D72" s="97">
        <v>8</v>
      </c>
      <c r="E72" s="97">
        <v>4</v>
      </c>
      <c r="F72" s="97">
        <v>4</v>
      </c>
      <c r="G72" s="97">
        <v>4</v>
      </c>
      <c r="H72" s="87">
        <f t="shared" si="11"/>
        <v>20</v>
      </c>
      <c r="I72" s="88">
        <v>148.97</v>
      </c>
      <c r="J72" s="98">
        <f t="shared" si="12"/>
        <v>19.86</v>
      </c>
      <c r="K72" s="98">
        <f t="shared" si="13"/>
        <v>9.93</v>
      </c>
      <c r="L72" s="98">
        <f t="shared" si="14"/>
        <v>9.93</v>
      </c>
      <c r="M72" s="98">
        <f t="shared" si="15"/>
        <v>9.93</v>
      </c>
      <c r="N72" s="161">
        <f t="shared" si="16"/>
        <v>49.65</v>
      </c>
    </row>
    <row r="73" spans="1:14" ht="43.5" customHeight="1" x14ac:dyDescent="0.2">
      <c r="A73" s="169">
        <v>14</v>
      </c>
      <c r="B73" s="171" t="s">
        <v>288</v>
      </c>
      <c r="C73" s="86">
        <v>60</v>
      </c>
      <c r="D73" s="97">
        <v>5</v>
      </c>
      <c r="E73" s="97">
        <v>1</v>
      </c>
      <c r="F73" s="97">
        <v>1</v>
      </c>
      <c r="G73" s="97">
        <v>1</v>
      </c>
      <c r="H73" s="87">
        <f t="shared" si="11"/>
        <v>8</v>
      </c>
      <c r="I73" s="88">
        <v>49.23</v>
      </c>
      <c r="J73" s="98">
        <f t="shared" si="12"/>
        <v>4.0999999999999996</v>
      </c>
      <c r="K73" s="98">
        <f t="shared" si="13"/>
        <v>0.82</v>
      </c>
      <c r="L73" s="98">
        <f t="shared" si="14"/>
        <v>0.82</v>
      </c>
      <c r="M73" s="98">
        <f t="shared" si="15"/>
        <v>0.82</v>
      </c>
      <c r="N73" s="161">
        <f t="shared" si="16"/>
        <v>6.5600000000000005</v>
      </c>
    </row>
    <row r="74" spans="1:14" ht="43.5" customHeight="1" x14ac:dyDescent="0.2">
      <c r="A74" s="169">
        <v>15</v>
      </c>
      <c r="B74" s="171" t="s">
        <v>289</v>
      </c>
      <c r="C74" s="86">
        <v>60</v>
      </c>
      <c r="D74" s="97">
        <v>1</v>
      </c>
      <c r="E74" s="97">
        <v>0</v>
      </c>
      <c r="F74" s="97">
        <v>0</v>
      </c>
      <c r="G74" s="97">
        <v>0</v>
      </c>
      <c r="H74" s="87">
        <f t="shared" si="11"/>
        <v>1</v>
      </c>
      <c r="I74" s="88">
        <v>49.23</v>
      </c>
      <c r="J74" s="98">
        <f t="shared" si="12"/>
        <v>0.82</v>
      </c>
      <c r="K74" s="98">
        <f t="shared" si="13"/>
        <v>0</v>
      </c>
      <c r="L74" s="98">
        <f t="shared" si="14"/>
        <v>0</v>
      </c>
      <c r="M74" s="98">
        <f t="shared" si="15"/>
        <v>0</v>
      </c>
      <c r="N74" s="161">
        <f t="shared" si="16"/>
        <v>0.82</v>
      </c>
    </row>
    <row r="75" spans="1:14" ht="43.5" customHeight="1" x14ac:dyDescent="0.2">
      <c r="A75" s="169">
        <v>16</v>
      </c>
      <c r="B75" s="171" t="s">
        <v>290</v>
      </c>
      <c r="C75" s="86">
        <v>60</v>
      </c>
      <c r="D75" s="97">
        <v>1</v>
      </c>
      <c r="E75" s="97">
        <v>0</v>
      </c>
      <c r="F75" s="97">
        <v>0</v>
      </c>
      <c r="G75" s="97">
        <v>0</v>
      </c>
      <c r="H75" s="87">
        <f t="shared" si="11"/>
        <v>1</v>
      </c>
      <c r="I75" s="88">
        <v>834.76</v>
      </c>
      <c r="J75" s="98">
        <f t="shared" si="12"/>
        <v>13.91</v>
      </c>
      <c r="K75" s="98">
        <f t="shared" si="13"/>
        <v>0</v>
      </c>
      <c r="L75" s="98">
        <f t="shared" si="14"/>
        <v>0</v>
      </c>
      <c r="M75" s="98">
        <f t="shared" si="15"/>
        <v>0</v>
      </c>
      <c r="N75" s="161">
        <f t="shared" si="16"/>
        <v>13.91</v>
      </c>
    </row>
    <row r="76" spans="1:14" ht="43.5" customHeight="1" x14ac:dyDescent="0.2">
      <c r="A76" s="169">
        <v>17</v>
      </c>
      <c r="B76" s="171" t="s">
        <v>291</v>
      </c>
      <c r="C76" s="86">
        <v>60</v>
      </c>
      <c r="D76" s="97">
        <v>1</v>
      </c>
      <c r="E76" s="97">
        <v>0</v>
      </c>
      <c r="F76" s="97">
        <v>0</v>
      </c>
      <c r="G76" s="97">
        <v>0</v>
      </c>
      <c r="H76" s="87">
        <f t="shared" si="11"/>
        <v>1</v>
      </c>
      <c r="I76" s="88">
        <v>1397</v>
      </c>
      <c r="J76" s="98">
        <f t="shared" si="12"/>
        <v>23.28</v>
      </c>
      <c r="K76" s="98">
        <f t="shared" si="13"/>
        <v>0</v>
      </c>
      <c r="L76" s="98">
        <f t="shared" si="14"/>
        <v>0</v>
      </c>
      <c r="M76" s="98">
        <f t="shared" si="15"/>
        <v>0</v>
      </c>
      <c r="N76" s="161">
        <f t="shared" si="16"/>
        <v>23.28</v>
      </c>
    </row>
    <row r="77" spans="1:14" ht="43.5" customHeight="1" x14ac:dyDescent="0.2">
      <c r="A77" s="169">
        <v>18</v>
      </c>
      <c r="B77" s="171" t="s">
        <v>292</v>
      </c>
      <c r="C77" s="86">
        <v>60</v>
      </c>
      <c r="D77" s="97">
        <v>40</v>
      </c>
      <c r="E77" s="97">
        <v>6</v>
      </c>
      <c r="F77" s="97">
        <v>5</v>
      </c>
      <c r="G77" s="97">
        <v>5</v>
      </c>
      <c r="H77" s="87">
        <f t="shared" si="11"/>
        <v>56</v>
      </c>
      <c r="I77" s="88">
        <v>21.37</v>
      </c>
      <c r="J77" s="98">
        <f t="shared" si="12"/>
        <v>14.25</v>
      </c>
      <c r="K77" s="98">
        <f t="shared" si="13"/>
        <v>2.14</v>
      </c>
      <c r="L77" s="98">
        <f t="shared" si="14"/>
        <v>1.78</v>
      </c>
      <c r="M77" s="98">
        <f t="shared" si="15"/>
        <v>1.78</v>
      </c>
      <c r="N77" s="161">
        <f t="shared" si="16"/>
        <v>19.950000000000003</v>
      </c>
    </row>
    <row r="78" spans="1:14" ht="43.5" customHeight="1" x14ac:dyDescent="0.2">
      <c r="A78" s="169">
        <v>19</v>
      </c>
      <c r="B78" s="171" t="s">
        <v>293</v>
      </c>
      <c r="C78" s="86">
        <v>60</v>
      </c>
      <c r="D78" s="97">
        <v>0</v>
      </c>
      <c r="E78" s="97">
        <v>0</v>
      </c>
      <c r="F78" s="97">
        <v>0</v>
      </c>
      <c r="G78" s="97">
        <v>1</v>
      </c>
      <c r="H78" s="87">
        <f t="shared" si="11"/>
        <v>1</v>
      </c>
      <c r="I78" s="88">
        <v>320</v>
      </c>
      <c r="J78" s="98">
        <f t="shared" si="12"/>
        <v>0</v>
      </c>
      <c r="K78" s="98">
        <f t="shared" si="13"/>
        <v>0</v>
      </c>
      <c r="L78" s="98">
        <f t="shared" si="14"/>
        <v>0</v>
      </c>
      <c r="M78" s="98">
        <f t="shared" si="15"/>
        <v>5.33</v>
      </c>
      <c r="N78" s="161">
        <f t="shared" si="16"/>
        <v>5.33</v>
      </c>
    </row>
    <row r="79" spans="1:14" ht="43.5" customHeight="1" x14ac:dyDescent="0.2">
      <c r="A79" s="169">
        <v>20</v>
      </c>
      <c r="B79" s="172" t="s">
        <v>319</v>
      </c>
      <c r="C79" s="148">
        <v>24</v>
      </c>
      <c r="D79" s="149">
        <v>2</v>
      </c>
      <c r="E79" s="97">
        <v>0</v>
      </c>
      <c r="F79" s="97">
        <v>0</v>
      </c>
      <c r="G79" s="97">
        <v>0</v>
      </c>
      <c r="H79" s="87">
        <f t="shared" si="11"/>
        <v>2</v>
      </c>
      <c r="I79" s="88">
        <v>63.47</v>
      </c>
      <c r="J79" s="98">
        <f t="shared" si="12"/>
        <v>5.29</v>
      </c>
      <c r="K79" s="98">
        <f t="shared" si="13"/>
        <v>0</v>
      </c>
      <c r="L79" s="98">
        <f t="shared" si="14"/>
        <v>0</v>
      </c>
      <c r="M79" s="98">
        <f t="shared" si="15"/>
        <v>0</v>
      </c>
      <c r="N79" s="161">
        <f t="shared" si="16"/>
        <v>5.29</v>
      </c>
    </row>
    <row r="80" spans="1:14" ht="43.5" customHeight="1" x14ac:dyDescent="0.2">
      <c r="A80" s="169">
        <v>21</v>
      </c>
      <c r="B80" s="172" t="s">
        <v>320</v>
      </c>
      <c r="C80" s="148">
        <v>60</v>
      </c>
      <c r="D80" s="149">
        <v>2</v>
      </c>
      <c r="E80" s="97">
        <v>0</v>
      </c>
      <c r="F80" s="97">
        <v>0</v>
      </c>
      <c r="G80" s="97">
        <v>0</v>
      </c>
      <c r="H80" s="87">
        <f t="shared" si="11"/>
        <v>2</v>
      </c>
      <c r="I80" s="88">
        <v>42.29</v>
      </c>
      <c r="J80" s="98">
        <f t="shared" si="12"/>
        <v>1.41</v>
      </c>
      <c r="K80" s="98">
        <f t="shared" si="13"/>
        <v>0</v>
      </c>
      <c r="L80" s="98">
        <f t="shared" si="14"/>
        <v>0</v>
      </c>
      <c r="M80" s="98">
        <f t="shared" si="15"/>
        <v>0</v>
      </c>
      <c r="N80" s="161">
        <f t="shared" si="16"/>
        <v>1.41</v>
      </c>
    </row>
    <row r="81" spans="1:20" ht="43.5" customHeight="1" x14ac:dyDescent="0.2">
      <c r="A81" s="169">
        <v>22</v>
      </c>
      <c r="B81" s="172" t="s">
        <v>321</v>
      </c>
      <c r="C81" s="148">
        <v>60</v>
      </c>
      <c r="D81" s="149">
        <v>1</v>
      </c>
      <c r="E81" s="97">
        <v>0</v>
      </c>
      <c r="F81" s="97">
        <v>0</v>
      </c>
      <c r="G81" s="97">
        <v>0</v>
      </c>
      <c r="H81" s="87">
        <f t="shared" si="11"/>
        <v>1</v>
      </c>
      <c r="I81" s="88">
        <v>24.92</v>
      </c>
      <c r="J81" s="98">
        <f t="shared" si="12"/>
        <v>0.42</v>
      </c>
      <c r="K81" s="98">
        <f t="shared" si="13"/>
        <v>0</v>
      </c>
      <c r="L81" s="98">
        <f t="shared" si="14"/>
        <v>0</v>
      </c>
      <c r="M81" s="98">
        <f t="shared" si="15"/>
        <v>0</v>
      </c>
      <c r="N81" s="161">
        <f t="shared" si="16"/>
        <v>0.42</v>
      </c>
    </row>
    <row r="82" spans="1:20" ht="24" customHeight="1" x14ac:dyDescent="0.2">
      <c r="A82" s="347" t="s">
        <v>294</v>
      </c>
      <c r="B82" s="348"/>
      <c r="C82" s="348"/>
      <c r="D82" s="348"/>
      <c r="E82" s="348"/>
      <c r="F82" s="348"/>
      <c r="G82" s="348"/>
      <c r="H82" s="348"/>
      <c r="I82" s="348"/>
      <c r="J82" s="160">
        <f>SUM(J60:J81)</f>
        <v>394.97000000000008</v>
      </c>
      <c r="K82" s="160">
        <f>SUM(K60:K81)</f>
        <v>115.96</v>
      </c>
      <c r="L82" s="160">
        <f>SUM(L60:L81)</f>
        <v>112.57</v>
      </c>
      <c r="M82" s="160">
        <f>SUM(M60:M81)</f>
        <v>117.89999999999999</v>
      </c>
      <c r="N82" s="160">
        <f>SUM(N60:N81)</f>
        <v>741.39999999999986</v>
      </c>
    </row>
    <row r="83" spans="1:20" ht="19.5" customHeight="1" x14ac:dyDescent="0.2">
      <c r="A83" s="357" t="s">
        <v>266</v>
      </c>
      <c r="B83" s="358"/>
      <c r="C83" s="358"/>
      <c r="D83" s="358"/>
      <c r="E83" s="358"/>
      <c r="F83" s="358"/>
      <c r="G83" s="358"/>
      <c r="H83" s="358"/>
      <c r="I83" s="358"/>
      <c r="J83" s="92">
        <f t="shared" ref="J83:M83" si="17">ROUND(J82/20,2)</f>
        <v>19.75</v>
      </c>
      <c r="K83" s="92">
        <f t="shared" si="17"/>
        <v>5.8</v>
      </c>
      <c r="L83" s="92">
        <f t="shared" si="17"/>
        <v>5.63</v>
      </c>
      <c r="M83" s="92">
        <f t="shared" si="17"/>
        <v>5.9</v>
      </c>
    </row>
    <row r="84" spans="1:20" ht="19.5" customHeight="1" x14ac:dyDescent="0.2">
      <c r="A84" s="347" t="s">
        <v>267</v>
      </c>
      <c r="B84" s="348"/>
      <c r="C84" s="348"/>
      <c r="D84" s="348"/>
      <c r="E84" s="348"/>
      <c r="F84" s="348"/>
      <c r="G84" s="348"/>
      <c r="H84" s="348"/>
      <c r="I84" s="348"/>
      <c r="J84" s="173">
        <v>8</v>
      </c>
      <c r="K84" s="173">
        <v>1</v>
      </c>
      <c r="L84" s="173">
        <v>1</v>
      </c>
      <c r="M84" s="173">
        <v>1</v>
      </c>
    </row>
    <row r="85" spans="1:20" ht="19.5" customHeight="1" x14ac:dyDescent="0.2">
      <c r="A85" s="357" t="s">
        <v>295</v>
      </c>
      <c r="B85" s="358"/>
      <c r="C85" s="358"/>
      <c r="D85" s="358"/>
      <c r="E85" s="358"/>
      <c r="F85" s="358"/>
      <c r="G85" s="358"/>
      <c r="H85" s="358"/>
      <c r="I85" s="358"/>
      <c r="J85" s="92">
        <f t="shared" ref="J85:M85" si="18">ROUND(J83/J84,2)</f>
        <v>2.4700000000000002</v>
      </c>
      <c r="K85" s="92">
        <f t="shared" si="18"/>
        <v>5.8</v>
      </c>
      <c r="L85" s="92">
        <f t="shared" si="18"/>
        <v>5.63</v>
      </c>
      <c r="M85" s="92">
        <f t="shared" si="18"/>
        <v>5.9</v>
      </c>
    </row>
    <row r="86" spans="1:20" ht="19.5" customHeight="1" x14ac:dyDescent="0.2">
      <c r="A86" s="357" t="s">
        <v>213</v>
      </c>
      <c r="B86" s="358"/>
      <c r="C86" s="358"/>
      <c r="D86" s="358"/>
      <c r="E86" s="358"/>
      <c r="F86" s="358"/>
      <c r="G86" s="358"/>
      <c r="H86" s="358"/>
      <c r="I86" s="359"/>
      <c r="J86" s="165" t="s">
        <v>216</v>
      </c>
      <c r="K86" s="165" t="s">
        <v>217</v>
      </c>
      <c r="L86" s="165" t="s">
        <v>218</v>
      </c>
      <c r="M86" s="165" t="s">
        <v>219</v>
      </c>
      <c r="N86" s="95"/>
      <c r="O86" s="95"/>
      <c r="P86" s="95"/>
      <c r="Q86" s="95"/>
      <c r="R86" s="95"/>
      <c r="S86" s="95"/>
      <c r="T86" s="96"/>
    </row>
    <row r="87" spans="1:20" ht="19.5" customHeight="1" x14ac:dyDescent="0.2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5"/>
      <c r="N87" s="95"/>
      <c r="O87" s="95"/>
      <c r="P87" s="95"/>
      <c r="Q87" s="95"/>
      <c r="R87" s="95"/>
      <c r="S87" s="95"/>
      <c r="T87" s="96"/>
    </row>
    <row r="88" spans="1:20" ht="18.75" customHeight="1" x14ac:dyDescent="0.2">
      <c r="A88" s="367" t="s">
        <v>296</v>
      </c>
      <c r="B88" s="367"/>
      <c r="C88" s="367"/>
      <c r="D88" s="367"/>
      <c r="E88" s="367"/>
      <c r="F88" s="367"/>
      <c r="G88" s="367"/>
      <c r="H88" s="367"/>
      <c r="I88" s="367"/>
      <c r="J88" s="367"/>
      <c r="K88" s="367"/>
      <c r="L88" s="101"/>
    </row>
    <row r="89" spans="1:20" ht="9.75" customHeight="1" x14ac:dyDescent="0.2">
      <c r="A89" s="102"/>
      <c r="B89" s="102"/>
      <c r="C89" s="102"/>
      <c r="D89" s="102"/>
      <c r="E89" s="102"/>
      <c r="F89" s="102"/>
      <c r="G89" s="102"/>
      <c r="H89" s="102"/>
      <c r="I89" s="102"/>
    </row>
    <row r="90" spans="1:20" ht="18.75" customHeight="1" x14ac:dyDescent="0.2">
      <c r="A90" s="174" t="s">
        <v>211</v>
      </c>
      <c r="B90" s="367" t="s">
        <v>297</v>
      </c>
      <c r="C90" s="367"/>
      <c r="D90" s="367"/>
      <c r="E90" s="367"/>
      <c r="F90" s="367"/>
      <c r="G90" s="368" t="s">
        <v>298</v>
      </c>
      <c r="H90" s="369"/>
      <c r="I90" s="176" t="s">
        <v>299</v>
      </c>
      <c r="J90" s="370" t="s">
        <v>300</v>
      </c>
      <c r="K90" s="370"/>
    </row>
    <row r="91" spans="1:20" ht="18.75" customHeight="1" x14ac:dyDescent="0.2">
      <c r="A91" s="175">
        <v>1</v>
      </c>
      <c r="B91" s="364" t="s">
        <v>301</v>
      </c>
      <c r="C91" s="364"/>
      <c r="D91" s="364"/>
      <c r="E91" s="364"/>
      <c r="F91" s="364"/>
      <c r="G91" s="371">
        <v>35.799999999999997</v>
      </c>
      <c r="H91" s="372"/>
      <c r="I91" s="86">
        <v>1</v>
      </c>
      <c r="J91" s="363">
        <f t="shared" ref="J91:J99" si="19">G91*I91</f>
        <v>35.799999999999997</v>
      </c>
      <c r="K91" s="363"/>
    </row>
    <row r="92" spans="1:20" ht="18.75" customHeight="1" x14ac:dyDescent="0.2">
      <c r="A92" s="175">
        <v>2</v>
      </c>
      <c r="B92" s="364" t="s">
        <v>302</v>
      </c>
      <c r="C92" s="364"/>
      <c r="D92" s="364"/>
      <c r="E92" s="364"/>
      <c r="F92" s="364"/>
      <c r="G92" s="365">
        <v>54.49</v>
      </c>
      <c r="H92" s="366"/>
      <c r="I92" s="86">
        <v>1</v>
      </c>
      <c r="J92" s="363">
        <f t="shared" si="19"/>
        <v>54.49</v>
      </c>
      <c r="K92" s="363"/>
    </row>
    <row r="93" spans="1:20" ht="18.75" customHeight="1" x14ac:dyDescent="0.2">
      <c r="A93" s="175">
        <v>3</v>
      </c>
      <c r="B93" s="364" t="s">
        <v>303</v>
      </c>
      <c r="C93" s="364"/>
      <c r="D93" s="364"/>
      <c r="E93" s="364"/>
      <c r="F93" s="364"/>
      <c r="G93" s="365">
        <v>54.19</v>
      </c>
      <c r="H93" s="366"/>
      <c r="I93" s="86">
        <v>1</v>
      </c>
      <c r="J93" s="363">
        <f t="shared" si="19"/>
        <v>54.19</v>
      </c>
      <c r="K93" s="363"/>
    </row>
    <row r="94" spans="1:20" ht="18.75" customHeight="1" x14ac:dyDescent="0.2">
      <c r="A94" s="175">
        <v>4</v>
      </c>
      <c r="B94" s="373" t="s">
        <v>304</v>
      </c>
      <c r="C94" s="373"/>
      <c r="D94" s="373"/>
      <c r="E94" s="373"/>
      <c r="F94" s="373"/>
      <c r="G94" s="371">
        <v>16.91</v>
      </c>
      <c r="H94" s="372"/>
      <c r="I94" s="86">
        <v>4</v>
      </c>
      <c r="J94" s="363">
        <f t="shared" si="19"/>
        <v>67.64</v>
      </c>
      <c r="K94" s="363"/>
    </row>
    <row r="95" spans="1:20" ht="18.75" customHeight="1" x14ac:dyDescent="0.2">
      <c r="A95" s="175">
        <v>5</v>
      </c>
      <c r="B95" s="373" t="s">
        <v>305</v>
      </c>
      <c r="C95" s="373"/>
      <c r="D95" s="373"/>
      <c r="E95" s="373"/>
      <c r="F95" s="373"/>
      <c r="G95" s="371">
        <v>26.25</v>
      </c>
      <c r="H95" s="372"/>
      <c r="I95" s="86">
        <v>4</v>
      </c>
      <c r="J95" s="363">
        <f t="shared" si="19"/>
        <v>105</v>
      </c>
      <c r="K95" s="363"/>
    </row>
    <row r="96" spans="1:20" ht="18.75" customHeight="1" x14ac:dyDescent="0.2">
      <c r="A96" s="175">
        <v>6</v>
      </c>
      <c r="B96" s="364" t="s">
        <v>306</v>
      </c>
      <c r="C96" s="364"/>
      <c r="D96" s="364"/>
      <c r="E96" s="364"/>
      <c r="F96" s="364"/>
      <c r="G96" s="371">
        <v>5.28</v>
      </c>
      <c r="H96" s="372"/>
      <c r="I96" s="86">
        <v>3</v>
      </c>
      <c r="J96" s="363">
        <f t="shared" si="19"/>
        <v>15.84</v>
      </c>
      <c r="K96" s="363"/>
    </row>
    <row r="97" spans="1:11" ht="18.75" customHeight="1" x14ac:dyDescent="0.2">
      <c r="A97" s="175">
        <v>7</v>
      </c>
      <c r="B97" s="364" t="s">
        <v>307</v>
      </c>
      <c r="C97" s="364"/>
      <c r="D97" s="364"/>
      <c r="E97" s="364"/>
      <c r="F97" s="364"/>
      <c r="G97" s="371">
        <v>5.2</v>
      </c>
      <c r="H97" s="372"/>
      <c r="I97" s="86">
        <v>1</v>
      </c>
      <c r="J97" s="363">
        <f t="shared" si="19"/>
        <v>5.2</v>
      </c>
      <c r="K97" s="363"/>
    </row>
    <row r="98" spans="1:11" ht="18.75" customHeight="1" x14ac:dyDescent="0.2">
      <c r="A98" s="175">
        <v>8</v>
      </c>
      <c r="B98" s="373" t="s">
        <v>308</v>
      </c>
      <c r="C98" s="373"/>
      <c r="D98" s="373"/>
      <c r="E98" s="373"/>
      <c r="F98" s="373"/>
      <c r="G98" s="371">
        <v>75</v>
      </c>
      <c r="H98" s="372"/>
      <c r="I98" s="86">
        <v>3</v>
      </c>
      <c r="J98" s="363">
        <f t="shared" si="19"/>
        <v>225</v>
      </c>
      <c r="K98" s="363"/>
    </row>
    <row r="99" spans="1:11" ht="18.75" customHeight="1" x14ac:dyDescent="0.2">
      <c r="A99" s="175">
        <v>9</v>
      </c>
      <c r="B99" s="373" t="s">
        <v>309</v>
      </c>
      <c r="C99" s="373"/>
      <c r="D99" s="373"/>
      <c r="E99" s="373"/>
      <c r="F99" s="373"/>
      <c r="G99" s="371">
        <v>3.74</v>
      </c>
      <c r="H99" s="372"/>
      <c r="I99" s="86">
        <v>1</v>
      </c>
      <c r="J99" s="363">
        <f t="shared" si="19"/>
        <v>3.74</v>
      </c>
      <c r="K99" s="363"/>
    </row>
    <row r="100" spans="1:11" ht="18.75" customHeight="1" x14ac:dyDescent="0.2">
      <c r="A100" s="375" t="s">
        <v>310</v>
      </c>
      <c r="B100" s="375"/>
      <c r="C100" s="375"/>
      <c r="D100" s="375"/>
      <c r="E100" s="375"/>
      <c r="F100" s="375"/>
      <c r="G100" s="375"/>
      <c r="H100" s="375"/>
      <c r="I100" s="375"/>
      <c r="J100" s="374">
        <f>SUM(J91:J99)</f>
        <v>566.9</v>
      </c>
      <c r="K100" s="374"/>
    </row>
    <row r="101" spans="1:11" ht="18.75" customHeight="1" x14ac:dyDescent="0.2">
      <c r="A101" s="375" t="s">
        <v>311</v>
      </c>
      <c r="B101" s="375"/>
      <c r="C101" s="375"/>
      <c r="D101" s="375"/>
      <c r="E101" s="375"/>
      <c r="F101" s="375"/>
      <c r="G101" s="375"/>
      <c r="H101" s="375"/>
      <c r="I101" s="375"/>
      <c r="J101" s="376">
        <f>ROUND(J100/12,0)</f>
        <v>47</v>
      </c>
      <c r="K101" s="376"/>
    </row>
    <row r="102" spans="1:11" ht="18.75" customHeight="1" x14ac:dyDescent="0.2"/>
    <row r="103" spans="1:11" ht="18.75" customHeight="1" x14ac:dyDescent="0.2"/>
    <row r="104" spans="1:11" ht="27.75" customHeight="1" x14ac:dyDescent="0.2">
      <c r="A104" s="191" t="s">
        <v>211</v>
      </c>
      <c r="B104" s="377" t="s">
        <v>372</v>
      </c>
      <c r="C104" s="378"/>
      <c r="D104" s="378"/>
      <c r="E104" s="378"/>
      <c r="F104" s="379"/>
      <c r="G104" s="380" t="s">
        <v>274</v>
      </c>
      <c r="H104" s="381"/>
      <c r="I104" s="192" t="s">
        <v>299</v>
      </c>
      <c r="J104" s="380" t="s">
        <v>300</v>
      </c>
      <c r="K104" s="381"/>
    </row>
    <row r="105" spans="1:11" ht="18.75" customHeight="1" x14ac:dyDescent="0.2">
      <c r="A105" s="193">
        <v>1</v>
      </c>
      <c r="B105" s="382" t="s">
        <v>379</v>
      </c>
      <c r="C105" s="383"/>
      <c r="D105" s="383"/>
      <c r="E105" s="383"/>
      <c r="F105" s="384"/>
      <c r="G105" s="385">
        <v>59</v>
      </c>
      <c r="H105" s="386"/>
      <c r="I105" s="190">
        <v>4</v>
      </c>
      <c r="J105" s="385">
        <f t="shared" ref="J105:J111" si="20">G105*I105</f>
        <v>236</v>
      </c>
      <c r="K105" s="386"/>
    </row>
    <row r="106" spans="1:11" ht="18.75" customHeight="1" x14ac:dyDescent="0.2">
      <c r="A106" s="193">
        <v>2</v>
      </c>
      <c r="B106" s="382" t="s">
        <v>373</v>
      </c>
      <c r="C106" s="383"/>
      <c r="D106" s="383"/>
      <c r="E106" s="383"/>
      <c r="F106" s="384"/>
      <c r="G106" s="387">
        <v>86.01</v>
      </c>
      <c r="H106" s="388"/>
      <c r="I106" s="190">
        <v>8</v>
      </c>
      <c r="J106" s="385">
        <f t="shared" si="20"/>
        <v>688.08</v>
      </c>
      <c r="K106" s="386"/>
    </row>
    <row r="107" spans="1:11" ht="18.75" customHeight="1" x14ac:dyDescent="0.2">
      <c r="A107" s="193">
        <v>3</v>
      </c>
      <c r="B107" s="382" t="s">
        <v>374</v>
      </c>
      <c r="C107" s="383"/>
      <c r="D107" s="383"/>
      <c r="E107" s="383"/>
      <c r="F107" s="384"/>
      <c r="G107" s="385">
        <v>119.64</v>
      </c>
      <c r="H107" s="386"/>
      <c r="I107" s="190">
        <v>1</v>
      </c>
      <c r="J107" s="385">
        <f t="shared" si="20"/>
        <v>119.64</v>
      </c>
      <c r="K107" s="386"/>
    </row>
    <row r="108" spans="1:11" ht="18.75" customHeight="1" x14ac:dyDescent="0.2">
      <c r="A108" s="193">
        <v>4</v>
      </c>
      <c r="B108" s="389" t="s">
        <v>375</v>
      </c>
      <c r="C108" s="389"/>
      <c r="D108" s="389"/>
      <c r="E108" s="389"/>
      <c r="F108" s="389"/>
      <c r="G108" s="385">
        <v>16.59</v>
      </c>
      <c r="H108" s="386"/>
      <c r="I108" s="190">
        <v>1</v>
      </c>
      <c r="J108" s="385">
        <f t="shared" si="20"/>
        <v>16.59</v>
      </c>
      <c r="K108" s="386"/>
    </row>
    <row r="109" spans="1:11" ht="18.75" customHeight="1" x14ac:dyDescent="0.2">
      <c r="A109" s="193">
        <v>5</v>
      </c>
      <c r="B109" s="390" t="s">
        <v>376</v>
      </c>
      <c r="C109" s="390"/>
      <c r="D109" s="390"/>
      <c r="E109" s="390"/>
      <c r="F109" s="390"/>
      <c r="G109" s="387">
        <v>52</v>
      </c>
      <c r="H109" s="388"/>
      <c r="I109" s="190">
        <v>1</v>
      </c>
      <c r="J109" s="385">
        <f t="shared" si="20"/>
        <v>52</v>
      </c>
      <c r="K109" s="386"/>
    </row>
    <row r="110" spans="1:11" ht="18.75" customHeight="1" x14ac:dyDescent="0.2">
      <c r="A110" s="193">
        <v>6</v>
      </c>
      <c r="B110" s="390" t="s">
        <v>306</v>
      </c>
      <c r="C110" s="390"/>
      <c r="D110" s="390"/>
      <c r="E110" s="390"/>
      <c r="F110" s="390"/>
      <c r="G110" s="385">
        <v>7.3949999999999996</v>
      </c>
      <c r="H110" s="386"/>
      <c r="I110" s="190">
        <v>8</v>
      </c>
      <c r="J110" s="385">
        <f t="shared" si="20"/>
        <v>59.16</v>
      </c>
      <c r="K110" s="386"/>
    </row>
    <row r="111" spans="1:11" ht="18.75" customHeight="1" x14ac:dyDescent="0.2">
      <c r="A111" s="193">
        <v>7</v>
      </c>
      <c r="B111" s="396" t="s">
        <v>309</v>
      </c>
      <c r="C111" s="397"/>
      <c r="D111" s="397"/>
      <c r="E111" s="397"/>
      <c r="F111" s="398"/>
      <c r="G111" s="385">
        <v>3.95</v>
      </c>
      <c r="H111" s="386"/>
      <c r="I111" s="190">
        <v>1</v>
      </c>
      <c r="J111" s="385">
        <f t="shared" si="20"/>
        <v>3.95</v>
      </c>
      <c r="K111" s="386"/>
    </row>
    <row r="112" spans="1:11" ht="18.75" customHeight="1" x14ac:dyDescent="0.2">
      <c r="A112" s="391" t="s">
        <v>377</v>
      </c>
      <c r="B112" s="391"/>
      <c r="C112" s="391"/>
      <c r="D112" s="391"/>
      <c r="E112" s="391"/>
      <c r="F112" s="391"/>
      <c r="G112" s="391"/>
      <c r="H112" s="391"/>
      <c r="I112" s="391"/>
      <c r="J112" s="392">
        <f>SUM(J105:J111)</f>
        <v>1175.42</v>
      </c>
      <c r="K112" s="393"/>
    </row>
    <row r="113" spans="1:11" ht="18.75" customHeight="1" x14ac:dyDescent="0.2">
      <c r="A113" s="391" t="s">
        <v>378</v>
      </c>
      <c r="B113" s="391"/>
      <c r="C113" s="391"/>
      <c r="D113" s="391"/>
      <c r="E113" s="391"/>
      <c r="F113" s="391"/>
      <c r="G113" s="391"/>
      <c r="H113" s="391"/>
      <c r="I113" s="391"/>
      <c r="J113" s="394">
        <f>ROUND(J112/12,0)</f>
        <v>98</v>
      </c>
      <c r="K113" s="395"/>
    </row>
    <row r="114" spans="1:11" ht="18.75" customHeight="1" x14ac:dyDescent="0.2"/>
    <row r="115" spans="1:11" ht="18.75" customHeight="1" x14ac:dyDescent="0.2"/>
    <row r="116" spans="1:11" ht="18.75" customHeight="1" x14ac:dyDescent="0.2"/>
    <row r="117" spans="1:11" ht="18.75" customHeight="1" x14ac:dyDescent="0.2"/>
    <row r="118" spans="1:11" ht="18.75" customHeight="1" x14ac:dyDescent="0.2"/>
    <row r="119" spans="1:11" ht="18.75" customHeight="1" x14ac:dyDescent="0.2"/>
    <row r="120" spans="1:11" ht="18.75" customHeight="1" x14ac:dyDescent="0.2"/>
    <row r="121" spans="1:11" ht="18.75" customHeight="1" x14ac:dyDescent="0.2"/>
    <row r="122" spans="1:11" ht="18.75" customHeight="1" x14ac:dyDescent="0.2"/>
    <row r="123" spans="1:11" ht="18.75" customHeight="1" x14ac:dyDescent="0.2"/>
    <row r="124" spans="1:11" ht="18.75" customHeight="1" x14ac:dyDescent="0.2"/>
    <row r="125" spans="1:11" ht="18.75" customHeight="1" x14ac:dyDescent="0.2"/>
    <row r="126" spans="1:11" ht="18.75" customHeight="1" x14ac:dyDescent="0.2"/>
    <row r="128" spans="1:11" ht="19.5" customHeight="1" x14ac:dyDescent="0.2"/>
    <row r="129" ht="19.5" customHeight="1" x14ac:dyDescent="0.2"/>
    <row r="130" ht="19.5" customHeight="1" x14ac:dyDescent="0.2"/>
    <row r="132" ht="19.5" customHeight="1" x14ac:dyDescent="0.2"/>
    <row r="133" ht="19.5" customHeight="1" x14ac:dyDescent="0.2"/>
    <row r="134" ht="19.5" customHeight="1" x14ac:dyDescent="0.2"/>
    <row r="136" ht="19.5" customHeight="1" x14ac:dyDescent="0.2"/>
    <row r="137" ht="19.5" customHeight="1" x14ac:dyDescent="0.2"/>
    <row r="138" ht="19.5" customHeight="1" x14ac:dyDescent="0.2"/>
  </sheetData>
  <mergeCells count="79">
    <mergeCell ref="A112:I112"/>
    <mergeCell ref="J112:K112"/>
    <mergeCell ref="A113:I113"/>
    <mergeCell ref="J113:K113"/>
    <mergeCell ref="B110:F110"/>
    <mergeCell ref="G110:H110"/>
    <mergeCell ref="J110:K110"/>
    <mergeCell ref="B111:F111"/>
    <mergeCell ref="G111:H111"/>
    <mergeCell ref="J111:K111"/>
    <mergeCell ref="B108:F108"/>
    <mergeCell ref="G108:H108"/>
    <mergeCell ref="J108:K108"/>
    <mergeCell ref="B109:F109"/>
    <mergeCell ref="G109:H109"/>
    <mergeCell ref="J109:K109"/>
    <mergeCell ref="B106:F106"/>
    <mergeCell ref="G106:H106"/>
    <mergeCell ref="J106:K106"/>
    <mergeCell ref="B107:F107"/>
    <mergeCell ref="G107:H107"/>
    <mergeCell ref="J107:K107"/>
    <mergeCell ref="B104:F104"/>
    <mergeCell ref="G104:H104"/>
    <mergeCell ref="J104:K104"/>
    <mergeCell ref="B105:F105"/>
    <mergeCell ref="G105:H105"/>
    <mergeCell ref="J105:K105"/>
    <mergeCell ref="J100:K100"/>
    <mergeCell ref="A101:I101"/>
    <mergeCell ref="J101:K101"/>
    <mergeCell ref="B98:F98"/>
    <mergeCell ref="G98:H98"/>
    <mergeCell ref="J98:K98"/>
    <mergeCell ref="B99:F99"/>
    <mergeCell ref="G99:H99"/>
    <mergeCell ref="J99:K99"/>
    <mergeCell ref="A100:I100"/>
    <mergeCell ref="A86:I86"/>
    <mergeCell ref="A83:I83"/>
    <mergeCell ref="A84:I84"/>
    <mergeCell ref="J96:K96"/>
    <mergeCell ref="B97:F97"/>
    <mergeCell ref="G97:H97"/>
    <mergeCell ref="J97:K97"/>
    <mergeCell ref="B94:F94"/>
    <mergeCell ref="G94:H94"/>
    <mergeCell ref="J94:K94"/>
    <mergeCell ref="B95:F95"/>
    <mergeCell ref="G95:H95"/>
    <mergeCell ref="J95:K95"/>
    <mergeCell ref="A85:I85"/>
    <mergeCell ref="B96:F96"/>
    <mergeCell ref="G96:H96"/>
    <mergeCell ref="J92:K92"/>
    <mergeCell ref="B93:F93"/>
    <mergeCell ref="G93:H93"/>
    <mergeCell ref="J93:K93"/>
    <mergeCell ref="A88:K88"/>
    <mergeCell ref="B90:F90"/>
    <mergeCell ref="G90:H90"/>
    <mergeCell ref="J90:K90"/>
    <mergeCell ref="B91:F91"/>
    <mergeCell ref="G91:H91"/>
    <mergeCell ref="J91:K91"/>
    <mergeCell ref="B92:F92"/>
    <mergeCell ref="G92:H92"/>
    <mergeCell ref="A48:I48"/>
    <mergeCell ref="A82:I82"/>
    <mergeCell ref="A1:N1"/>
    <mergeCell ref="D3:I3"/>
    <mergeCell ref="J3:N3"/>
    <mergeCell ref="D58:I58"/>
    <mergeCell ref="J58:N58"/>
    <mergeCell ref="A49:I49"/>
    <mergeCell ref="A50:I50"/>
    <mergeCell ref="A51:I51"/>
    <mergeCell ref="A52:I52"/>
    <mergeCell ref="A56:N56"/>
  </mergeCells>
  <printOptions horizontalCentered="1"/>
  <pageMargins left="0.31527777777777799" right="0.31527777777777799" top="0.78749999999999998" bottom="0.59097222222222201" header="0.511811023622047" footer="0.31527777777777799"/>
  <pageSetup paperSize="9" scale="65" orientation="landscape" horizontalDpi="300" verticalDpi="300" r:id="rId1"/>
  <headerFooter>
    <oddFooter>&amp;CInsumos Diversos</oddFooter>
  </headerFooter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CONSOLIDAÇÃO G1</vt:lpstr>
      <vt:lpstr>G1 PAL-TO Encarregado</vt:lpstr>
      <vt:lpstr>G1 PAL-TO Servente com Insal.</vt:lpstr>
      <vt:lpstr>G1 PAL-TO Servente sem Insal.</vt:lpstr>
      <vt:lpstr>G1 PAL-TO Jardineiro</vt:lpstr>
      <vt:lpstr>M² Palmas</vt:lpstr>
      <vt:lpstr>G1 ARA - TO Servente</vt:lpstr>
      <vt:lpstr>M² Araguaína</vt:lpstr>
      <vt:lpstr>G1 GUR - TO Servente</vt:lpstr>
      <vt:lpstr>M² Gurupi</vt:lpstr>
      <vt:lpstr>G1 PAR - TO Servente</vt:lpstr>
      <vt:lpstr>M² Paraíso</vt:lpstr>
      <vt:lpstr>G1 - Qtd Servente</vt:lpstr>
      <vt:lpstr>Insumos Diversos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Ticiane Lima Alencar Sousa</dc:creator>
  <cp:lastModifiedBy>Marcio Luiz de Araujo Teixeira</cp:lastModifiedBy>
  <cp:lastPrinted>2024-05-24T12:03:26Z</cp:lastPrinted>
  <dcterms:created xsi:type="dcterms:W3CDTF">2024-03-25T14:49:10Z</dcterms:created>
  <dcterms:modified xsi:type="dcterms:W3CDTF">2024-08-05T12:48:43Z</dcterms:modified>
</cp:coreProperties>
</file>